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D:\2026\2026_Kereki\2025_beszámoló_Ke\Besz előtti ei mód_Ke\"/>
    </mc:Choice>
  </mc:AlternateContent>
  <xr:revisionPtr revIDLastSave="0" documentId="13_ncr:1_{66375C93-463B-4CE1-9578-DC6970EB8B05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1.Bev-kiad." sheetId="36" r:id="rId1"/>
    <sheet name="2.működés" sheetId="57" r:id="rId2"/>
    <sheet name="3.felh" sheetId="58" r:id="rId3"/>
    <sheet name="4. Átadott p.eszk." sheetId="39" r:id="rId4"/>
    <sheet name="5.Bev.össz." sheetId="51" r:id="rId5"/>
    <sheet name="6.Kiad.össz." sheetId="44" r:id="rId6"/>
    <sheet name="8.Többéves" sheetId="64" state="hidden" r:id="rId7"/>
    <sheet name="7.Önk." sheetId="46" r:id="rId8"/>
    <sheet name="8.Adósság" sheetId="52" r:id="rId9"/>
    <sheet name="9.Likviditás" sheetId="53" r:id="rId10"/>
    <sheet name="11.Eu projekt" sheetId="56" state="hidden" r:id="rId11"/>
    <sheet name="12.Gördülő" sheetId="60" state="hidden" r:id="rId12"/>
    <sheet name="13.Mérlegszerű kimutatás" sheetId="65" state="hidden" r:id="rId13"/>
    <sheet name="10.Tartalék" sheetId="66" r:id="rId14"/>
    <sheet name="11.Bev-kiad.mód.vált.indok" sheetId="62" r:id="rId15"/>
    <sheet name="TKT ktgfelosztás tájékoztatásul" sheetId="63" state="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'1.Bev-kiad.'!$B$1:$B$65</definedName>
    <definedName name="_xlnm._FilterDatabase" localSheetId="11" hidden="1">'12.Gördülő'!$B$1:$B$62</definedName>
    <definedName name="_xlnm._FilterDatabase" localSheetId="1" hidden="1">'2.működés'!$B$1:$B$102</definedName>
    <definedName name="_xlnm._FilterDatabase" localSheetId="2" hidden="1">'3.felh'!$B$1:$B$40</definedName>
    <definedName name="beruh" localSheetId="10">'[1]4.1. táj.'!#REF!</definedName>
    <definedName name="beruh" localSheetId="11">'[1]4.1. táj.'!#REF!</definedName>
    <definedName name="beruh" localSheetId="1">'[1]4.1. táj.'!#REF!</definedName>
    <definedName name="beruh" localSheetId="2">'[1]4.1. táj.'!#REF!</definedName>
    <definedName name="beruh">'[1]4.1. táj.'!#REF!</definedName>
    <definedName name="intézmények" localSheetId="10">'[2]4.1. táj.'!#REF!</definedName>
    <definedName name="intézmények" localSheetId="11">'[2]4.1. táj.'!#REF!</definedName>
    <definedName name="intézmények" localSheetId="1">'[2]4.1. táj.'!#REF!</definedName>
    <definedName name="intézmények" localSheetId="2">'[2]4.1. táj.'!#REF!</definedName>
    <definedName name="intézmények" localSheetId="4">'[2]4.1. táj.'!#REF!</definedName>
    <definedName name="intézmények">'[2]4.1. táj.'!#REF!</definedName>
    <definedName name="_xlnm.Print_Titles" localSheetId="14">'11.Bev-kiad.mód.vált.indok'!$7:$8</definedName>
    <definedName name="_xlnm.Print_Titles" localSheetId="1">'2.működés'!$7:$7</definedName>
    <definedName name="_xlnm.Print_Titles" localSheetId="4">'5.Bev.össz.'!$A:$A,'5.Bev.össz.'!$1:$7</definedName>
    <definedName name="_xlnm.Print_Titles" localSheetId="5">'6.Kiad.össz.'!$A:$A,'6.Kiad.össz.'!$1:$10</definedName>
    <definedName name="_xlnm.Print_Titles" localSheetId="7">'7.Önk.'!$A:$B,'7.Önk.'!$7:$8</definedName>
    <definedName name="_xlnm.Print_Area" localSheetId="0">'1.Bev-kiad.'!$A$1:$H$82</definedName>
    <definedName name="_xlnm.Print_Area" localSheetId="10">'11.Eu projekt'!$A$1:$K$16</definedName>
    <definedName name="_xlnm.Print_Area" localSheetId="11">'12.Gördülő'!$A$1:$F$79</definedName>
    <definedName name="_xlnm.Print_Area" localSheetId="1">'2.működés'!$A$1:$I$116</definedName>
    <definedName name="_xlnm.Print_Area" localSheetId="2">'3.felh'!$A$1:$J$71</definedName>
    <definedName name="_xlnm.Print_Area" localSheetId="3">'4. Átadott p.eszk.'!$A$1:$H$62</definedName>
    <definedName name="_xlnm.Print_Area" localSheetId="4">'5.Bev.össz.'!$A$1:$M$21</definedName>
    <definedName name="_xlnm.Print_Area" localSheetId="5">'6.Kiad.össz.'!$A$1:$U$26</definedName>
    <definedName name="_xlnm.Print_Area" localSheetId="7">'7.Önk.'!$A$1:$AZ$79</definedName>
    <definedName name="_xlnm.Print_Area" localSheetId="8">'8.Adósság'!$A$1:$H$18</definedName>
    <definedName name="_xlnm.Print_Area" localSheetId="6">'8.Többéves'!$A$1:$H$19</definedName>
    <definedName name="_xlnm.Print_Area" localSheetId="9">'9.Likviditás'!$A$1:$N$30</definedName>
    <definedName name="_xlnm.Print_Area" localSheetId="15">'TKT ktgfelosztás tájékoztatásul'!$A$1:$S$60</definedName>
    <definedName name="qewrqewr" localSheetId="11">'[1]4.1. táj.'!#REF!</definedName>
    <definedName name="qewrqewr">'[1]4.1. táj.'!#REF!</definedName>
    <definedName name="Z_ABF21C5C_6078_4D03_96DF_78390D4F8F84_.wvu.Cols" localSheetId="3" hidden="1">'4. Átadott p.eszk.'!#REF!,'4. Átadott p.eszk.'!$HU:$IX</definedName>
    <definedName name="Z_ABF21C5C_6078_4D03_96DF_78390D4F8F84_.wvu.FilterData" localSheetId="0" hidden="1">'1.Bev-kiad.'!$B$1:$B$65</definedName>
    <definedName name="Z_ABF21C5C_6078_4D03_96DF_78390D4F8F84_.wvu.FilterData" localSheetId="11" hidden="1">'12.Gördülő'!$B$1:$B$62</definedName>
    <definedName name="Z_ABF21C5C_6078_4D03_96DF_78390D4F8F84_.wvu.FilterData" localSheetId="1" hidden="1">'2.működés'!$B$1:$B$102</definedName>
    <definedName name="Z_ABF21C5C_6078_4D03_96DF_78390D4F8F84_.wvu.FilterData" localSheetId="2" hidden="1">'3.felh'!$B$1:$B$40</definedName>
    <definedName name="Z_ABF21C5C_6078_4D03_96DF_78390D4F8F84_.wvu.PrintArea" localSheetId="0" hidden="1">'1.Bev-kiad.'!$B$1:$B$82</definedName>
    <definedName name="Z_ABF21C5C_6078_4D03_96DF_78390D4F8F84_.wvu.PrintArea" localSheetId="11" hidden="1">'12.Gördülő'!$B$1:$B$78</definedName>
    <definedName name="Z_ABF21C5C_6078_4D03_96DF_78390D4F8F84_.wvu.PrintArea" localSheetId="1" hidden="1">'2.működés'!$B$1:$B$115</definedName>
    <definedName name="Z_ABF21C5C_6078_4D03_96DF_78390D4F8F84_.wvu.PrintArea" localSheetId="2" hidden="1">'3.felh'!$B$1:$B$63</definedName>
    <definedName name="Z_ABF21C5C_6078_4D03_96DF_78390D4F8F84_.wvu.PrintArea" localSheetId="3" hidden="1">'4. Átadott p.eszk.'!$A$1:$A$41</definedName>
    <definedName name="Z_ABF21C5C_6078_4D03_96DF_78390D4F8F84_.wvu.PrintArea" localSheetId="7" hidden="1">'7.Önk.'!$B$1:$B$78</definedName>
    <definedName name="Z_ABF21C5C_6078_4D03_96DF_78390D4F8F84_.wvu.Rows" localSheetId="0" hidden="1">'1.Bev-kiad.'!#REF!</definedName>
    <definedName name="Z_ABF21C5C_6078_4D03_96DF_78390D4F8F84_.wvu.Rows" localSheetId="11" hidden="1">'12.Gördülő'!#REF!</definedName>
    <definedName name="Z_ABF21C5C_6078_4D03_96DF_78390D4F8F84_.wvu.Rows" localSheetId="1" hidden="1">'2.működés'!#REF!</definedName>
    <definedName name="Z_ABF21C5C_6078_4D03_96DF_78390D4F8F84_.wvu.Rows" localSheetId="2" hidden="1">'3.felh'!#REF!</definedName>
    <definedName name="Z_ABF21C5C_6078_4D03_96DF_78390D4F8F84_.wvu.Rows" localSheetId="3" hidden="1">'4. Átadott p.eszk.'!#REF!,'4. Átadott p.eszk.'!#REF!,'4. Átadott p.eszk.'!#REF!,'4. Átadott p.eszk.'!#REF!,'4. Átadott p.eszk.'!#REF!</definedName>
    <definedName name="Z_ABF21C5C_6078_4D03_96DF_78390D4F8F84_.wvu.Rows" localSheetId="7" hidden="1">'7.Önk.'!#REF!,'7.Önk.'!$26:$26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M17" i="53" l="1"/>
  <c r="E10" i="66"/>
  <c r="F23" i="46"/>
  <c r="H34" i="57"/>
  <c r="G34" i="57" s="1"/>
  <c r="H31" i="57"/>
  <c r="H109" i="57"/>
  <c r="H90" i="57"/>
  <c r="H84" i="57"/>
  <c r="G84" i="57" s="1"/>
  <c r="H82" i="57"/>
  <c r="H81" i="57"/>
  <c r="H75" i="57"/>
  <c r="G75" i="57" s="1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G69" i="58"/>
  <c r="G68" i="58"/>
  <c r="G67" i="58"/>
  <c r="G66" i="58"/>
  <c r="G65" i="58"/>
  <c r="G64" i="58"/>
  <c r="G62" i="58"/>
  <c r="G61" i="58"/>
  <c r="G60" i="58"/>
  <c r="G59" i="58"/>
  <c r="G57" i="58"/>
  <c r="G54" i="58"/>
  <c r="G53" i="58"/>
  <c r="G52" i="58"/>
  <c r="G51" i="58"/>
  <c r="G50" i="58"/>
  <c r="G49" i="58"/>
  <c r="G48" i="58"/>
  <c r="G47" i="58"/>
  <c r="G45" i="58"/>
  <c r="G44" i="58"/>
  <c r="G43" i="58"/>
  <c r="G37" i="58"/>
  <c r="G36" i="58"/>
  <c r="G33" i="58"/>
  <c r="G32" i="58"/>
  <c r="G31" i="58"/>
  <c r="G30" i="58"/>
  <c r="G29" i="58"/>
  <c r="G28" i="58"/>
  <c r="G27" i="58"/>
  <c r="G26" i="58"/>
  <c r="G25" i="58"/>
  <c r="G23" i="58"/>
  <c r="G22" i="58"/>
  <c r="G21" i="58"/>
  <c r="G20" i="58"/>
  <c r="G18" i="58"/>
  <c r="G17" i="58"/>
  <c r="G16" i="58"/>
  <c r="G13" i="58"/>
  <c r="G12" i="58"/>
  <c r="G11" i="58"/>
  <c r="G10" i="58"/>
  <c r="G114" i="57"/>
  <c r="G113" i="57"/>
  <c r="G112" i="57"/>
  <c r="G111" i="57"/>
  <c r="G110" i="57"/>
  <c r="G109" i="57"/>
  <c r="G108" i="57"/>
  <c r="G100" i="57"/>
  <c r="G99" i="57"/>
  <c r="G98" i="57"/>
  <c r="G97" i="57"/>
  <c r="G94" i="57"/>
  <c r="G93" i="57"/>
  <c r="G92" i="57"/>
  <c r="G91" i="57"/>
  <c r="G90" i="57"/>
  <c r="G89" i="57"/>
  <c r="G88" i="57"/>
  <c r="G87" i="57"/>
  <c r="G86" i="57"/>
  <c r="G85" i="57"/>
  <c r="G83" i="57"/>
  <c r="G82" i="57"/>
  <c r="G81" i="57"/>
  <c r="G80" i="57"/>
  <c r="G78" i="57"/>
  <c r="G77" i="57"/>
  <c r="G76" i="57"/>
  <c r="G73" i="57"/>
  <c r="G72" i="57"/>
  <c r="G71" i="57"/>
  <c r="G70" i="57"/>
  <c r="G69" i="57"/>
  <c r="G68" i="57"/>
  <c r="G67" i="57"/>
  <c r="G66" i="57"/>
  <c r="G64" i="57"/>
  <c r="G63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3" i="57"/>
  <c r="G32" i="57"/>
  <c r="G31" i="57"/>
  <c r="G29" i="57"/>
  <c r="G27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81" i="36"/>
  <c r="G80" i="36"/>
  <c r="G63" i="36"/>
  <c r="G62" i="36"/>
  <c r="G61" i="36"/>
  <c r="G58" i="36"/>
  <c r="G54" i="36"/>
  <c r="G53" i="36"/>
  <c r="G52" i="36"/>
  <c r="G50" i="36"/>
  <c r="G49" i="36"/>
  <c r="G48" i="36"/>
  <c r="G47" i="36"/>
  <c r="G46" i="36"/>
  <c r="G45" i="36"/>
  <c r="G44" i="36"/>
  <c r="G43" i="36"/>
  <c r="G42" i="36"/>
  <c r="G40" i="36"/>
  <c r="G39" i="36"/>
  <c r="G38" i="36"/>
  <c r="G37" i="36"/>
  <c r="G36" i="36"/>
  <c r="G35" i="36"/>
  <c r="G34" i="36"/>
  <c r="G33" i="36"/>
  <c r="G32" i="36"/>
  <c r="G31" i="36"/>
  <c r="G29" i="36"/>
  <c r="G28" i="36"/>
  <c r="G27" i="36"/>
  <c r="G26" i="36"/>
  <c r="G25" i="36"/>
  <c r="G24" i="36"/>
  <c r="G22" i="36"/>
  <c r="G21" i="36"/>
  <c r="G20" i="36"/>
  <c r="G19" i="36"/>
  <c r="G18" i="36"/>
  <c r="G16" i="36"/>
  <c r="G15" i="36"/>
  <c r="G14" i="36"/>
  <c r="G13" i="36"/>
  <c r="G12" i="36"/>
  <c r="G11" i="36"/>
  <c r="E8" i="66"/>
  <c r="K52" i="46" l="1"/>
  <c r="K10" i="46"/>
  <c r="P70" i="46"/>
  <c r="F70" i="46"/>
  <c r="AJ70" i="46"/>
  <c r="K66" i="46"/>
  <c r="U66" i="46"/>
  <c r="AE66" i="46"/>
  <c r="P60" i="46"/>
  <c r="P59" i="46"/>
  <c r="Z44" i="46"/>
  <c r="F44" i="46"/>
  <c r="AJ31" i="46"/>
  <c r="AO34" i="46"/>
  <c r="P35" i="46"/>
  <c r="AJ33" i="46"/>
  <c r="AJ25" i="46"/>
  <c r="P26" i="46"/>
  <c r="P25" i="46"/>
  <c r="K26" i="46"/>
  <c r="F25" i="46"/>
  <c r="Q23" i="53" l="1"/>
  <c r="H77" i="57"/>
  <c r="H74" i="57" s="1"/>
  <c r="G74" i="57" s="1"/>
  <c r="H73" i="57"/>
  <c r="H70" i="57"/>
  <c r="H69" i="57" s="1"/>
  <c r="AE74" i="46"/>
  <c r="AJ60" i="46"/>
  <c r="K45" i="46"/>
  <c r="K64" i="46"/>
  <c r="F64" i="46"/>
  <c r="U44" i="46"/>
  <c r="P44" i="46"/>
  <c r="F18" i="46"/>
  <c r="AJ23" i="46"/>
  <c r="K23" i="46"/>
  <c r="K14" i="46"/>
  <c r="P14" i="46"/>
  <c r="P12" i="46"/>
  <c r="K12" i="46"/>
  <c r="K63" i="57"/>
  <c r="I113" i="57"/>
  <c r="I96" i="57"/>
  <c r="I95" i="57" s="1"/>
  <c r="I91" i="57"/>
  <c r="I74" i="57"/>
  <c r="I69" i="57"/>
  <c r="I62" i="57"/>
  <c r="I58" i="57"/>
  <c r="I55" i="57"/>
  <c r="I53" i="57"/>
  <c r="I48" i="57"/>
  <c r="I43" i="57"/>
  <c r="I38" i="57"/>
  <c r="I37" i="57"/>
  <c r="I32" i="57"/>
  <c r="I30" i="57"/>
  <c r="I28" i="57" s="1"/>
  <c r="I26" i="57" s="1"/>
  <c r="I12" i="57"/>
  <c r="I11" i="57" s="1"/>
  <c r="H113" i="57"/>
  <c r="H96" i="57"/>
  <c r="H91" i="57"/>
  <c r="H78" i="57"/>
  <c r="H62" i="57"/>
  <c r="G62" i="57" s="1"/>
  <c r="H60" i="57"/>
  <c r="H58" i="57" s="1"/>
  <c r="H57" i="57"/>
  <c r="H55" i="57"/>
  <c r="H53" i="57"/>
  <c r="H49" i="57"/>
  <c r="H48" i="57" s="1"/>
  <c r="H43" i="57"/>
  <c r="H38" i="57"/>
  <c r="H37" i="57"/>
  <c r="H32" i="57"/>
  <c r="H30" i="57"/>
  <c r="G30" i="57" s="1"/>
  <c r="H23" i="57"/>
  <c r="H16" i="57"/>
  <c r="H12" i="57" s="1"/>
  <c r="I63" i="58"/>
  <c r="I58" i="58"/>
  <c r="I56" i="58"/>
  <c r="I46" i="58"/>
  <c r="I42" i="58"/>
  <c r="I35" i="58"/>
  <c r="I34" i="58"/>
  <c r="I24" i="58"/>
  <c r="I19" i="58"/>
  <c r="I15" i="58"/>
  <c r="I14" i="58" s="1"/>
  <c r="H63" i="58"/>
  <c r="H58" i="58"/>
  <c r="H56" i="58"/>
  <c r="H46" i="58"/>
  <c r="H42" i="58"/>
  <c r="H35" i="58"/>
  <c r="H34" i="58"/>
  <c r="H24" i="58"/>
  <c r="H19" i="58"/>
  <c r="H15" i="58"/>
  <c r="H33" i="39"/>
  <c r="H30" i="39" s="1"/>
  <c r="H25" i="39"/>
  <c r="H11" i="39"/>
  <c r="G35" i="39"/>
  <c r="G33" i="39"/>
  <c r="G30" i="39"/>
  <c r="G25" i="39"/>
  <c r="G12" i="39"/>
  <c r="G11" i="39" s="1"/>
  <c r="G10" i="39" s="1"/>
  <c r="G45" i="39" s="1"/>
  <c r="H108" i="57" s="1"/>
  <c r="H55" i="58" l="1"/>
  <c r="H14" i="58"/>
  <c r="I9" i="58"/>
  <c r="H41" i="58"/>
  <c r="I55" i="58"/>
  <c r="I41" i="58"/>
  <c r="I70" i="58" s="1"/>
  <c r="I47" i="57"/>
  <c r="I10" i="57"/>
  <c r="I9" i="57" s="1"/>
  <c r="H28" i="57"/>
  <c r="H95" i="57"/>
  <c r="G95" i="57" s="1"/>
  <c r="G96" i="57"/>
  <c r="H10" i="39"/>
  <c r="H45" i="39" s="1"/>
  <c r="I108" i="57" s="1"/>
  <c r="H40" i="58"/>
  <c r="D15" i="52"/>
  <c r="H47" i="57"/>
  <c r="H11" i="57"/>
  <c r="I107" i="57"/>
  <c r="I79" i="57"/>
  <c r="H79" i="57"/>
  <c r="G79" i="57" s="1"/>
  <c r="H65" i="57"/>
  <c r="G65" i="57" s="1"/>
  <c r="I65" i="57"/>
  <c r="H107" i="57"/>
  <c r="G107" i="57" s="1"/>
  <c r="I39" i="58"/>
  <c r="H70" i="58"/>
  <c r="AX74" i="46"/>
  <c r="AY74" i="46"/>
  <c r="H106" i="57" s="1"/>
  <c r="AZ74" i="46"/>
  <c r="I106" i="57" s="1"/>
  <c r="AX75" i="46"/>
  <c r="AY75" i="46"/>
  <c r="AZ75" i="46"/>
  <c r="AX76" i="46"/>
  <c r="AY76" i="46"/>
  <c r="AZ76" i="46"/>
  <c r="AX77" i="46"/>
  <c r="AY77" i="46"/>
  <c r="AZ77" i="46"/>
  <c r="AW74" i="46"/>
  <c r="AW75" i="46"/>
  <c r="AW76" i="46"/>
  <c r="AW77" i="46"/>
  <c r="AV77" i="46"/>
  <c r="AV76" i="46"/>
  <c r="AV74" i="46"/>
  <c r="AV67" i="46"/>
  <c r="AW67" i="46"/>
  <c r="AX67" i="46"/>
  <c r="AY67" i="46"/>
  <c r="AZ67" i="46"/>
  <c r="AV68" i="46"/>
  <c r="AW68" i="46"/>
  <c r="AX68" i="46"/>
  <c r="AY68" i="46"/>
  <c r="AZ68" i="46"/>
  <c r="AV69" i="46"/>
  <c r="AW69" i="46"/>
  <c r="AX69" i="46"/>
  <c r="AY69" i="46"/>
  <c r="AZ69" i="46"/>
  <c r="AV70" i="46"/>
  <c r="AW70" i="46"/>
  <c r="AX70" i="46"/>
  <c r="AY70" i="46"/>
  <c r="AZ70" i="46"/>
  <c r="AX66" i="46"/>
  <c r="AY66" i="46"/>
  <c r="AZ66" i="46"/>
  <c r="AW66" i="46"/>
  <c r="AV66" i="46"/>
  <c r="AV64" i="46"/>
  <c r="AW64" i="46"/>
  <c r="AX64" i="46"/>
  <c r="AY64" i="46"/>
  <c r="AZ64" i="46"/>
  <c r="AX63" i="46"/>
  <c r="AY63" i="46"/>
  <c r="AZ63" i="46"/>
  <c r="AW63" i="46"/>
  <c r="AV63" i="46"/>
  <c r="AX62" i="46"/>
  <c r="AW62" i="46"/>
  <c r="AV62" i="46"/>
  <c r="AV42" i="46"/>
  <c r="AW42" i="46"/>
  <c r="AX42" i="46"/>
  <c r="AY42" i="46"/>
  <c r="AZ42" i="46"/>
  <c r="AV43" i="46"/>
  <c r="AW43" i="46"/>
  <c r="AX43" i="46"/>
  <c r="AY43" i="46"/>
  <c r="AZ43" i="46"/>
  <c r="AV44" i="46"/>
  <c r="AW44" i="46"/>
  <c r="AX44" i="46"/>
  <c r="AY44" i="46"/>
  <c r="AZ44" i="46"/>
  <c r="AV45" i="46"/>
  <c r="AW45" i="46"/>
  <c r="AX45" i="46"/>
  <c r="AY45" i="46"/>
  <c r="AZ45" i="46"/>
  <c r="AV46" i="46"/>
  <c r="AW46" i="46"/>
  <c r="AX46" i="46"/>
  <c r="AY46" i="46"/>
  <c r="AZ46" i="46"/>
  <c r="AV47" i="46"/>
  <c r="AW47" i="46"/>
  <c r="AX47" i="46"/>
  <c r="AY47" i="46"/>
  <c r="AZ47" i="46"/>
  <c r="AV48" i="46"/>
  <c r="AW48" i="46"/>
  <c r="AX48" i="46"/>
  <c r="AY48" i="46"/>
  <c r="AZ48" i="46"/>
  <c r="AV49" i="46"/>
  <c r="AW49" i="46"/>
  <c r="AX49" i="46"/>
  <c r="AY49" i="46"/>
  <c r="AZ49" i="46"/>
  <c r="AV50" i="46"/>
  <c r="AW50" i="46"/>
  <c r="AX50" i="46"/>
  <c r="AY50" i="46"/>
  <c r="AZ50" i="46"/>
  <c r="AV51" i="46"/>
  <c r="AW51" i="46"/>
  <c r="AX51" i="46"/>
  <c r="AY51" i="46"/>
  <c r="AZ51" i="46"/>
  <c r="AV52" i="46"/>
  <c r="AW52" i="46"/>
  <c r="AX52" i="46"/>
  <c r="AY52" i="46"/>
  <c r="AZ52" i="46"/>
  <c r="AV53" i="46"/>
  <c r="AW53" i="46"/>
  <c r="AX53" i="46"/>
  <c r="AY53" i="46"/>
  <c r="AZ53" i="46"/>
  <c r="AV54" i="46"/>
  <c r="AW54" i="46"/>
  <c r="AX54" i="46"/>
  <c r="AY54" i="46"/>
  <c r="AZ54" i="46"/>
  <c r="AV55" i="46"/>
  <c r="AW55" i="46"/>
  <c r="AX55" i="46"/>
  <c r="AY55" i="46"/>
  <c r="AZ55" i="46"/>
  <c r="AV56" i="46"/>
  <c r="AW56" i="46"/>
  <c r="AX56" i="46"/>
  <c r="AY56" i="46"/>
  <c r="AZ56" i="46"/>
  <c r="AV57" i="46"/>
  <c r="AW57" i="46"/>
  <c r="AX57" i="46"/>
  <c r="AY57" i="46"/>
  <c r="AZ57" i="46"/>
  <c r="AV58" i="46"/>
  <c r="AW58" i="46"/>
  <c r="AX58" i="46"/>
  <c r="AY58" i="46"/>
  <c r="AZ58" i="46"/>
  <c r="AV59" i="46"/>
  <c r="AW59" i="46"/>
  <c r="AX59" i="46"/>
  <c r="AY59" i="46"/>
  <c r="AZ59" i="46"/>
  <c r="AV60" i="46"/>
  <c r="AW60" i="46"/>
  <c r="AX60" i="46"/>
  <c r="AY60" i="46"/>
  <c r="AZ60" i="46"/>
  <c r="AX41" i="46"/>
  <c r="AY41" i="46"/>
  <c r="AZ41" i="46"/>
  <c r="AW41" i="46"/>
  <c r="AV41" i="46"/>
  <c r="AV39" i="46"/>
  <c r="AW39" i="46"/>
  <c r="AX39" i="46"/>
  <c r="AY39" i="46"/>
  <c r="AZ39" i="46"/>
  <c r="AX38" i="46"/>
  <c r="AY38" i="46"/>
  <c r="AZ38" i="46"/>
  <c r="AW38" i="46"/>
  <c r="AV38" i="46"/>
  <c r="AV30" i="46"/>
  <c r="AW30" i="46"/>
  <c r="AX30" i="46"/>
  <c r="AY30" i="46"/>
  <c r="AZ30" i="46"/>
  <c r="AV31" i="46"/>
  <c r="AW31" i="46"/>
  <c r="AX31" i="46"/>
  <c r="AY31" i="46"/>
  <c r="AZ31" i="46"/>
  <c r="AV32" i="46"/>
  <c r="AW32" i="46"/>
  <c r="AX32" i="46"/>
  <c r="AY32" i="46"/>
  <c r="AZ32" i="46"/>
  <c r="AV33" i="46"/>
  <c r="AW33" i="46"/>
  <c r="AX33" i="46"/>
  <c r="AY33" i="46"/>
  <c r="AZ33" i="46"/>
  <c r="AV34" i="46"/>
  <c r="AW34" i="46"/>
  <c r="AX34" i="46"/>
  <c r="AY34" i="46"/>
  <c r="AZ34" i="46"/>
  <c r="AV35" i="46"/>
  <c r="AW35" i="46"/>
  <c r="AX35" i="46"/>
  <c r="AY35" i="46"/>
  <c r="AZ35" i="46"/>
  <c r="AX29" i="46"/>
  <c r="AY29" i="46"/>
  <c r="AZ29" i="46"/>
  <c r="AW29" i="46"/>
  <c r="AV29" i="46"/>
  <c r="AX27" i="46"/>
  <c r="AW27" i="46"/>
  <c r="AV27" i="46"/>
  <c r="AV26" i="46"/>
  <c r="AW26" i="46"/>
  <c r="AX26" i="46"/>
  <c r="AY26" i="46"/>
  <c r="AZ26" i="46"/>
  <c r="AX25" i="46"/>
  <c r="AY25" i="46"/>
  <c r="AZ25" i="46"/>
  <c r="AW25" i="46"/>
  <c r="AV25" i="46"/>
  <c r="AV17" i="46"/>
  <c r="AW17" i="46"/>
  <c r="AX17" i="46"/>
  <c r="AY17" i="46"/>
  <c r="AZ17" i="46"/>
  <c r="AV18" i="46"/>
  <c r="AW18" i="46"/>
  <c r="AX18" i="46"/>
  <c r="AY18" i="46"/>
  <c r="AZ18" i="46"/>
  <c r="AV19" i="46"/>
  <c r="AW19" i="46"/>
  <c r="AX19" i="46"/>
  <c r="AY19" i="46"/>
  <c r="AZ19" i="46"/>
  <c r="AV20" i="46"/>
  <c r="AW20" i="46"/>
  <c r="AX20" i="46"/>
  <c r="AY20" i="46"/>
  <c r="AZ20" i="46"/>
  <c r="AV21" i="46"/>
  <c r="AW21" i="46"/>
  <c r="AX21" i="46"/>
  <c r="AY21" i="46"/>
  <c r="AZ21" i="46"/>
  <c r="AV22" i="46"/>
  <c r="AW22" i="46"/>
  <c r="AX22" i="46"/>
  <c r="AY22" i="46"/>
  <c r="AZ22" i="46"/>
  <c r="AV23" i="46"/>
  <c r="AW23" i="46"/>
  <c r="AX23" i="46"/>
  <c r="AY23" i="46"/>
  <c r="AZ23" i="46"/>
  <c r="AX16" i="46"/>
  <c r="AY16" i="46"/>
  <c r="AZ16" i="46"/>
  <c r="AW16" i="46"/>
  <c r="AV16" i="46"/>
  <c r="AX15" i="46"/>
  <c r="AW15" i="46"/>
  <c r="AV15" i="46"/>
  <c r="AV11" i="46"/>
  <c r="AW11" i="46"/>
  <c r="AX11" i="46"/>
  <c r="AY11" i="46"/>
  <c r="AZ11" i="46"/>
  <c r="AV12" i="46"/>
  <c r="AW12" i="46"/>
  <c r="AX12" i="46"/>
  <c r="AY12" i="46"/>
  <c r="AZ12" i="46"/>
  <c r="AV13" i="46"/>
  <c r="AW13" i="46"/>
  <c r="AX13" i="46"/>
  <c r="AY13" i="46"/>
  <c r="AZ13" i="46"/>
  <c r="AV14" i="46"/>
  <c r="AW14" i="46"/>
  <c r="AX14" i="46"/>
  <c r="AY14" i="46"/>
  <c r="AZ14" i="46"/>
  <c r="AX10" i="46"/>
  <c r="AY10" i="46"/>
  <c r="AZ10" i="46"/>
  <c r="AW10" i="46"/>
  <c r="AV10" i="46"/>
  <c r="AW9" i="46"/>
  <c r="AV9" i="46"/>
  <c r="AQ81" i="46"/>
  <c r="AU65" i="46"/>
  <c r="AT65" i="46"/>
  <c r="AS65" i="46"/>
  <c r="AR65" i="46"/>
  <c r="AQ65" i="46"/>
  <c r="AU62" i="46"/>
  <c r="AT62" i="46"/>
  <c r="AS62" i="46"/>
  <c r="AR62" i="46"/>
  <c r="AQ62" i="46"/>
  <c r="AR81" i="46"/>
  <c r="AT40" i="46"/>
  <c r="AS81" i="46"/>
  <c r="AS83" i="46" s="1"/>
  <c r="AU40" i="46"/>
  <c r="AQ40" i="46"/>
  <c r="AU37" i="46"/>
  <c r="AT37" i="46"/>
  <c r="AY37" i="46" s="1"/>
  <c r="AS37" i="46"/>
  <c r="AX37" i="46" s="1"/>
  <c r="AR37" i="46"/>
  <c r="AW37" i="46" s="1"/>
  <c r="AQ37" i="46"/>
  <c r="AU28" i="46"/>
  <c r="AT28" i="46"/>
  <c r="AY28" i="46" s="1"/>
  <c r="AS28" i="46"/>
  <c r="AR28" i="46"/>
  <c r="AQ28" i="46"/>
  <c r="AU27" i="46"/>
  <c r="AT27" i="46"/>
  <c r="AS27" i="46"/>
  <c r="AR27" i="46"/>
  <c r="AQ27" i="46"/>
  <c r="AS24" i="46"/>
  <c r="AX24" i="46" s="1"/>
  <c r="AR24" i="46"/>
  <c r="AW24" i="46" s="1"/>
  <c r="AQ24" i="46"/>
  <c r="AV24" i="46" s="1"/>
  <c r="AU15" i="46"/>
  <c r="AT15" i="46"/>
  <c r="AS15" i="46"/>
  <c r="AR15" i="46"/>
  <c r="AQ15" i="46"/>
  <c r="AU9" i="46"/>
  <c r="AU24" i="46" s="1"/>
  <c r="AT9" i="46"/>
  <c r="AT24" i="46" s="1"/>
  <c r="AS9" i="46"/>
  <c r="AX9" i="46" s="1"/>
  <c r="AR9" i="46"/>
  <c r="AQ9" i="46"/>
  <c r="AU8" i="46"/>
  <c r="AT8" i="46"/>
  <c r="AS8" i="46"/>
  <c r="AR8" i="46"/>
  <c r="AQ8" i="46"/>
  <c r="AP65" i="46"/>
  <c r="AP62" i="46"/>
  <c r="AP40" i="46"/>
  <c r="AP37" i="46"/>
  <c r="AP28" i="46"/>
  <c r="AP27" i="46"/>
  <c r="AP15" i="46"/>
  <c r="AP9" i="46"/>
  <c r="AO65" i="46"/>
  <c r="AO62" i="46"/>
  <c r="AO60" i="46"/>
  <c r="AO48" i="46"/>
  <c r="AO44" i="46"/>
  <c r="AO41" i="46"/>
  <c r="AO40" i="46" s="1"/>
  <c r="AO37" i="46"/>
  <c r="AO28" i="46"/>
  <c r="AO27" i="46"/>
  <c r="AO15" i="46"/>
  <c r="AO9" i="46"/>
  <c r="AK65" i="46"/>
  <c r="AK62" i="46"/>
  <c r="AK40" i="46"/>
  <c r="AK37" i="46"/>
  <c r="AK28" i="46"/>
  <c r="AK27" i="46"/>
  <c r="AK15" i="46"/>
  <c r="AK9" i="46"/>
  <c r="AJ66" i="46"/>
  <c r="AJ65" i="46" s="1"/>
  <c r="AJ62" i="46"/>
  <c r="AJ41" i="46"/>
  <c r="AJ37" i="46"/>
  <c r="AJ29" i="46"/>
  <c r="AJ28" i="46"/>
  <c r="AJ27" i="46"/>
  <c r="AJ21" i="46"/>
  <c r="AJ15" i="46" s="1"/>
  <c r="AJ9" i="46"/>
  <c r="AF65" i="46"/>
  <c r="AF62" i="46"/>
  <c r="AF40" i="46"/>
  <c r="AF37" i="46"/>
  <c r="AF28" i="46"/>
  <c r="AF27" i="46"/>
  <c r="AF15" i="46"/>
  <c r="AF24" i="46" s="1"/>
  <c r="AF9" i="46"/>
  <c r="AE65" i="46"/>
  <c r="AE62" i="46"/>
  <c r="AE42" i="46"/>
  <c r="AE40" i="46" s="1"/>
  <c r="AE37" i="46"/>
  <c r="AE28" i="46"/>
  <c r="AE27" i="46"/>
  <c r="AE15" i="46"/>
  <c r="AE9" i="46"/>
  <c r="AE24" i="46" s="1"/>
  <c r="AA65" i="46"/>
  <c r="AA62" i="46"/>
  <c r="AA40" i="46"/>
  <c r="AA37" i="46"/>
  <c r="AA28" i="46"/>
  <c r="AA27" i="46"/>
  <c r="AA15" i="46"/>
  <c r="AA9" i="46"/>
  <c r="Z65" i="46"/>
  <c r="Z62" i="46"/>
  <c r="Z60" i="46"/>
  <c r="Z43" i="46"/>
  <c r="Z41" i="46"/>
  <c r="Z40" i="46"/>
  <c r="Z37" i="46"/>
  <c r="Z73" i="46" s="1"/>
  <c r="Z28" i="46"/>
  <c r="Z27" i="46"/>
  <c r="Z15" i="46"/>
  <c r="Z9" i="46"/>
  <c r="Z24" i="46" s="1"/>
  <c r="V65" i="46"/>
  <c r="V62" i="46"/>
  <c r="V40" i="46"/>
  <c r="V37" i="46"/>
  <c r="V28" i="46"/>
  <c r="V27" i="46"/>
  <c r="V15" i="46"/>
  <c r="V9" i="46"/>
  <c r="V24" i="46" s="1"/>
  <c r="U65" i="46"/>
  <c r="U62" i="46"/>
  <c r="U60" i="46"/>
  <c r="U41" i="46"/>
  <c r="U40" i="46" s="1"/>
  <c r="U37" i="46"/>
  <c r="U32" i="46"/>
  <c r="U28" i="46"/>
  <c r="U27" i="46"/>
  <c r="U15" i="46"/>
  <c r="U9" i="46"/>
  <c r="Q65" i="46"/>
  <c r="Q62" i="46"/>
  <c r="Q40" i="46"/>
  <c r="Q37" i="46"/>
  <c r="Q28" i="46"/>
  <c r="Q27" i="46"/>
  <c r="Q15" i="46"/>
  <c r="Q9" i="46"/>
  <c r="P65" i="46"/>
  <c r="P62" i="46"/>
  <c r="P40" i="46"/>
  <c r="P37" i="46"/>
  <c r="P32" i="46"/>
  <c r="P28" i="46" s="1"/>
  <c r="P27" i="46"/>
  <c r="P15" i="46"/>
  <c r="P9" i="46"/>
  <c r="P24" i="46" s="1"/>
  <c r="L65" i="46"/>
  <c r="L62" i="46"/>
  <c r="L37" i="46"/>
  <c r="L27" i="46"/>
  <c r="L15" i="46"/>
  <c r="K65" i="46"/>
  <c r="K62" i="46"/>
  <c r="K60" i="46"/>
  <c r="K59" i="46"/>
  <c r="K50" i="46"/>
  <c r="K47" i="46"/>
  <c r="K44" i="46"/>
  <c r="K43" i="46"/>
  <c r="K37" i="46"/>
  <c r="K34" i="46"/>
  <c r="K32" i="46"/>
  <c r="K28" i="46" s="1"/>
  <c r="K27" i="46"/>
  <c r="K15" i="46"/>
  <c r="G65" i="46"/>
  <c r="G62" i="46"/>
  <c r="G40" i="46"/>
  <c r="G37" i="46"/>
  <c r="G28" i="46"/>
  <c r="G27" i="46"/>
  <c r="G19" i="46"/>
  <c r="G16" i="46"/>
  <c r="G15" i="46"/>
  <c r="G9" i="46"/>
  <c r="F66" i="46"/>
  <c r="F65" i="46" s="1"/>
  <c r="F62" i="46"/>
  <c r="F59" i="46"/>
  <c r="F51" i="46"/>
  <c r="F47" i="46"/>
  <c r="F40" i="46" s="1"/>
  <c r="F46" i="46"/>
  <c r="F41" i="46"/>
  <c r="F38" i="46"/>
  <c r="F37" i="46"/>
  <c r="F34" i="46"/>
  <c r="F28" i="46" s="1"/>
  <c r="F27" i="46"/>
  <c r="F21" i="46"/>
  <c r="F19" i="46"/>
  <c r="F15" i="46" s="1"/>
  <c r="F16" i="46"/>
  <c r="F9" i="46"/>
  <c r="E21" i="46"/>
  <c r="J10" i="46"/>
  <c r="I40" i="58" l="1"/>
  <c r="H9" i="58"/>
  <c r="H39" i="58"/>
  <c r="Q21" i="53"/>
  <c r="AK24" i="46"/>
  <c r="AA24" i="46"/>
  <c r="AZ37" i="46"/>
  <c r="G24" i="46"/>
  <c r="AY15" i="46"/>
  <c r="H26" i="57"/>
  <c r="G26" i="57" s="1"/>
  <c r="G28" i="57"/>
  <c r="AO73" i="46"/>
  <c r="AZ65" i="46"/>
  <c r="AY65" i="46"/>
  <c r="AZ27" i="46"/>
  <c r="I104" i="57" s="1"/>
  <c r="AY27" i="46"/>
  <c r="H104" i="57" s="1"/>
  <c r="I8" i="57"/>
  <c r="I101" i="57" s="1"/>
  <c r="AZ62" i="46"/>
  <c r="AY62" i="46"/>
  <c r="F73" i="46"/>
  <c r="AZ15" i="46"/>
  <c r="AU73" i="46"/>
  <c r="AQ73" i="46"/>
  <c r="AV37" i="46"/>
  <c r="AT73" i="46"/>
  <c r="AT81" i="46"/>
  <c r="AR40" i="46"/>
  <c r="AS40" i="46"/>
  <c r="G73" i="46"/>
  <c r="K9" i="46"/>
  <c r="K24" i="46" s="1"/>
  <c r="L40" i="46"/>
  <c r="AZ40" i="46" s="1"/>
  <c r="U24" i="46"/>
  <c r="AE73" i="46"/>
  <c r="AE78" i="46" s="1"/>
  <c r="K40" i="46"/>
  <c r="K73" i="46" s="1"/>
  <c r="U73" i="46"/>
  <c r="U78" i="46" s="1"/>
  <c r="Q73" i="46"/>
  <c r="Q78" i="46" s="1"/>
  <c r="Q24" i="46"/>
  <c r="AA73" i="46"/>
  <c r="AJ40" i="46"/>
  <c r="AO24" i="46"/>
  <c r="AO78" i="46" s="1"/>
  <c r="AP24" i="46"/>
  <c r="V73" i="46"/>
  <c r="V78" i="46" s="1"/>
  <c r="L28" i="46"/>
  <c r="F24" i="46"/>
  <c r="L9" i="46"/>
  <c r="L24" i="46" s="1"/>
  <c r="AF73" i="46"/>
  <c r="AF78" i="46" s="1"/>
  <c r="AJ24" i="46"/>
  <c r="AK73" i="46"/>
  <c r="AP73" i="46"/>
  <c r="AP78" i="46" s="1"/>
  <c r="AJ73" i="46"/>
  <c r="Z78" i="46"/>
  <c r="P73" i="46"/>
  <c r="P78" i="46" s="1"/>
  <c r="F109" i="57"/>
  <c r="F81" i="57"/>
  <c r="E46" i="46"/>
  <c r="E25" i="46"/>
  <c r="F78" i="57"/>
  <c r="E35" i="39"/>
  <c r="Y41" i="46"/>
  <c r="T60" i="46"/>
  <c r="T41" i="46"/>
  <c r="AD42" i="46"/>
  <c r="E38" i="46"/>
  <c r="F23" i="57"/>
  <c r="K23" i="57"/>
  <c r="AK78" i="46" l="1"/>
  <c r="AA78" i="46"/>
  <c r="L73" i="46"/>
  <c r="AZ73" i="46" s="1"/>
  <c r="I105" i="57" s="1"/>
  <c r="I70" i="36" s="1"/>
  <c r="AZ28" i="46"/>
  <c r="G78" i="46"/>
  <c r="H10" i="57"/>
  <c r="F78" i="46"/>
  <c r="AY40" i="46"/>
  <c r="K78" i="46"/>
  <c r="AY73" i="46"/>
  <c r="H105" i="57" s="1"/>
  <c r="AJ78" i="46"/>
  <c r="AY24" i="46"/>
  <c r="H103" i="57" s="1"/>
  <c r="AZ24" i="46"/>
  <c r="I103" i="57" s="1"/>
  <c r="AY9" i="46"/>
  <c r="AZ9" i="46"/>
  <c r="AU78" i="46"/>
  <c r="AT78" i="46"/>
  <c r="AS73" i="46"/>
  <c r="AS78" i="46" s="1"/>
  <c r="AR73" i="46"/>
  <c r="AQ78" i="46"/>
  <c r="AI21" i="46"/>
  <c r="J47" i="46"/>
  <c r="E47" i="46"/>
  <c r="J44" i="46"/>
  <c r="AD66" i="46"/>
  <c r="AJ81" i="46"/>
  <c r="AK81" i="46"/>
  <c r="AC81" i="46"/>
  <c r="AD81" i="46"/>
  <c r="AD83" i="46" s="1"/>
  <c r="S81" i="46"/>
  <c r="N81" i="46"/>
  <c r="E70" i="46"/>
  <c r="E66" i="46"/>
  <c r="E78" i="62"/>
  <c r="E2" i="62"/>
  <c r="E194" i="62"/>
  <c r="G192" i="62"/>
  <c r="E189" i="62"/>
  <c r="E170" i="62" s="1"/>
  <c r="E74" i="62"/>
  <c r="E69" i="62"/>
  <c r="E68" i="62" s="1"/>
  <c r="E66" i="62"/>
  <c r="E62" i="62"/>
  <c r="E59" i="62"/>
  <c r="E46" i="62"/>
  <c r="E41" i="62"/>
  <c r="E35" i="62"/>
  <c r="E10" i="62"/>
  <c r="H12" i="44"/>
  <c r="H70" i="36" l="1"/>
  <c r="L78" i="46"/>
  <c r="AZ78" i="46" s="1"/>
  <c r="Q19" i="53"/>
  <c r="H9" i="57"/>
  <c r="G10" i="57"/>
  <c r="AY78" i="46"/>
  <c r="H102" i="57"/>
  <c r="I102" i="57"/>
  <c r="I115" i="57" s="1"/>
  <c r="AR78" i="46"/>
  <c r="E9" i="62"/>
  <c r="E76" i="62" s="1"/>
  <c r="E77" i="62"/>
  <c r="E197" i="62" s="1"/>
  <c r="G9" i="57" l="1"/>
  <c r="H8" i="57"/>
  <c r="H115" i="57"/>
  <c r="F76" i="62"/>
  <c r="E199" i="62"/>
  <c r="F197" i="62"/>
  <c r="H101" i="57" l="1"/>
  <c r="G101" i="57" s="1"/>
  <c r="G8" i="57"/>
  <c r="AI60" i="46"/>
  <c r="J60" i="46"/>
  <c r="J59" i="46"/>
  <c r="E59" i="46"/>
  <c r="E51" i="46"/>
  <c r="AN44" i="46"/>
  <c r="AI44" i="46"/>
  <c r="O44" i="46"/>
  <c r="E44" i="46"/>
  <c r="Y43" i="46"/>
  <c r="J43" i="46"/>
  <c r="AN41" i="46"/>
  <c r="E41" i="46"/>
  <c r="E34" i="46"/>
  <c r="J34" i="46"/>
  <c r="T32" i="46"/>
  <c r="T81" i="46" s="1"/>
  <c r="T83" i="46" s="1"/>
  <c r="O32" i="46"/>
  <c r="O81" i="46" s="1"/>
  <c r="O83" i="46" s="1"/>
  <c r="J32" i="46"/>
  <c r="J14" i="46"/>
  <c r="J45" i="46"/>
  <c r="F82" i="57"/>
  <c r="E19" i="46"/>
  <c r="E16" i="46"/>
  <c r="E81" i="46" l="1"/>
  <c r="E83" i="46" s="1"/>
  <c r="E12" i="39"/>
  <c r="R60" i="63"/>
  <c r="O60" i="63"/>
  <c r="N60" i="63"/>
  <c r="M60" i="63"/>
  <c r="L60" i="63"/>
  <c r="K60" i="63"/>
  <c r="H60" i="63"/>
  <c r="G60" i="63"/>
  <c r="F60" i="63"/>
  <c r="E60" i="63"/>
  <c r="D60" i="63"/>
  <c r="B60" i="63"/>
  <c r="O59" i="63"/>
  <c r="P59" i="63" s="1"/>
  <c r="Q59" i="63" s="1"/>
  <c r="L59" i="63"/>
  <c r="P58" i="63"/>
  <c r="I58" i="63"/>
  <c r="Q58" i="63" s="1"/>
  <c r="P57" i="63"/>
  <c r="Q57" i="63" s="1"/>
  <c r="I57" i="63"/>
  <c r="P56" i="63"/>
  <c r="I56" i="63"/>
  <c r="P55" i="63"/>
  <c r="I55" i="63"/>
  <c r="Q55" i="63" s="1"/>
  <c r="P54" i="63"/>
  <c r="Q54" i="63" s="1"/>
  <c r="I54" i="63"/>
  <c r="P53" i="63"/>
  <c r="I53" i="63"/>
  <c r="P52" i="63"/>
  <c r="I52" i="63"/>
  <c r="P51" i="63"/>
  <c r="I51" i="63"/>
  <c r="P50" i="63"/>
  <c r="I50" i="63"/>
  <c r="P49" i="63"/>
  <c r="I49" i="63"/>
  <c r="Q49" i="63" s="1"/>
  <c r="P48" i="63"/>
  <c r="Q48" i="63" s="1"/>
  <c r="I48" i="63"/>
  <c r="P47" i="63"/>
  <c r="I47" i="63"/>
  <c r="P46" i="63"/>
  <c r="I46" i="63"/>
  <c r="Q46" i="63" s="1"/>
  <c r="E78" i="57"/>
  <c r="F31" i="57"/>
  <c r="E31" i="57"/>
  <c r="K60" i="57"/>
  <c r="F60" i="57"/>
  <c r="E60" i="57" s="1"/>
  <c r="E23" i="57"/>
  <c r="K31" i="57"/>
  <c r="F57" i="57"/>
  <c r="E57" i="57" s="1"/>
  <c r="K57" i="57"/>
  <c r="F49" i="57"/>
  <c r="K49" i="57"/>
  <c r="F16" i="57"/>
  <c r="K16" i="57"/>
  <c r="O13" i="44"/>
  <c r="O24" i="44" s="1"/>
  <c r="O14" i="44"/>
  <c r="O25" i="44" s="1"/>
  <c r="O15" i="44"/>
  <c r="O26" i="44" s="1"/>
  <c r="O12" i="44"/>
  <c r="O23" i="44" s="1"/>
  <c r="U26" i="44"/>
  <c r="U25" i="44"/>
  <c r="U24" i="44"/>
  <c r="U23" i="44"/>
  <c r="T26" i="44"/>
  <c r="T25" i="44"/>
  <c r="T24" i="44"/>
  <c r="T23" i="44"/>
  <c r="S26" i="44"/>
  <c r="S25" i="44"/>
  <c r="S24" i="44"/>
  <c r="S23" i="44"/>
  <c r="R26" i="44"/>
  <c r="R25" i="44"/>
  <c r="R24" i="44"/>
  <c r="R23" i="44"/>
  <c r="Q26" i="44"/>
  <c r="Q25" i="44"/>
  <c r="Q24" i="44"/>
  <c r="Q23" i="44"/>
  <c r="P26" i="44"/>
  <c r="P25" i="44"/>
  <c r="P24" i="44"/>
  <c r="P23" i="44"/>
  <c r="G15" i="44"/>
  <c r="G26" i="44" s="1"/>
  <c r="G14" i="44"/>
  <c r="G25" i="44" s="1"/>
  <c r="G13" i="44"/>
  <c r="G24" i="44" s="1"/>
  <c r="F15" i="44"/>
  <c r="F14" i="44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6" i="39"/>
  <c r="D27" i="39"/>
  <c r="D28" i="39"/>
  <c r="D29" i="39"/>
  <c r="D31" i="39"/>
  <c r="D32" i="39"/>
  <c r="D34" i="39"/>
  <c r="D35" i="39"/>
  <c r="D36" i="39"/>
  <c r="D37" i="39"/>
  <c r="D38" i="39"/>
  <c r="D39" i="39"/>
  <c r="D40" i="39"/>
  <c r="D41" i="39"/>
  <c r="D42" i="39"/>
  <c r="D43" i="39"/>
  <c r="D44" i="39"/>
  <c r="E43" i="58"/>
  <c r="E44" i="58"/>
  <c r="E45" i="58"/>
  <c r="E47" i="58"/>
  <c r="E48" i="58"/>
  <c r="E49" i="58"/>
  <c r="E50" i="58"/>
  <c r="E51" i="58"/>
  <c r="E52" i="58"/>
  <c r="E53" i="58"/>
  <c r="E54" i="58"/>
  <c r="E57" i="58"/>
  <c r="E59" i="58"/>
  <c r="E60" i="58"/>
  <c r="E61" i="58"/>
  <c r="E62" i="58"/>
  <c r="E64" i="58"/>
  <c r="E65" i="58"/>
  <c r="E66" i="58"/>
  <c r="E67" i="58"/>
  <c r="E68" i="58"/>
  <c r="E69" i="58"/>
  <c r="E21" i="58"/>
  <c r="E22" i="58"/>
  <c r="E23" i="58"/>
  <c r="E25" i="58"/>
  <c r="E26" i="58"/>
  <c r="E27" i="58"/>
  <c r="E28" i="58"/>
  <c r="E29" i="58"/>
  <c r="E30" i="58"/>
  <c r="E31" i="58"/>
  <c r="E32" i="58"/>
  <c r="E33" i="58"/>
  <c r="E36" i="58"/>
  <c r="E37" i="58"/>
  <c r="E20" i="58"/>
  <c r="E18" i="58"/>
  <c r="E17" i="58"/>
  <c r="E16" i="58"/>
  <c r="E13" i="58"/>
  <c r="E12" i="58"/>
  <c r="E11" i="58"/>
  <c r="E10" i="58"/>
  <c r="E33" i="57"/>
  <c r="E34" i="57"/>
  <c r="E35" i="57"/>
  <c r="E36" i="57"/>
  <c r="E39" i="57"/>
  <c r="E40" i="57"/>
  <c r="E41" i="57"/>
  <c r="E42" i="57"/>
  <c r="E44" i="57"/>
  <c r="E45" i="57"/>
  <c r="E46" i="57"/>
  <c r="E49" i="57"/>
  <c r="E50" i="57"/>
  <c r="E51" i="57"/>
  <c r="E52" i="57"/>
  <c r="E54" i="57"/>
  <c r="E56" i="57"/>
  <c r="E59" i="57"/>
  <c r="E61" i="57"/>
  <c r="E63" i="57"/>
  <c r="E64" i="57"/>
  <c r="E66" i="57"/>
  <c r="E67" i="57"/>
  <c r="E68" i="57"/>
  <c r="E70" i="57"/>
  <c r="E71" i="57"/>
  <c r="E72" i="57"/>
  <c r="E73" i="57"/>
  <c r="E75" i="57"/>
  <c r="E76" i="57"/>
  <c r="E77" i="57"/>
  <c r="E80" i="57"/>
  <c r="E83" i="57"/>
  <c r="E84" i="57"/>
  <c r="E85" i="57"/>
  <c r="E86" i="57"/>
  <c r="E87" i="57"/>
  <c r="E88" i="57"/>
  <c r="E89" i="57"/>
  <c r="E90" i="57"/>
  <c r="E92" i="57"/>
  <c r="E93" i="57"/>
  <c r="E94" i="57"/>
  <c r="E97" i="57"/>
  <c r="E98" i="57"/>
  <c r="E99" i="57"/>
  <c r="E100" i="57"/>
  <c r="E109" i="57"/>
  <c r="E110" i="57"/>
  <c r="E111" i="57"/>
  <c r="E112" i="57"/>
  <c r="E114" i="57"/>
  <c r="E29" i="57"/>
  <c r="E27" i="57"/>
  <c r="E25" i="57"/>
  <c r="E24" i="57"/>
  <c r="E22" i="57"/>
  <c r="E21" i="57"/>
  <c r="E20" i="57"/>
  <c r="E19" i="57"/>
  <c r="E18" i="57"/>
  <c r="E17" i="57"/>
  <c r="E16" i="57"/>
  <c r="E15" i="57"/>
  <c r="E14" i="57"/>
  <c r="E13" i="57"/>
  <c r="E63" i="36"/>
  <c r="E62" i="36"/>
  <c r="E54" i="36"/>
  <c r="E53" i="36"/>
  <c r="E52" i="36"/>
  <c r="E50" i="36"/>
  <c r="E49" i="36"/>
  <c r="E48" i="36"/>
  <c r="E46" i="36"/>
  <c r="E45" i="36"/>
  <c r="E44" i="36"/>
  <c r="E43" i="36"/>
  <c r="E42" i="36"/>
  <c r="E40" i="36"/>
  <c r="E39" i="36"/>
  <c r="E38" i="36"/>
  <c r="E37" i="36"/>
  <c r="E36" i="36"/>
  <c r="E35" i="36"/>
  <c r="E34" i="36"/>
  <c r="E33" i="36"/>
  <c r="E32" i="36"/>
  <c r="E31" i="36"/>
  <c r="E29" i="36"/>
  <c r="E28" i="36"/>
  <c r="E27" i="36"/>
  <c r="E26" i="36"/>
  <c r="E25" i="36"/>
  <c r="E24" i="36"/>
  <c r="E22" i="36"/>
  <c r="E21" i="36"/>
  <c r="E20" i="36"/>
  <c r="E19" i="36"/>
  <c r="E18" i="36"/>
  <c r="E16" i="36"/>
  <c r="E15" i="36"/>
  <c r="E14" i="36"/>
  <c r="E13" i="36"/>
  <c r="E12" i="36"/>
  <c r="E11" i="36"/>
  <c r="Q51" i="63" l="1"/>
  <c r="Q60" i="63" s="1"/>
  <c r="P60" i="63"/>
  <c r="Q52" i="63"/>
  <c r="Q47" i="63"/>
  <c r="Q50" i="63"/>
  <c r="Q53" i="63"/>
  <c r="Q56" i="63"/>
  <c r="I60" i="63"/>
  <c r="D11" i="66"/>
  <c r="C11" i="66"/>
  <c r="D10" i="66"/>
  <c r="C10" i="66"/>
  <c r="AG66" i="46"/>
  <c r="AG60" i="46"/>
  <c r="AG41" i="46"/>
  <c r="AG29" i="46"/>
  <c r="AG21" i="46"/>
  <c r="C16" i="46"/>
  <c r="AV36" i="46"/>
  <c r="AW36" i="46"/>
  <c r="AX36" i="46"/>
  <c r="AY36" i="46"/>
  <c r="AZ36" i="46"/>
  <c r="AV61" i="46"/>
  <c r="AW61" i="46"/>
  <c r="AX61" i="46"/>
  <c r="AY61" i="46"/>
  <c r="AZ61" i="46"/>
  <c r="AV71" i="46"/>
  <c r="AW71" i="46"/>
  <c r="AX71" i="46"/>
  <c r="AY71" i="46"/>
  <c r="AZ71" i="46"/>
  <c r="AV72" i="46"/>
  <c r="AW72" i="46"/>
  <c r="AX72" i="46"/>
  <c r="AY72" i="46"/>
  <c r="AZ72" i="46"/>
  <c r="AV75" i="46"/>
  <c r="AW8" i="46"/>
  <c r="AX8" i="46"/>
  <c r="AY8" i="46"/>
  <c r="AZ8" i="46"/>
  <c r="AV8" i="46"/>
  <c r="AN65" i="46"/>
  <c r="AN62" i="46"/>
  <c r="AN60" i="46"/>
  <c r="AN48" i="46"/>
  <c r="AN37" i="46"/>
  <c r="AN28" i="46"/>
  <c r="AN27" i="46"/>
  <c r="AN15" i="46"/>
  <c r="AN9" i="46"/>
  <c r="AM65" i="46"/>
  <c r="AM62" i="46"/>
  <c r="AM60" i="46"/>
  <c r="AM48" i="46"/>
  <c r="AM37" i="46"/>
  <c r="AM28" i="46"/>
  <c r="AM27" i="46"/>
  <c r="AM15" i="46"/>
  <c r="AM9" i="46"/>
  <c r="AM8" i="46"/>
  <c r="AN8" i="46"/>
  <c r="AO8" i="46"/>
  <c r="AP8" i="46"/>
  <c r="AL8" i="46"/>
  <c r="AI66" i="46"/>
  <c r="AI65" i="46" s="1"/>
  <c r="AI62" i="46"/>
  <c r="AI41" i="46"/>
  <c r="AI40" i="46" s="1"/>
  <c r="AI37" i="46"/>
  <c r="AI29" i="46"/>
  <c r="AI27" i="46"/>
  <c r="AI15" i="46"/>
  <c r="AI9" i="46"/>
  <c r="AH66" i="46"/>
  <c r="AH65" i="46" s="1"/>
  <c r="AH41" i="46"/>
  <c r="AH40" i="46" s="1"/>
  <c r="AH29" i="46"/>
  <c r="AH21" i="46"/>
  <c r="AH15" i="46" s="1"/>
  <c r="AH62" i="46"/>
  <c r="AH37" i="46"/>
  <c r="AH27" i="46"/>
  <c r="AH9" i="46"/>
  <c r="AH8" i="46"/>
  <c r="AI8" i="46"/>
  <c r="AJ8" i="46"/>
  <c r="AK8" i="46"/>
  <c r="AG8" i="46"/>
  <c r="AC8" i="46"/>
  <c r="AD8" i="46"/>
  <c r="AE8" i="46"/>
  <c r="AF8" i="46"/>
  <c r="AB8" i="46"/>
  <c r="I71" i="36"/>
  <c r="H71" i="36"/>
  <c r="AD74" i="46"/>
  <c r="F106" i="57" s="1"/>
  <c r="G106" i="57" s="1"/>
  <c r="AD65" i="46"/>
  <c r="AD62" i="46"/>
  <c r="AD40" i="46"/>
  <c r="AD37" i="46"/>
  <c r="AD28" i="46"/>
  <c r="AD27" i="46"/>
  <c r="AD15" i="46"/>
  <c r="AD9" i="46"/>
  <c r="AC74" i="46"/>
  <c r="D106" i="57" s="1"/>
  <c r="AC65" i="46"/>
  <c r="AC62" i="46"/>
  <c r="AC40" i="46"/>
  <c r="AC37" i="46"/>
  <c r="AC28" i="46"/>
  <c r="AC27" i="46"/>
  <c r="AC15" i="46"/>
  <c r="AC9" i="46"/>
  <c r="Y65" i="46"/>
  <c r="Y62" i="46"/>
  <c r="Y60" i="46"/>
  <c r="Y37" i="46"/>
  <c r="Y28" i="46"/>
  <c r="Y27" i="46"/>
  <c r="Y15" i="46"/>
  <c r="Y9" i="46"/>
  <c r="X65" i="46"/>
  <c r="X62" i="46"/>
  <c r="X60" i="46"/>
  <c r="X37" i="46"/>
  <c r="X28" i="46"/>
  <c r="X27" i="46"/>
  <c r="X15" i="46"/>
  <c r="X9" i="46"/>
  <c r="X8" i="46"/>
  <c r="Y8" i="46"/>
  <c r="Z8" i="46"/>
  <c r="AA8" i="46"/>
  <c r="W8" i="46"/>
  <c r="T65" i="46"/>
  <c r="T62" i="46"/>
  <c r="T40" i="46"/>
  <c r="T37" i="46"/>
  <c r="T28" i="46"/>
  <c r="T27" i="46"/>
  <c r="T15" i="46"/>
  <c r="T9" i="46"/>
  <c r="S65" i="46"/>
  <c r="S62" i="46"/>
  <c r="S40" i="46"/>
  <c r="S37" i="46"/>
  <c r="S28" i="46"/>
  <c r="S27" i="46"/>
  <c r="S15" i="46"/>
  <c r="S9" i="46"/>
  <c r="S8" i="46"/>
  <c r="T8" i="46"/>
  <c r="U8" i="46"/>
  <c r="V8" i="46"/>
  <c r="R8" i="46"/>
  <c r="O65" i="46"/>
  <c r="O62" i="46"/>
  <c r="O59" i="46"/>
  <c r="O40" i="46" s="1"/>
  <c r="O37" i="46"/>
  <c r="O28" i="46"/>
  <c r="O27" i="46"/>
  <c r="O15" i="46"/>
  <c r="O9" i="46"/>
  <c r="N65" i="46"/>
  <c r="N62" i="46"/>
  <c r="N59" i="46"/>
  <c r="N40" i="46" s="1"/>
  <c r="N37" i="46"/>
  <c r="N28" i="46"/>
  <c r="N27" i="46"/>
  <c r="N15" i="46"/>
  <c r="N9" i="46"/>
  <c r="N8" i="46"/>
  <c r="O8" i="46"/>
  <c r="P8" i="46"/>
  <c r="Q8" i="46"/>
  <c r="M8" i="46"/>
  <c r="J65" i="46"/>
  <c r="J62" i="46"/>
  <c r="J50" i="46"/>
  <c r="J81" i="46" s="1"/>
  <c r="J37" i="46"/>
  <c r="J28" i="46"/>
  <c r="J27" i="46"/>
  <c r="J15" i="46"/>
  <c r="J9" i="46"/>
  <c r="I65" i="46"/>
  <c r="I62" i="46"/>
  <c r="I60" i="46"/>
  <c r="I50" i="46"/>
  <c r="I37" i="46"/>
  <c r="I28" i="46"/>
  <c r="I27" i="46"/>
  <c r="I15" i="46"/>
  <c r="I14" i="46"/>
  <c r="I9" i="46" s="1"/>
  <c r="I8" i="46"/>
  <c r="J8" i="46"/>
  <c r="K8" i="46"/>
  <c r="L8" i="46"/>
  <c r="H8" i="46"/>
  <c r="E65" i="46"/>
  <c r="E62" i="46"/>
  <c r="E37" i="46"/>
  <c r="E28" i="46"/>
  <c r="E27" i="46"/>
  <c r="E15" i="46"/>
  <c r="E9" i="46"/>
  <c r="D70" i="46"/>
  <c r="D65" i="46" s="1"/>
  <c r="D62" i="46"/>
  <c r="D59" i="46"/>
  <c r="D46" i="46"/>
  <c r="D37" i="46"/>
  <c r="D28" i="46"/>
  <c r="D27" i="46"/>
  <c r="D16" i="46"/>
  <c r="D15" i="46" s="1"/>
  <c r="D9" i="46"/>
  <c r="I81" i="36"/>
  <c r="I80" i="36" s="1"/>
  <c r="I79" i="36"/>
  <c r="I78" i="36"/>
  <c r="I77" i="36"/>
  <c r="H81" i="36"/>
  <c r="H80" i="36" s="1"/>
  <c r="Q20" i="53" s="1"/>
  <c r="H79" i="36"/>
  <c r="G79" i="36" s="1"/>
  <c r="H78" i="36"/>
  <c r="G78" i="36" s="1"/>
  <c r="H77" i="36"/>
  <c r="G77" i="36" s="1"/>
  <c r="F81" i="36"/>
  <c r="F80" i="36" s="1"/>
  <c r="E80" i="36" s="1"/>
  <c r="F79" i="36"/>
  <c r="F78" i="36"/>
  <c r="F77" i="36"/>
  <c r="D81" i="36"/>
  <c r="D80" i="36" s="1"/>
  <c r="D79" i="36"/>
  <c r="D78" i="36"/>
  <c r="D77" i="36"/>
  <c r="F113" i="57"/>
  <c r="D113" i="57"/>
  <c r="F96" i="57"/>
  <c r="F91" i="57"/>
  <c r="F79" i="57"/>
  <c r="F74" i="57"/>
  <c r="F69" i="57"/>
  <c r="F62" i="57"/>
  <c r="E62" i="57" s="1"/>
  <c r="F58" i="57"/>
  <c r="E58" i="57" s="1"/>
  <c r="F55" i="57"/>
  <c r="F53" i="57"/>
  <c r="F48" i="57"/>
  <c r="F43" i="57"/>
  <c r="F38" i="57"/>
  <c r="F32" i="57"/>
  <c r="E32" i="57" s="1"/>
  <c r="F30" i="57"/>
  <c r="F12" i="57"/>
  <c r="F11" i="57"/>
  <c r="D96" i="57"/>
  <c r="D95" i="57" s="1"/>
  <c r="D91" i="57"/>
  <c r="D82" i="57"/>
  <c r="E82" i="57" s="1"/>
  <c r="D81" i="57"/>
  <c r="D74" i="57"/>
  <c r="D69" i="57"/>
  <c r="D65" i="57" s="1"/>
  <c r="D62" i="57"/>
  <c r="D58" i="57"/>
  <c r="D55" i="57"/>
  <c r="D53" i="57"/>
  <c r="D48" i="57"/>
  <c r="D43" i="57"/>
  <c r="D38" i="57"/>
  <c r="D37" i="57" s="1"/>
  <c r="D32" i="57"/>
  <c r="D30" i="57"/>
  <c r="D12" i="57"/>
  <c r="D11" i="57" s="1"/>
  <c r="I74" i="36"/>
  <c r="H74" i="36"/>
  <c r="F63" i="58"/>
  <c r="F58" i="58"/>
  <c r="G58" i="58" s="1"/>
  <c r="F56" i="58"/>
  <c r="F46" i="58"/>
  <c r="G46" i="58" s="1"/>
  <c r="F42" i="58"/>
  <c r="G42" i="58" s="1"/>
  <c r="F35" i="58"/>
  <c r="G35" i="58" s="1"/>
  <c r="F34" i="58"/>
  <c r="G34" i="58" s="1"/>
  <c r="F24" i="58"/>
  <c r="F19" i="58"/>
  <c r="F15" i="58"/>
  <c r="G15" i="58" s="1"/>
  <c r="D63" i="58"/>
  <c r="L12" i="44" s="1"/>
  <c r="D58" i="58"/>
  <c r="D56" i="58"/>
  <c r="D46" i="58"/>
  <c r="D42" i="58"/>
  <c r="D35" i="58"/>
  <c r="D34" i="58" s="1"/>
  <c r="D24" i="58"/>
  <c r="D19" i="58"/>
  <c r="D15" i="58"/>
  <c r="D14" i="58" s="1"/>
  <c r="C9" i="39"/>
  <c r="H72" i="36"/>
  <c r="G72" i="36" s="1"/>
  <c r="E33" i="39"/>
  <c r="E25" i="39"/>
  <c r="E11" i="39"/>
  <c r="C33" i="39"/>
  <c r="C30" i="39" s="1"/>
  <c r="C25" i="39"/>
  <c r="C11" i="39"/>
  <c r="G71" i="36" l="1"/>
  <c r="E56" i="58"/>
  <c r="G56" i="58"/>
  <c r="E24" i="58"/>
  <c r="G24" i="58"/>
  <c r="E63" i="58"/>
  <c r="G63" i="58"/>
  <c r="E19" i="58"/>
  <c r="G19" i="58"/>
  <c r="D11" i="39"/>
  <c r="D25" i="39"/>
  <c r="D41" i="58"/>
  <c r="J12" i="44" s="1"/>
  <c r="E34" i="58"/>
  <c r="D55" i="58"/>
  <c r="E35" i="58"/>
  <c r="E42" i="58"/>
  <c r="F95" i="57"/>
  <c r="E95" i="57" s="1"/>
  <c r="E96" i="57"/>
  <c r="F37" i="57"/>
  <c r="E37" i="57" s="1"/>
  <c r="E38" i="57"/>
  <c r="E43" i="57"/>
  <c r="E69" i="57"/>
  <c r="E113" i="57"/>
  <c r="E11" i="57"/>
  <c r="E12" i="57"/>
  <c r="E53" i="57"/>
  <c r="D79" i="57"/>
  <c r="E79" i="57" s="1"/>
  <c r="E81" i="57"/>
  <c r="E55" i="57"/>
  <c r="E91" i="57"/>
  <c r="E81" i="36"/>
  <c r="E79" i="36"/>
  <c r="AW65" i="46"/>
  <c r="AX65" i="46"/>
  <c r="AX28" i="46"/>
  <c r="AW28" i="46"/>
  <c r="E77" i="36"/>
  <c r="E78" i="36"/>
  <c r="I76" i="36"/>
  <c r="F104" i="57"/>
  <c r="Y40" i="46"/>
  <c r="Y81" i="46"/>
  <c r="Y83" i="46" s="1"/>
  <c r="AH28" i="46"/>
  <c r="AH81" i="46"/>
  <c r="AI28" i="46"/>
  <c r="AI81" i="46"/>
  <c r="AI83" i="46" s="1"/>
  <c r="X40" i="46"/>
  <c r="X81" i="46"/>
  <c r="E30" i="39"/>
  <c r="D30" i="39" s="1"/>
  <c r="D33" i="39"/>
  <c r="D81" i="46"/>
  <c r="J83" i="46"/>
  <c r="I81" i="46"/>
  <c r="E58" i="58"/>
  <c r="I75" i="36"/>
  <c r="F41" i="58"/>
  <c r="G41" i="58" s="1"/>
  <c r="E46" i="58"/>
  <c r="F14" i="58"/>
  <c r="E15" i="58"/>
  <c r="F65" i="57"/>
  <c r="E65" i="57" s="1"/>
  <c r="E74" i="57"/>
  <c r="F28" i="57"/>
  <c r="E30" i="57"/>
  <c r="F47" i="57"/>
  <c r="E48" i="57"/>
  <c r="F71" i="36"/>
  <c r="E106" i="57"/>
  <c r="I69" i="36"/>
  <c r="H69" i="36"/>
  <c r="D104" i="57"/>
  <c r="D47" i="57"/>
  <c r="D28" i="57"/>
  <c r="D26" i="57" s="1"/>
  <c r="F55" i="58"/>
  <c r="G55" i="58" s="1"/>
  <c r="D76" i="36"/>
  <c r="F76" i="36"/>
  <c r="E76" i="36" s="1"/>
  <c r="H76" i="36"/>
  <c r="G76" i="36" s="1"/>
  <c r="D74" i="36"/>
  <c r="E10" i="39"/>
  <c r="I72" i="36"/>
  <c r="C10" i="39"/>
  <c r="AN24" i="46"/>
  <c r="AM24" i="46"/>
  <c r="AH24" i="46"/>
  <c r="AN40" i="46"/>
  <c r="AD24" i="46"/>
  <c r="AI24" i="46"/>
  <c r="AM40" i="46"/>
  <c r="AI73" i="46"/>
  <c r="AH73" i="46"/>
  <c r="S24" i="46"/>
  <c r="AC73" i="46"/>
  <c r="X24" i="46"/>
  <c r="AD73" i="46"/>
  <c r="AC24" i="46"/>
  <c r="X73" i="46"/>
  <c r="Y24" i="46"/>
  <c r="Y73" i="46"/>
  <c r="T24" i="46"/>
  <c r="S73" i="46"/>
  <c r="T73" i="46"/>
  <c r="E40" i="46"/>
  <c r="N73" i="46"/>
  <c r="O24" i="46"/>
  <c r="N24" i="46"/>
  <c r="O73" i="46"/>
  <c r="J40" i="46"/>
  <c r="J73" i="46" s="1"/>
  <c r="J24" i="46"/>
  <c r="I24" i="46"/>
  <c r="I40" i="46"/>
  <c r="I73" i="46" s="1"/>
  <c r="D24" i="46"/>
  <c r="D40" i="46"/>
  <c r="E24" i="46"/>
  <c r="D10" i="57"/>
  <c r="D9" i="57" s="1"/>
  <c r="F39" i="58"/>
  <c r="G39" i="58" s="1"/>
  <c r="D39" i="58"/>
  <c r="D9" i="58"/>
  <c r="G69" i="36" l="1"/>
  <c r="F69" i="36"/>
  <c r="G104" i="57"/>
  <c r="E14" i="58"/>
  <c r="G14" i="58"/>
  <c r="C45" i="39"/>
  <c r="D108" i="57" s="1"/>
  <c r="D107" i="57" s="1"/>
  <c r="D72" i="36" s="1"/>
  <c r="F12" i="44"/>
  <c r="D75" i="36"/>
  <c r="D73" i="36" s="1"/>
  <c r="K12" i="44"/>
  <c r="M12" i="44" s="1"/>
  <c r="D70" i="58"/>
  <c r="D40" i="58"/>
  <c r="F9" i="58"/>
  <c r="D8" i="57"/>
  <c r="D101" i="57" s="1"/>
  <c r="E47" i="57"/>
  <c r="AN73" i="46"/>
  <c r="AX73" i="46" s="1"/>
  <c r="AX40" i="46"/>
  <c r="AM73" i="46"/>
  <c r="AW73" i="46" s="1"/>
  <c r="AW40" i="46"/>
  <c r="I73" i="36"/>
  <c r="E104" i="57"/>
  <c r="F70" i="58"/>
  <c r="F75" i="36"/>
  <c r="E55" i="58"/>
  <c r="F40" i="58"/>
  <c r="F74" i="36"/>
  <c r="E41" i="58"/>
  <c r="E39" i="58"/>
  <c r="E45" i="39"/>
  <c r="D10" i="39"/>
  <c r="F13" i="44"/>
  <c r="F26" i="57"/>
  <c r="E28" i="57"/>
  <c r="H75" i="36"/>
  <c r="AD78" i="46"/>
  <c r="E73" i="46"/>
  <c r="F103" i="57"/>
  <c r="G103" i="57" s="1"/>
  <c r="D73" i="46"/>
  <c r="D103" i="57"/>
  <c r="AI78" i="46"/>
  <c r="AH78" i="46"/>
  <c r="S78" i="46"/>
  <c r="AC78" i="46"/>
  <c r="X78" i="46"/>
  <c r="Y78" i="46"/>
  <c r="T78" i="46"/>
  <c r="I78" i="46"/>
  <c r="J78" i="46"/>
  <c r="O78" i="46"/>
  <c r="N78" i="46"/>
  <c r="E40" i="58" l="1"/>
  <c r="G40" i="58"/>
  <c r="E9" i="58"/>
  <c r="G9" i="58"/>
  <c r="E70" i="58"/>
  <c r="G70" i="58"/>
  <c r="E74" i="36"/>
  <c r="G74" i="36"/>
  <c r="H73" i="36"/>
  <c r="G75" i="36"/>
  <c r="E75" i="36"/>
  <c r="AN78" i="46"/>
  <c r="AX78" i="46" s="1"/>
  <c r="AM78" i="46"/>
  <c r="D105" i="57"/>
  <c r="D102" i="57" s="1"/>
  <c r="D115" i="57" s="1"/>
  <c r="F105" i="57"/>
  <c r="AW78" i="46"/>
  <c r="E78" i="46"/>
  <c r="F73" i="36"/>
  <c r="E73" i="36" s="1"/>
  <c r="F108" i="57"/>
  <c r="D45" i="39"/>
  <c r="E26" i="57"/>
  <c r="F10" i="57"/>
  <c r="D78" i="46"/>
  <c r="E103" i="57"/>
  <c r="F68" i="36"/>
  <c r="H68" i="36"/>
  <c r="I68" i="36"/>
  <c r="E105" i="57" l="1"/>
  <c r="G105" i="57"/>
  <c r="G68" i="36"/>
  <c r="G73" i="36"/>
  <c r="F70" i="36"/>
  <c r="G70" i="36" s="1"/>
  <c r="I67" i="36"/>
  <c r="I66" i="36" s="1"/>
  <c r="I65" i="36" s="1"/>
  <c r="H67" i="36"/>
  <c r="F107" i="57"/>
  <c r="E108" i="57"/>
  <c r="F9" i="57"/>
  <c r="E10" i="57"/>
  <c r="H66" i="36" l="1"/>
  <c r="F72" i="36"/>
  <c r="E107" i="57"/>
  <c r="F102" i="57"/>
  <c r="G102" i="57" s="1"/>
  <c r="F8" i="57"/>
  <c r="E9" i="57"/>
  <c r="H65" i="36" l="1"/>
  <c r="F115" i="57"/>
  <c r="E102" i="57"/>
  <c r="E72" i="36"/>
  <c r="F67" i="36"/>
  <c r="F101" i="57"/>
  <c r="E101" i="57" s="1"/>
  <c r="E8" i="57"/>
  <c r="F66" i="36" l="1"/>
  <c r="G67" i="36"/>
  <c r="E115" i="57"/>
  <c r="G115" i="57"/>
  <c r="D64" i="60"/>
  <c r="D63" i="60" s="1"/>
  <c r="E64" i="60"/>
  <c r="E63" i="60" s="1"/>
  <c r="F64" i="60"/>
  <c r="F63" i="60" s="1"/>
  <c r="P82" i="57"/>
  <c r="M82" i="57"/>
  <c r="K53" i="57"/>
  <c r="K55" i="57"/>
  <c r="K58" i="57"/>
  <c r="F65" i="36" l="1"/>
  <c r="G65" i="36" s="1"/>
  <c r="G66" i="36"/>
  <c r="C81" i="46"/>
  <c r="AG81" i="46"/>
  <c r="C106" i="57"/>
  <c r="C71" i="36" s="1"/>
  <c r="M81" i="46"/>
  <c r="R81" i="46"/>
  <c r="AB81" i="46"/>
  <c r="AF81" i="46"/>
  <c r="AM81" i="46"/>
  <c r="K86" i="57"/>
  <c r="K85" i="57"/>
  <c r="K84" i="57"/>
  <c r="H81" i="46" l="1"/>
  <c r="W81" i="46"/>
  <c r="AL81" i="46"/>
  <c r="K62" i="57"/>
  <c r="K48" i="57"/>
  <c r="K43" i="57"/>
  <c r="K38" i="57"/>
  <c r="K37" i="57" s="1"/>
  <c r="K32" i="57"/>
  <c r="K30" i="57"/>
  <c r="K28" i="57" s="1"/>
  <c r="K26" i="57" s="1"/>
  <c r="K12" i="57"/>
  <c r="K11" i="57" s="1"/>
  <c r="C58" i="57"/>
  <c r="C55" i="57"/>
  <c r="C53" i="57"/>
  <c r="C43" i="57"/>
  <c r="C38" i="57"/>
  <c r="C37" i="57"/>
  <c r="C32" i="57"/>
  <c r="C30" i="57"/>
  <c r="C28" i="57" s="1"/>
  <c r="C26" i="57" s="1"/>
  <c r="C12" i="57"/>
  <c r="C11" i="57" s="1"/>
  <c r="C47" i="57" l="1"/>
  <c r="C10" i="57" s="1"/>
  <c r="C9" i="57" s="1"/>
  <c r="K47" i="57"/>
  <c r="K10" i="57" s="1"/>
  <c r="K9" i="57" s="1"/>
  <c r="C37" i="63" l="1"/>
  <c r="B37" i="63"/>
  <c r="T20" i="63"/>
  <c r="R20" i="63"/>
  <c r="O20" i="63"/>
  <c r="N20" i="63"/>
  <c r="L20" i="63"/>
  <c r="H20" i="63"/>
  <c r="G20" i="63"/>
  <c r="F20" i="63"/>
  <c r="E20" i="63"/>
  <c r="D20" i="63"/>
  <c r="B20" i="63"/>
  <c r="O19" i="63"/>
  <c r="M19" i="63"/>
  <c r="M20" i="63" s="1"/>
  <c r="L19" i="63"/>
  <c r="P18" i="63"/>
  <c r="I18" i="63"/>
  <c r="Q18" i="63" s="1"/>
  <c r="P17" i="63"/>
  <c r="Q17" i="63" s="1"/>
  <c r="I17" i="63"/>
  <c r="Q16" i="63"/>
  <c r="P16" i="63"/>
  <c r="I16" i="63"/>
  <c r="P15" i="63"/>
  <c r="I15" i="63"/>
  <c r="Q14" i="63"/>
  <c r="P14" i="63"/>
  <c r="I14" i="63"/>
  <c r="P13" i="63"/>
  <c r="I13" i="63"/>
  <c r="Q13" i="63" s="1"/>
  <c r="P12" i="63"/>
  <c r="I12" i="63"/>
  <c r="Q12" i="63" s="1"/>
  <c r="P11" i="63"/>
  <c r="I11" i="63"/>
  <c r="Q10" i="63"/>
  <c r="P10" i="63"/>
  <c r="I10" i="63"/>
  <c r="P9" i="63"/>
  <c r="I9" i="63"/>
  <c r="Q8" i="63"/>
  <c r="P8" i="63"/>
  <c r="I8" i="63"/>
  <c r="P7" i="63"/>
  <c r="I7" i="63"/>
  <c r="Q7" i="63" s="1"/>
  <c r="K6" i="63"/>
  <c r="K20" i="63" s="1"/>
  <c r="I6" i="63"/>
  <c r="Q9" i="63" l="1"/>
  <c r="Q11" i="63"/>
  <c r="Q15" i="63"/>
  <c r="P6" i="63"/>
  <c r="Q6" i="63" s="1"/>
  <c r="E21" i="63"/>
  <c r="I20" i="63"/>
  <c r="P19" i="63"/>
  <c r="Q19" i="63" s="1"/>
  <c r="P20" i="63"/>
  <c r="Q20" i="63" l="1"/>
  <c r="G12" i="44" l="1"/>
  <c r="G23" i="44" s="1"/>
  <c r="C9" i="66"/>
  <c r="E2" i="66"/>
  <c r="E17" i="66"/>
  <c r="D17" i="66"/>
  <c r="D16" i="66" s="1"/>
  <c r="D9" i="66" s="1"/>
  <c r="E16" i="66"/>
  <c r="C16" i="66"/>
  <c r="E9" i="66" l="1"/>
  <c r="D75" i="60"/>
  <c r="E75" i="60"/>
  <c r="F75" i="60"/>
  <c r="C75" i="60"/>
  <c r="K11" i="56"/>
  <c r="K12" i="56"/>
  <c r="K13" i="56"/>
  <c r="AL15" i="46" l="1"/>
  <c r="AG15" i="46"/>
  <c r="AB15" i="46"/>
  <c r="W15" i="46"/>
  <c r="R15" i="46"/>
  <c r="M15" i="46"/>
  <c r="H15" i="46"/>
  <c r="C15" i="46"/>
  <c r="C79" i="57"/>
  <c r="C74" i="57"/>
  <c r="N112" i="57" l="1"/>
  <c r="J2" i="65" l="1"/>
  <c r="E20" i="65"/>
  <c r="E19" i="65" s="1"/>
  <c r="E18" i="65" s="1"/>
  <c r="D20" i="65"/>
  <c r="D19" i="65" s="1"/>
  <c r="D18" i="65" s="1"/>
  <c r="J19" i="65"/>
  <c r="J18" i="65" s="1"/>
  <c r="I19" i="65"/>
  <c r="I18" i="65" s="1"/>
  <c r="J14" i="65"/>
  <c r="I14" i="65"/>
  <c r="E14" i="65"/>
  <c r="D14" i="65"/>
  <c r="J8" i="65"/>
  <c r="I8" i="65"/>
  <c r="E8" i="65"/>
  <c r="D8" i="65"/>
  <c r="J6" i="65"/>
  <c r="I6" i="65"/>
  <c r="H6" i="65"/>
  <c r="G2" i="64"/>
  <c r="D7" i="65" l="1"/>
  <c r="D25" i="65" s="1"/>
  <c r="I7" i="65"/>
  <c r="I25" i="65" s="1"/>
  <c r="J7" i="65"/>
  <c r="J25" i="65" s="1"/>
  <c r="E7" i="65"/>
  <c r="E25" i="65" s="1"/>
  <c r="AG65" i="46" l="1"/>
  <c r="AL65" i="46"/>
  <c r="AB65" i="46"/>
  <c r="W65" i="46"/>
  <c r="R65" i="46"/>
  <c r="M65" i="46"/>
  <c r="H65" i="46"/>
  <c r="AL62" i="46"/>
  <c r="AG62" i="46"/>
  <c r="AB62" i="46"/>
  <c r="W62" i="46"/>
  <c r="R62" i="46"/>
  <c r="M62" i="46"/>
  <c r="H62" i="46"/>
  <c r="AL40" i="46"/>
  <c r="AV40" i="46" s="1"/>
  <c r="C40" i="46"/>
  <c r="H40" i="46"/>
  <c r="AG40" i="46"/>
  <c r="R40" i="46"/>
  <c r="M40" i="46"/>
  <c r="AL37" i="46"/>
  <c r="AG37" i="46"/>
  <c r="AB37" i="46"/>
  <c r="W37" i="46"/>
  <c r="R37" i="46"/>
  <c r="M37" i="46"/>
  <c r="H37" i="46"/>
  <c r="C37" i="46"/>
  <c r="M28" i="46"/>
  <c r="AL28" i="46"/>
  <c r="AG28" i="46"/>
  <c r="AB28" i="46"/>
  <c r="W28" i="46"/>
  <c r="R28" i="46"/>
  <c r="AV28" i="46" s="1"/>
  <c r="H28" i="46"/>
  <c r="C28" i="46"/>
  <c r="AL27" i="46"/>
  <c r="AG27" i="46"/>
  <c r="AB27" i="46"/>
  <c r="W27" i="46"/>
  <c r="R27" i="46"/>
  <c r="M27" i="46"/>
  <c r="H27" i="46"/>
  <c r="AL9" i="46"/>
  <c r="AL24" i="46" s="1"/>
  <c r="AG9" i="46"/>
  <c r="AG24" i="46" s="1"/>
  <c r="AB9" i="46"/>
  <c r="AB24" i="46" s="1"/>
  <c r="W9" i="46"/>
  <c r="W24" i="46" s="1"/>
  <c r="R9" i="46"/>
  <c r="R24" i="46" s="1"/>
  <c r="M9" i="46"/>
  <c r="M24" i="46" s="1"/>
  <c r="H9" i="46"/>
  <c r="H24" i="46" s="1"/>
  <c r="C9" i="46"/>
  <c r="B33" i="39"/>
  <c r="K2" i="56"/>
  <c r="F2" i="60" s="1"/>
  <c r="AV65" i="46" l="1"/>
  <c r="C24" i="46"/>
  <c r="C103" i="57" s="1"/>
  <c r="M73" i="46"/>
  <c r="M78" i="46" s="1"/>
  <c r="R73" i="46"/>
  <c r="H73" i="46"/>
  <c r="AG73" i="46"/>
  <c r="AG78" i="46" s="1"/>
  <c r="AL73" i="46"/>
  <c r="AB40" i="46"/>
  <c r="AB73" i="46" s="1"/>
  <c r="C27" i="46"/>
  <c r="C104" i="57" s="1"/>
  <c r="C69" i="36" s="1"/>
  <c r="C62" i="46"/>
  <c r="W40" i="46"/>
  <c r="W73" i="46" s="1"/>
  <c r="C65" i="46"/>
  <c r="R78" i="46" l="1"/>
  <c r="AV73" i="46"/>
  <c r="C68" i="36"/>
  <c r="AB78" i="46"/>
  <c r="H78" i="46"/>
  <c r="W78" i="46"/>
  <c r="AL78" i="46"/>
  <c r="C73" i="46"/>
  <c r="AV78" i="46" l="1"/>
  <c r="C105" i="57"/>
  <c r="C70" i="36" s="1"/>
  <c r="C78" i="46"/>
  <c r="K112" i="57" l="1"/>
  <c r="J12" i="64" l="1"/>
  <c r="J14" i="64"/>
  <c r="J13" i="64"/>
  <c r="I12" i="64"/>
  <c r="AO81" i="46" l="1"/>
  <c r="N16" i="53" l="1"/>
  <c r="D60" i="36"/>
  <c r="F60" i="36"/>
  <c r="H60" i="36"/>
  <c r="I60" i="36"/>
  <c r="C60" i="36"/>
  <c r="Q16" i="53" l="1"/>
  <c r="G60" i="36"/>
  <c r="E60" i="36"/>
  <c r="AN81" i="46"/>
  <c r="AN83" i="46" s="1"/>
  <c r="C58" i="36" l="1"/>
  <c r="C21" i="65" s="1"/>
  <c r="G12" i="51"/>
  <c r="C96" i="57"/>
  <c r="N22" i="53" l="1"/>
  <c r="C9" i="60" l="1"/>
  <c r="C10" i="60"/>
  <c r="C11" i="60"/>
  <c r="C12" i="60"/>
  <c r="C13" i="60"/>
  <c r="C14" i="60"/>
  <c r="C16" i="60"/>
  <c r="C17" i="60"/>
  <c r="C18" i="60"/>
  <c r="C19" i="60"/>
  <c r="C20" i="60"/>
  <c r="C22" i="60"/>
  <c r="C23" i="60"/>
  <c r="C24" i="60"/>
  <c r="C25" i="60"/>
  <c r="C26" i="60"/>
  <c r="C27" i="60"/>
  <c r="C29" i="60"/>
  <c r="C30" i="60"/>
  <c r="C31" i="60"/>
  <c r="C32" i="60"/>
  <c r="C33" i="60"/>
  <c r="C34" i="60"/>
  <c r="C35" i="60"/>
  <c r="C36" i="60"/>
  <c r="C37" i="60"/>
  <c r="C38" i="60"/>
  <c r="C40" i="60"/>
  <c r="C41" i="60"/>
  <c r="C42" i="60"/>
  <c r="C43" i="60"/>
  <c r="C44" i="60"/>
  <c r="C46" i="60"/>
  <c r="C47" i="60"/>
  <c r="C48" i="60"/>
  <c r="C50" i="60"/>
  <c r="C51" i="60"/>
  <c r="C52" i="60"/>
  <c r="F58" i="36" l="1"/>
  <c r="G14" i="51"/>
  <c r="D58" i="36"/>
  <c r="G13" i="51"/>
  <c r="D59" i="36"/>
  <c r="F59" i="36"/>
  <c r="C59" i="36"/>
  <c r="C22" i="65" s="1"/>
  <c r="C20" i="65" s="1"/>
  <c r="C19" i="65" s="1"/>
  <c r="C18" i="65" s="1"/>
  <c r="E59" i="36" l="1"/>
  <c r="E58" i="36"/>
  <c r="D57" i="36"/>
  <c r="D56" i="36" s="1"/>
  <c r="F57" i="36"/>
  <c r="F56" i="36" l="1"/>
  <c r="E56" i="36" s="1"/>
  <c r="E57" i="36"/>
  <c r="H59" i="36"/>
  <c r="G59" i="36" s="1"/>
  <c r="I59" i="36"/>
  <c r="N2" i="44" l="1"/>
  <c r="AY2" i="46"/>
  <c r="P2" i="46" s="1"/>
  <c r="H2" i="52"/>
  <c r="N2" i="53"/>
  <c r="M2" i="51"/>
  <c r="G2" i="39"/>
  <c r="H2" i="58"/>
  <c r="H2" i="57"/>
  <c r="C79" i="36"/>
  <c r="G15" i="64" l="1"/>
  <c r="F15" i="64"/>
  <c r="C15" i="64"/>
  <c r="B15" i="64"/>
  <c r="E15" i="64"/>
  <c r="D15" i="64"/>
  <c r="C95" i="57"/>
  <c r="F17" i="36"/>
  <c r="E15" i="44"/>
  <c r="E26" i="44" s="1"/>
  <c r="E14" i="44"/>
  <c r="E25" i="44" s="1"/>
  <c r="E13" i="44"/>
  <c r="E24" i="44" s="1"/>
  <c r="L15" i="44"/>
  <c r="L26" i="44" s="1"/>
  <c r="C35" i="58"/>
  <c r="C34" i="58" s="1"/>
  <c r="H51" i="39"/>
  <c r="G51" i="39"/>
  <c r="E51" i="39"/>
  <c r="C51" i="39"/>
  <c r="B51" i="39"/>
  <c r="F19" i="44"/>
  <c r="F18" i="44"/>
  <c r="M18" i="44"/>
  <c r="M19" i="44"/>
  <c r="H14" i="44"/>
  <c r="H25" i="44" s="1"/>
  <c r="H13" i="44"/>
  <c r="H24" i="44" s="1"/>
  <c r="A13" i="44"/>
  <c r="A14" i="44"/>
  <c r="D20" i="51"/>
  <c r="J20" i="51"/>
  <c r="K20" i="51"/>
  <c r="D21" i="51"/>
  <c r="J21" i="51"/>
  <c r="K21" i="51"/>
  <c r="F51" i="36"/>
  <c r="H51" i="36"/>
  <c r="G51" i="36" s="1"/>
  <c r="F61" i="36"/>
  <c r="H61" i="36"/>
  <c r="I47" i="36"/>
  <c r="F16" i="51" s="1"/>
  <c r="F22" i="51" s="1"/>
  <c r="I30" i="36"/>
  <c r="B16" i="51" s="1"/>
  <c r="H47" i="36"/>
  <c r="H30" i="36"/>
  <c r="G30" i="36" s="1"/>
  <c r="G20" i="51"/>
  <c r="F30" i="36"/>
  <c r="L13" i="44"/>
  <c r="L24" i="44" s="1"/>
  <c r="I41" i="36"/>
  <c r="H41" i="36"/>
  <c r="E9" i="39"/>
  <c r="F8" i="58"/>
  <c r="F7" i="57"/>
  <c r="F14" i="56"/>
  <c r="G14" i="56"/>
  <c r="H14" i="56"/>
  <c r="J14" i="56"/>
  <c r="E14" i="56"/>
  <c r="C14" i="56"/>
  <c r="D51" i="36"/>
  <c r="D61" i="36"/>
  <c r="D55" i="36" s="1"/>
  <c r="D47" i="36"/>
  <c r="F13" i="51" s="1"/>
  <c r="F19" i="51" s="1"/>
  <c r="D30" i="36"/>
  <c r="B13" i="51" s="1"/>
  <c r="H7" i="57"/>
  <c r="D41" i="36"/>
  <c r="H8" i="58"/>
  <c r="G9" i="39"/>
  <c r="C42" i="58"/>
  <c r="C41" i="58" s="1"/>
  <c r="C19" i="58"/>
  <c r="C14" i="58" s="1"/>
  <c r="B11" i="39"/>
  <c r="C56" i="58"/>
  <c r="N23" i="53"/>
  <c r="B30" i="39"/>
  <c r="D76" i="60"/>
  <c r="C77" i="60"/>
  <c r="C76" i="60" s="1"/>
  <c r="C74" i="60"/>
  <c r="C73" i="60" s="1"/>
  <c r="C58" i="60"/>
  <c r="A15" i="44"/>
  <c r="B9" i="39"/>
  <c r="D8" i="58"/>
  <c r="C8" i="58"/>
  <c r="D7" i="57"/>
  <c r="C7" i="57"/>
  <c r="D22" i="51"/>
  <c r="J22" i="51"/>
  <c r="K22" i="51"/>
  <c r="I7" i="57"/>
  <c r="I8" i="58" s="1"/>
  <c r="H9" i="39" s="1"/>
  <c r="D19" i="51"/>
  <c r="J19" i="51"/>
  <c r="K19" i="51"/>
  <c r="N20" i="53"/>
  <c r="M17" i="44"/>
  <c r="M20" i="44"/>
  <c r="F20" i="44"/>
  <c r="F17" i="44"/>
  <c r="D18" i="51"/>
  <c r="J18" i="51"/>
  <c r="K18" i="51"/>
  <c r="H23" i="44"/>
  <c r="C81" i="36"/>
  <c r="C77" i="36"/>
  <c r="C61" i="36"/>
  <c r="C51" i="36"/>
  <c r="C113" i="57"/>
  <c r="C91" i="57"/>
  <c r="C30" i="36"/>
  <c r="C11" i="65" s="1"/>
  <c r="C69" i="57"/>
  <c r="C24" i="58"/>
  <c r="C41" i="36" s="1"/>
  <c r="B25" i="39"/>
  <c r="H15" i="44"/>
  <c r="H26" i="44" s="1"/>
  <c r="F14" i="52"/>
  <c r="G14" i="52"/>
  <c r="E14" i="52"/>
  <c r="D14" i="52"/>
  <c r="D39" i="60"/>
  <c r="E39" i="60"/>
  <c r="F39" i="60"/>
  <c r="D49" i="60"/>
  <c r="E49" i="60"/>
  <c r="F49" i="60"/>
  <c r="D55" i="60"/>
  <c r="D54" i="60" s="1"/>
  <c r="E57" i="60"/>
  <c r="E55" i="60" s="1"/>
  <c r="E54" i="60" s="1"/>
  <c r="F57" i="60"/>
  <c r="F55" i="60" s="1"/>
  <c r="F54" i="60" s="1"/>
  <c r="D58" i="60"/>
  <c r="E58" i="60"/>
  <c r="F58" i="60"/>
  <c r="D74" i="60"/>
  <c r="F74" i="60"/>
  <c r="I51" i="36"/>
  <c r="I61" i="36"/>
  <c r="N12" i="53"/>
  <c r="N14" i="53"/>
  <c r="M24" i="53"/>
  <c r="K24" i="53"/>
  <c r="J24" i="53"/>
  <c r="I24" i="53"/>
  <c r="H24" i="53"/>
  <c r="G24" i="53"/>
  <c r="F24" i="53"/>
  <c r="E24" i="53"/>
  <c r="D24" i="53"/>
  <c r="C24" i="53"/>
  <c r="B24" i="53"/>
  <c r="N21" i="53"/>
  <c r="L17" i="53"/>
  <c r="K17" i="53"/>
  <c r="J17" i="53"/>
  <c r="I17" i="53"/>
  <c r="H17" i="53"/>
  <c r="G17" i="53"/>
  <c r="F17" i="53"/>
  <c r="E17" i="53"/>
  <c r="D17" i="53"/>
  <c r="C17" i="53"/>
  <c r="B17" i="53"/>
  <c r="N15" i="53"/>
  <c r="N13" i="53"/>
  <c r="N11" i="53"/>
  <c r="N10" i="53"/>
  <c r="H12" i="52"/>
  <c r="F12" i="52"/>
  <c r="D12" i="52"/>
  <c r="L24" i="53"/>
  <c r="N19" i="53"/>
  <c r="C78" i="36"/>
  <c r="L23" i="44"/>
  <c r="G19" i="51"/>
  <c r="B15" i="51" l="1"/>
  <c r="B21" i="51" s="1"/>
  <c r="Q12" i="53"/>
  <c r="F15" i="51"/>
  <c r="F21" i="51" s="1"/>
  <c r="Q13" i="53"/>
  <c r="E51" i="36"/>
  <c r="F55" i="36"/>
  <c r="E55" i="36" s="1"/>
  <c r="E61" i="36"/>
  <c r="B14" i="51"/>
  <c r="E30" i="36"/>
  <c r="I20" i="44"/>
  <c r="N20" i="44" s="1"/>
  <c r="F26" i="44"/>
  <c r="I17" i="44"/>
  <c r="N17" i="44" s="1"/>
  <c r="F23" i="44"/>
  <c r="I18" i="44"/>
  <c r="N18" i="44" s="1"/>
  <c r="F24" i="44"/>
  <c r="I19" i="44"/>
  <c r="N19" i="44" s="1"/>
  <c r="F25" i="44"/>
  <c r="D71" i="36"/>
  <c r="C47" i="36"/>
  <c r="C12" i="65" s="1"/>
  <c r="C39" i="60"/>
  <c r="C16" i="65"/>
  <c r="C49" i="60"/>
  <c r="C17" i="65"/>
  <c r="C80" i="36"/>
  <c r="H20" i="65"/>
  <c r="H19" i="65" s="1"/>
  <c r="H18" i="65" s="1"/>
  <c r="E12" i="44"/>
  <c r="E23" i="44" s="1"/>
  <c r="H12" i="65"/>
  <c r="D53" i="60"/>
  <c r="I58" i="36"/>
  <c r="I57" i="36" s="1"/>
  <c r="I56" i="36" s="1"/>
  <c r="I55" i="36" s="1"/>
  <c r="G16" i="51"/>
  <c r="G22" i="51" s="1"/>
  <c r="N17" i="53"/>
  <c r="H58" i="36"/>
  <c r="H57" i="36" s="1"/>
  <c r="G57" i="36" s="1"/>
  <c r="G15" i="51"/>
  <c r="G21" i="51" s="1"/>
  <c r="B20" i="51"/>
  <c r="B19" i="51"/>
  <c r="B22" i="51"/>
  <c r="F53" i="60"/>
  <c r="B12" i="51"/>
  <c r="C28" i="60"/>
  <c r="B10" i="39"/>
  <c r="F47" i="36"/>
  <c r="C55" i="58"/>
  <c r="C72" i="60" s="1"/>
  <c r="E7" i="60"/>
  <c r="C71" i="60"/>
  <c r="D7" i="60"/>
  <c r="E70" i="60"/>
  <c r="E62" i="60" s="1"/>
  <c r="L14" i="44"/>
  <c r="L25" i="44" s="1"/>
  <c r="B25" i="53"/>
  <c r="B26" i="53" s="1"/>
  <c r="C26" i="53" s="1"/>
  <c r="D26" i="53" s="1"/>
  <c r="E26" i="53" s="1"/>
  <c r="F26" i="53" s="1"/>
  <c r="G26" i="53" s="1"/>
  <c r="H26" i="53" s="1"/>
  <c r="I26" i="53" s="1"/>
  <c r="J26" i="53" s="1"/>
  <c r="K26" i="53" s="1"/>
  <c r="L26" i="53" s="1"/>
  <c r="M26" i="53" s="1"/>
  <c r="F25" i="53"/>
  <c r="J25" i="53"/>
  <c r="I25" i="53"/>
  <c r="G18" i="51"/>
  <c r="I23" i="36"/>
  <c r="E16" i="51" s="1"/>
  <c r="E22" i="51" s="1"/>
  <c r="I14" i="56"/>
  <c r="I15" i="56"/>
  <c r="H17" i="65"/>
  <c r="D73" i="60"/>
  <c r="D70" i="60" s="1"/>
  <c r="E53" i="60"/>
  <c r="K15" i="44"/>
  <c r="K26" i="44" s="1"/>
  <c r="H23" i="36"/>
  <c r="G23" i="36" s="1"/>
  <c r="H17" i="36"/>
  <c r="I16" i="51"/>
  <c r="I22" i="51" s="1"/>
  <c r="M25" i="53"/>
  <c r="L25" i="53"/>
  <c r="N24" i="53"/>
  <c r="K25" i="53"/>
  <c r="H25" i="53"/>
  <c r="G25" i="53"/>
  <c r="E25" i="53"/>
  <c r="D25" i="53"/>
  <c r="C25" i="53"/>
  <c r="D23" i="36"/>
  <c r="E13" i="51" s="1"/>
  <c r="E19" i="51" s="1"/>
  <c r="K13" i="44"/>
  <c r="K24" i="44" s="1"/>
  <c r="C57" i="60"/>
  <c r="J14" i="44"/>
  <c r="J25" i="44" s="1"/>
  <c r="C56" i="60"/>
  <c r="C65" i="57"/>
  <c r="C23" i="36" s="1"/>
  <c r="C10" i="65" s="1"/>
  <c r="C14" i="51"/>
  <c r="F23" i="36"/>
  <c r="F73" i="60"/>
  <c r="F70" i="60" s="1"/>
  <c r="F7" i="60"/>
  <c r="D17" i="36"/>
  <c r="E17" i="36" s="1"/>
  <c r="C9" i="58"/>
  <c r="C39" i="58"/>
  <c r="I12" i="51" s="1"/>
  <c r="C17" i="36"/>
  <c r="F41" i="36"/>
  <c r="E41" i="36" s="1"/>
  <c r="I14" i="51"/>
  <c r="I13" i="51"/>
  <c r="J13" i="44"/>
  <c r="J24" i="44" s="1"/>
  <c r="Q14" i="53" l="1"/>
  <c r="G17" i="36"/>
  <c r="G41" i="36"/>
  <c r="C45" i="60"/>
  <c r="E15" i="51"/>
  <c r="E21" i="51" s="1"/>
  <c r="Q11" i="53"/>
  <c r="F12" i="51"/>
  <c r="F18" i="51" s="1"/>
  <c r="H56" i="36"/>
  <c r="Q15" i="53"/>
  <c r="F14" i="51"/>
  <c r="F20" i="51" s="1"/>
  <c r="E47" i="36"/>
  <c r="E14" i="51"/>
  <c r="E20" i="51" s="1"/>
  <c r="E23" i="36"/>
  <c r="C68" i="60"/>
  <c r="E71" i="36"/>
  <c r="D69" i="36"/>
  <c r="D62" i="60"/>
  <c r="D78" i="60" s="1"/>
  <c r="F62" i="60"/>
  <c r="F78" i="60" s="1"/>
  <c r="C8" i="57"/>
  <c r="B45" i="39"/>
  <c r="C108" i="57" s="1"/>
  <c r="D61" i="60"/>
  <c r="C15" i="60"/>
  <c r="C15" i="65"/>
  <c r="C14" i="65" s="1"/>
  <c r="C12" i="44"/>
  <c r="C23" i="44" s="1"/>
  <c r="H10" i="65"/>
  <c r="F61" i="60"/>
  <c r="E78" i="60"/>
  <c r="B18" i="51"/>
  <c r="E12" i="51"/>
  <c r="E18" i="51" s="1"/>
  <c r="C21" i="60"/>
  <c r="K14" i="44"/>
  <c r="K25" i="44" s="1"/>
  <c r="C15" i="44"/>
  <c r="C26" i="44" s="1"/>
  <c r="K23" i="44"/>
  <c r="C75" i="36"/>
  <c r="H16" i="65" s="1"/>
  <c r="I17" i="36"/>
  <c r="C70" i="58"/>
  <c r="J23" i="44"/>
  <c r="C40" i="58"/>
  <c r="E61" i="60"/>
  <c r="C74" i="36"/>
  <c r="C57" i="36"/>
  <c r="C55" i="60"/>
  <c r="C54" i="60" s="1"/>
  <c r="C53" i="60" s="1"/>
  <c r="I15" i="51"/>
  <c r="L15" i="51" s="1"/>
  <c r="L21" i="51" s="1"/>
  <c r="F10" i="36"/>
  <c r="C14" i="44"/>
  <c r="C25" i="44" s="1"/>
  <c r="N25" i="53"/>
  <c r="N26" i="53" s="1"/>
  <c r="C70" i="60"/>
  <c r="J15" i="44"/>
  <c r="L16" i="51"/>
  <c r="L22" i="51" s="1"/>
  <c r="B13" i="44"/>
  <c r="B24" i="44" s="1"/>
  <c r="C15" i="51"/>
  <c r="H15" i="51" s="1"/>
  <c r="H10" i="36"/>
  <c r="G10" i="36" s="1"/>
  <c r="I18" i="51"/>
  <c r="L12" i="51"/>
  <c r="C13" i="51"/>
  <c r="H13" i="51" s="1"/>
  <c r="D10" i="36"/>
  <c r="D9" i="36" s="1"/>
  <c r="D64" i="36" s="1"/>
  <c r="I20" i="51"/>
  <c r="L14" i="51"/>
  <c r="M13" i="44"/>
  <c r="M24" i="44" s="1"/>
  <c r="L13" i="51"/>
  <c r="I19" i="51"/>
  <c r="C20" i="51"/>
  <c r="D14" i="44"/>
  <c r="D25" i="44" s="1"/>
  <c r="C16" i="51"/>
  <c r="H16" i="51" s="1"/>
  <c r="I10" i="36"/>
  <c r="H55" i="36" l="1"/>
  <c r="G55" i="36" s="1"/>
  <c r="G56" i="36"/>
  <c r="H9" i="36"/>
  <c r="Q10" i="53"/>
  <c r="H14" i="51"/>
  <c r="H20" i="51" s="1"/>
  <c r="F9" i="36"/>
  <c r="E10" i="36"/>
  <c r="M15" i="44"/>
  <c r="M26" i="44" s="1"/>
  <c r="J26" i="44"/>
  <c r="C66" i="60"/>
  <c r="E69" i="36"/>
  <c r="D70" i="36"/>
  <c r="C107" i="57"/>
  <c r="C73" i="36"/>
  <c r="H15" i="65"/>
  <c r="H14" i="65" s="1"/>
  <c r="D12" i="44"/>
  <c r="D23" i="44" s="1"/>
  <c r="H11" i="65"/>
  <c r="C56" i="36"/>
  <c r="C55" i="36" s="1"/>
  <c r="M14" i="44"/>
  <c r="M25" i="44" s="1"/>
  <c r="I21" i="51"/>
  <c r="I9" i="36"/>
  <c r="I64" i="36" s="1"/>
  <c r="M23" i="44"/>
  <c r="H19" i="51"/>
  <c r="C19" i="51"/>
  <c r="D13" i="44"/>
  <c r="D24" i="44" s="1"/>
  <c r="L20" i="51"/>
  <c r="M14" i="51"/>
  <c r="M20" i="51" s="1"/>
  <c r="L18" i="51"/>
  <c r="C21" i="51"/>
  <c r="B15" i="44"/>
  <c r="B26" i="44" s="1"/>
  <c r="C22" i="51"/>
  <c r="L19" i="51"/>
  <c r="H64" i="36" l="1"/>
  <c r="G9" i="36"/>
  <c r="F64" i="36"/>
  <c r="E64" i="36" s="1"/>
  <c r="E9" i="36"/>
  <c r="C67" i="60"/>
  <c r="E70" i="36"/>
  <c r="C72" i="36"/>
  <c r="C69" i="60" s="1"/>
  <c r="C102" i="57"/>
  <c r="H13" i="65"/>
  <c r="M13" i="51"/>
  <c r="M19" i="51" s="1"/>
  <c r="D68" i="36"/>
  <c r="C101" i="57"/>
  <c r="C12" i="51"/>
  <c r="H12" i="51" s="1"/>
  <c r="C10" i="36"/>
  <c r="C9" i="65" s="1"/>
  <c r="C8" i="65" s="1"/>
  <c r="C7" i="65" s="1"/>
  <c r="C25" i="65" s="1"/>
  <c r="C13" i="44"/>
  <c r="C24" i="44" s="1"/>
  <c r="F82" i="36"/>
  <c r="M16" i="51"/>
  <c r="M22" i="51" s="1"/>
  <c r="H22" i="51"/>
  <c r="H21" i="51"/>
  <c r="M15" i="51"/>
  <c r="M21" i="51" s="1"/>
  <c r="B14" i="44"/>
  <c r="B25" i="44" s="1"/>
  <c r="H82" i="36"/>
  <c r="Q24" i="53" l="1"/>
  <c r="R19" i="53" s="1"/>
  <c r="G82" i="36"/>
  <c r="Q17" i="53"/>
  <c r="G64" i="36"/>
  <c r="H84" i="36"/>
  <c r="C67" i="36"/>
  <c r="D67" i="36"/>
  <c r="E68" i="36"/>
  <c r="H9" i="65"/>
  <c r="H8" i="65" s="1"/>
  <c r="H7" i="65" s="1"/>
  <c r="H25" i="65" s="1"/>
  <c r="C9" i="36"/>
  <c r="C64" i="36" s="1"/>
  <c r="C8" i="60"/>
  <c r="C7" i="60" s="1"/>
  <c r="C61" i="60" s="1"/>
  <c r="F84" i="36"/>
  <c r="C115" i="57"/>
  <c r="B12" i="44"/>
  <c r="B23" i="44" s="1"/>
  <c r="C18" i="51"/>
  <c r="I14" i="44"/>
  <c r="I25" i="44" s="1"/>
  <c r="D15" i="44"/>
  <c r="D26" i="44" s="1"/>
  <c r="I82" i="36"/>
  <c r="I13" i="44"/>
  <c r="I24" i="44" s="1"/>
  <c r="D66" i="36" l="1"/>
  <c r="E67" i="36"/>
  <c r="C66" i="36"/>
  <c r="C65" i="36" s="1"/>
  <c r="C82" i="36" s="1"/>
  <c r="C84" i="36" s="1"/>
  <c r="C65" i="60"/>
  <c r="C64" i="60" s="1"/>
  <c r="C63" i="60" s="1"/>
  <c r="C62" i="60" s="1"/>
  <c r="C78" i="60" s="1"/>
  <c r="I12" i="44"/>
  <c r="I23" i="44" s="1"/>
  <c r="H18" i="51"/>
  <c r="M12" i="51"/>
  <c r="M18" i="51" s="1"/>
  <c r="N13" i="44"/>
  <c r="N24" i="44" s="1"/>
  <c r="N14" i="44"/>
  <c r="N25" i="44" s="1"/>
  <c r="I84" i="36"/>
  <c r="I15" i="44"/>
  <c r="I26" i="44" s="1"/>
  <c r="D65" i="36" l="1"/>
  <c r="E66" i="36"/>
  <c r="N12" i="44"/>
  <c r="N23" i="44" s="1"/>
  <c r="N15" i="44"/>
  <c r="N26" i="44" s="1"/>
  <c r="D82" i="36" l="1"/>
  <c r="E65" i="36"/>
  <c r="E82" i="36" l="1"/>
  <c r="D84" i="36"/>
</calcChain>
</file>

<file path=xl/sharedStrings.xml><?xml version="1.0" encoding="utf-8"?>
<sst xmlns="http://schemas.openxmlformats.org/spreadsheetml/2006/main" count="1508" uniqueCount="947">
  <si>
    <t>ezer Ft-ban</t>
  </si>
  <si>
    <t>Felhalmozási célú bevételek mindösszesen</t>
  </si>
  <si>
    <t>Felhalmozási célú kiadások mindösszesen</t>
  </si>
  <si>
    <t>II. Felújítások</t>
  </si>
  <si>
    <t>I. Beruházások</t>
  </si>
  <si>
    <t>Költségvetési bevételek mindösszesen</t>
  </si>
  <si>
    <t>Működési célú bevételek összesen</t>
  </si>
  <si>
    <t>Költségvetési kiadások összesen</t>
  </si>
  <si>
    <t>Költségvetési kiadások mindösszesen</t>
  </si>
  <si>
    <t xml:space="preserve">I. Működési kiadások 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</si>
  <si>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</si>
  <si>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Felhalmozási célú bevételek összesen</t>
  </si>
  <si>
    <t>Felhalmozási célú kiadások összesen</t>
  </si>
  <si>
    <t>III.  Egyéb felhalmozási célú kiadások</t>
  </si>
  <si>
    <t>Önkormányzati költségvetési bevételek - kiadások</t>
  </si>
  <si>
    <t>Működési célú támogatások, pénzeszközátadások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</si>
  <si>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</si>
  <si>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</si>
  <si>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</si>
  <si>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</si>
  <si>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</si>
  <si>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</si>
  <si>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</si>
  <si>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</si>
  <si>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</si>
  <si>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</si>
  <si>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</si>
  <si>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</si>
  <si>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</si>
  <si>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Létszám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</si>
  <si>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</si>
  <si>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</si>
  <si>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</si>
  <si>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</si>
  <si>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</si>
  <si>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</si>
  <si>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</si>
  <si>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</si>
  <si>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</si>
  <si>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Összesen</t>
  </si>
  <si>
    <t xml:space="preserve">    Polgármester illetménye</t>
  </si>
  <si>
    <t xml:space="preserve">    Egyéb dologi kiadások</t>
  </si>
  <si>
    <t xml:space="preserve">    Közlekedési költségtérítés</t>
  </si>
  <si>
    <t>Működési célú bevételek</t>
  </si>
  <si>
    <t>Bevételek mindösszesen</t>
  </si>
  <si>
    <t>Feladat
finanszírozás</t>
  </si>
  <si>
    <t>Egyéb állami támogatás</t>
  </si>
  <si>
    <t>Összes kiadás</t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</si>
  <si>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</si>
  <si>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</si>
  <si>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</si>
  <si>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</si>
  <si>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</si>
  <si>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</si>
  <si>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</si>
  <si>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</si>
  <si>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</si>
  <si>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</si>
  <si>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</si>
  <si>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</si>
  <si>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</si>
  <si>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</si>
  <si>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</si>
  <si>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</si>
  <si>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</si>
  <si>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</si>
  <si>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</si>
  <si>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</si>
  <si>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</si>
  <si>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</si>
  <si>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</si>
  <si>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</si>
  <si>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</si>
  <si>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</si>
  <si>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</si>
  <si>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</si>
  <si>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 xml:space="preserve">               Pénzügyi Gondnokság konyha működtetés (intézményi étkeztetés)</t>
  </si>
  <si>
    <t xml:space="preserve">        Gyermekorvos</t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</si>
  <si>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</si>
  <si>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</si>
  <si>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</si>
  <si>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Egyéb nyújtott kedvezmény vagy kölcsön elengedésének összege</t>
  </si>
  <si>
    <t>Munkaadót terhelő járulékok és szociális hozzájárulási adó</t>
  </si>
  <si>
    <t>III. Közhatalmi bevételek</t>
  </si>
  <si>
    <t>EU-s projekt, program megnevezése</t>
  </si>
  <si>
    <t>Projekt azonosító</t>
  </si>
  <si>
    <t>Igényelt támogatás összege</t>
  </si>
  <si>
    <t>Megítélt támogatás összege</t>
  </si>
  <si>
    <t>Önkormányzati önerő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</si>
  <si>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</si>
  <si>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</si>
  <si>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</si>
  <si>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</si>
  <si>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</si>
  <si>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Önkormányzati önerő
 %</t>
  </si>
  <si>
    <t>Projekt összköltség összesen</t>
  </si>
  <si>
    <t>Tám.-i intenzitás
%</t>
  </si>
  <si>
    <t>064010 Közvilágítás</t>
  </si>
  <si>
    <t>Futamidő (fizetési kötelezettség)</t>
  </si>
  <si>
    <t>Várható saját bevételek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</si>
  <si>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</si>
  <si>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</si>
  <si>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</si>
  <si>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</si>
  <si>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</si>
  <si>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</si>
  <si>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</si>
  <si>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</si>
  <si>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</si>
  <si>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</si>
  <si>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</si>
  <si>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</si>
  <si>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</si>
  <si>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</si>
  <si>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</si>
  <si>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</si>
  <si>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</si>
  <si>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</si>
  <si>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</si>
  <si>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</si>
  <si>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</si>
  <si>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</si>
  <si>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</si>
  <si>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</si>
  <si>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</si>
  <si>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</si>
  <si>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</si>
  <si>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</si>
  <si>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</si>
  <si>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</si>
  <si>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</si>
  <si>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</si>
  <si>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</si>
  <si>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</si>
  <si>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</si>
  <si>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</si>
  <si>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</si>
  <si>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</si>
  <si>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</si>
  <si>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</si>
  <si>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</si>
  <si>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</si>
  <si>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</si>
  <si>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</si>
  <si>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</si>
  <si>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</si>
  <si>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</si>
  <si>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</si>
  <si>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</si>
  <si>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</si>
  <si>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</si>
  <si>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</si>
  <si>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</si>
  <si>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</si>
  <si>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</si>
  <si>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</si>
  <si>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</si>
  <si>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</si>
  <si>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</si>
  <si>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</si>
  <si>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</si>
  <si>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</si>
  <si>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</si>
  <si>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</si>
  <si>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</si>
  <si>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</si>
  <si>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</si>
  <si>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</si>
  <si>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</si>
  <si>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</si>
  <si>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</si>
  <si>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</si>
  <si>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</si>
  <si>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</si>
  <si>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</si>
  <si>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</si>
  <si>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</si>
  <si>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</si>
  <si>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</si>
  <si>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</si>
  <si>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</si>
  <si>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</si>
  <si>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</si>
  <si>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</si>
  <si>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</si>
  <si>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</si>
  <si>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</si>
  <si>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</si>
  <si>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>K1-K8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</si>
  <si>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</si>
  <si>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</si>
  <si>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</si>
  <si>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</si>
  <si>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</si>
  <si>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</si>
  <si>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</si>
  <si>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</si>
  <si>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</si>
  <si>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</si>
  <si>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</si>
  <si>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</si>
  <si>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</si>
  <si>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</si>
  <si>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</si>
  <si>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</si>
  <si>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</si>
  <si>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</si>
  <si>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</si>
  <si>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</si>
  <si>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</si>
  <si>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 1. Vagyoni típusú adók </t>
  </si>
  <si>
    <t xml:space="preserve">          1.1. Építményadó </t>
  </si>
  <si>
    <t xml:space="preserve">          1.2. Idegenforgalmi adó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</si>
  <si>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</si>
  <si>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</si>
  <si>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</si>
  <si>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</si>
  <si>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</si>
  <si>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</si>
  <si>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</si>
  <si>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8. Kamatbevételek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</si>
  <si>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</si>
  <si>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</si>
  <si>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</si>
  <si>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</si>
  <si>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>I. Személyi juttatások</t>
  </si>
  <si>
    <t>II. Munkaadót terhelő járulékok és szociális hozzájárulási adó</t>
  </si>
  <si>
    <t>III. Dologi kiadások</t>
  </si>
  <si>
    <t>I. Felhalmozási célú támogatások államháztartáson belülről</t>
  </si>
  <si>
    <t>II. Felhalmozási bevételek</t>
  </si>
  <si>
    <t xml:space="preserve">      1. Immateriális javak értékesítése</t>
  </si>
  <si>
    <t xml:space="preserve">      2. Ingatlanok értékesítése</t>
  </si>
  <si>
    <t xml:space="preserve">      5. Részesedések megszűnéséhez kapcsolódó bevételek</t>
  </si>
  <si>
    <t>K6</t>
  </si>
  <si>
    <t>Működési bevételek mindösszesen</t>
  </si>
  <si>
    <t>Működési kiadások mindösszesen</t>
  </si>
  <si>
    <t>Kiküldetések, reklám- és propagandakiadások</t>
  </si>
  <si>
    <t>Különféle befizetések és egyéb dologi kiadások</t>
  </si>
  <si>
    <t>K 31</t>
  </si>
  <si>
    <t>K 311</t>
  </si>
  <si>
    <t>K 312</t>
  </si>
  <si>
    <t>K 32</t>
  </si>
  <si>
    <t>K 321</t>
  </si>
  <si>
    <t>K 322</t>
  </si>
  <si>
    <t>K 33</t>
  </si>
  <si>
    <t>K 331</t>
  </si>
  <si>
    <t>K 333</t>
  </si>
  <si>
    <t>K 334</t>
  </si>
  <si>
    <t>K 335</t>
  </si>
  <si>
    <t>K 336</t>
  </si>
  <si>
    <t>K 337</t>
  </si>
  <si>
    <t>K 34</t>
  </si>
  <si>
    <t>K 341</t>
  </si>
  <si>
    <t>K 342</t>
  </si>
  <si>
    <t>K 35</t>
  </si>
  <si>
    <t>K 351</t>
  </si>
  <si>
    <t>K 352</t>
  </si>
  <si>
    <t>K 353</t>
  </si>
  <si>
    <t>K 354</t>
  </si>
  <si>
    <t>K 355</t>
  </si>
  <si>
    <t>Készletbeszerzés</t>
  </si>
  <si>
    <t xml:space="preserve">     Üzemeltetési anyagok</t>
  </si>
  <si>
    <t>Kommunikációs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</si>
  <si>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</si>
  <si>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</si>
  <si>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</si>
  <si>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</si>
  <si>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</si>
  <si>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</si>
  <si>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</si>
  <si>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</si>
  <si>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</si>
  <si>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</si>
  <si>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</si>
  <si>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</si>
  <si>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</si>
  <si>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</si>
  <si>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</si>
  <si>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</si>
  <si>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</si>
  <si>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</si>
  <si>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Nyomtatvány, irodaszer</t>
  </si>
  <si>
    <t xml:space="preserve">        Hajtó- és kenőanyagok</t>
  </si>
  <si>
    <t xml:space="preserve">        Tisztítószer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</si>
  <si>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</si>
  <si>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 xml:space="preserve">        Biztosítások (vagyon, gépjármű)</t>
  </si>
  <si>
    <t xml:space="preserve">        Különféle adók, díjak, adójellegű befizetések, hozzájárulások</t>
  </si>
  <si>
    <t>K 332</t>
  </si>
  <si>
    <t xml:space="preserve">     Vásárolt élelmezés</t>
  </si>
  <si>
    <t xml:space="preserve">        Munkaruha</t>
  </si>
  <si>
    <t xml:space="preserve">K5 </t>
  </si>
  <si>
    <t xml:space="preserve">K6 </t>
  </si>
  <si>
    <t>Beruházások (kis értékű tárgyi eszköz beszerzés)</t>
  </si>
  <si>
    <t xml:space="preserve">        Foglalkozás- egészségügyi alapellátás</t>
  </si>
  <si>
    <t xml:space="preserve">      2. Európai Uniós forrásból származó bevételek</t>
  </si>
  <si>
    <t xml:space="preserve">      3. Egyéb közhatalmi bevételek (igazgatási szolgáltatási díj, bírságok)</t>
  </si>
  <si>
    <t xml:space="preserve">        1. Európai Uniós támogatásból megvalósuló beruházások</t>
  </si>
  <si>
    <t xml:space="preserve">    Költségtérítés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</si>
  <si>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</si>
  <si>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Alkalmazottak illetménye </t>
  </si>
  <si>
    <t xml:space="preserve">V. Egyéb működési célú kiadások </t>
  </si>
  <si>
    <t xml:space="preserve">    2. Működési célú tartalék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</si>
  <si>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</si>
  <si>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</si>
  <si>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</si>
  <si>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III. Felhalmozási célú átvett pénzeszközök </t>
  </si>
  <si>
    <t xml:space="preserve">        1. Európai Uniós támogatásból megvalósuló felújítások</t>
  </si>
  <si>
    <t xml:space="preserve">        2. Hazai támogatásból, saját forrásból megvalósuló felújítások</t>
  </si>
  <si>
    <t xml:space="preserve">    1. Többcélú kistérségi társulásnak, önkormányzatoknak és költségvetési szerveinek</t>
  </si>
  <si>
    <t xml:space="preserve">        Egyéb üzemeltetés, készletbeszerzés</t>
  </si>
  <si>
    <t xml:space="preserve">      1. Hazai forrásból származó bevételek </t>
  </si>
  <si>
    <t>Többéves kihatással járó feladatok</t>
  </si>
  <si>
    <t xml:space="preserve">   Támogatások ÁHT-n belülről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</si>
  <si>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</si>
  <si>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</si>
  <si>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</si>
  <si>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</si>
  <si>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Működési célú tartalék</t>
  </si>
  <si>
    <t>Műk. célú
pénzeszköz
átadás</t>
  </si>
  <si>
    <t>Költség-
vetési kiadások összesen</t>
  </si>
  <si>
    <t>Felhalmozási célúl bevételek</t>
  </si>
  <si>
    <t>Működési bevételek</t>
  </si>
  <si>
    <t>Működési célú támogatások államháztartáson belülről</t>
  </si>
  <si>
    <t>Közhatalmi bevételek</t>
  </si>
  <si>
    <t>Működési célú átvett pénzeszközök</t>
  </si>
  <si>
    <t>107055 Falugondnoki szolgáltatás</t>
  </si>
  <si>
    <t xml:space="preserve">          2.2. Gépjárműadó (40%)</t>
  </si>
  <si>
    <t xml:space="preserve">      Informatikai szolgáltatások</t>
  </si>
  <si>
    <t xml:space="preserve">        Postaköltség</t>
  </si>
  <si>
    <t xml:space="preserve">     2. Egyéb működési célú pénzeszközátadás </t>
  </si>
  <si>
    <r>
      <t xml:space="preserve">     Szakmai anyagok beszerzése</t>
    </r>
    <r>
      <rPr>
        <sz val="7"/>
        <rFont val="Times New Roman"/>
        <family val="1"/>
        <charset val="238"/>
      </rPr>
      <t xml:space="preserve"> (könyv, folyóirat, napilap, gyógyszer, egyéb)</t>
    </r>
  </si>
  <si>
    <t xml:space="preserve">        2. Hazai támogatásból, saját forrásból megvalósítandó beruházások </t>
  </si>
  <si>
    <t>B8</t>
  </si>
  <si>
    <t xml:space="preserve">A. K ö l t s é g v e t é s i  b e v é t e l e k </t>
  </si>
  <si>
    <t xml:space="preserve">B. F i n a n s z í r o z á s i   b e v é t e l e k </t>
  </si>
  <si>
    <t xml:space="preserve">A. K ö l t s é g v e t é s i  k i a d á s o k </t>
  </si>
  <si>
    <t>B. F i n a n s z í r o z á s i   k i a d á s o k</t>
  </si>
  <si>
    <t xml:space="preserve">A. K ö l t s é g v e t é s i   k i a d á s o k </t>
  </si>
  <si>
    <t xml:space="preserve">A. K ö l t s é g v e t é s i   b e v é t e l e k </t>
  </si>
  <si>
    <t xml:space="preserve">B. F i n a n s z í r o z á s i  b e v é t e l e k </t>
  </si>
  <si>
    <t xml:space="preserve"> I. Költségvetési bevételek belső finanszírozására szolgáló eszközök</t>
  </si>
  <si>
    <t xml:space="preserve">        1. Működési célú hitel</t>
  </si>
  <si>
    <t>II. Költségvetési bevételek külső finanszírozására szolgáló eszközök</t>
  </si>
  <si>
    <t>I. Költségvetési hiány belső finanszírozására szolgáló eszközök</t>
  </si>
  <si>
    <t>II. Költségvetési hiány külső finanszírozására szolgáló eszközök</t>
  </si>
  <si>
    <t xml:space="preserve">       1. Felhalmozási célú hitel</t>
  </si>
  <si>
    <t>I. Költségvetési bevételek belső finanszírozására szolgáló eszközök</t>
  </si>
  <si>
    <t xml:space="preserve">     1. Előző évi pénzmaradvány igénybevétele</t>
  </si>
  <si>
    <t xml:space="preserve">         1.1. Működési célú pénzmaradvány</t>
  </si>
  <si>
    <t xml:space="preserve">       1. Működési célú hitel</t>
  </si>
  <si>
    <t xml:space="preserve">       2. Felhalmozási célú hitel</t>
  </si>
  <si>
    <t xml:space="preserve">B. F i n a n s z í r o z á s i   k i a d á s o k </t>
  </si>
  <si>
    <t xml:space="preserve">         1.2. Felhalmozási célú pénzmaradvány</t>
  </si>
  <si>
    <t xml:space="preserve">          3.1. Felhalmozási célú pénzeszközátadás</t>
  </si>
  <si>
    <t xml:space="preserve">Kereki Község Önkormányzatának </t>
  </si>
  <si>
    <t>Kereki Község Önkormányzata</t>
  </si>
  <si>
    <t xml:space="preserve">          1. Felhalmozási célú pénzeszközátadás </t>
  </si>
  <si>
    <t>013320 Köztemető fenntartás</t>
  </si>
  <si>
    <t>Adósságot keletkeztető ügyletnél figyelembe veendő bevételek (Stabilitási tv. 45.§ (1) a., 10.§ (5) bek. szerint)</t>
  </si>
  <si>
    <t>Felh. bevételek, átvett pénzeszközök</t>
  </si>
  <si>
    <t xml:space="preserve">    1. Háztartásoknak </t>
  </si>
  <si>
    <t>Felhalmozási célú bevételek áht-n belülről</t>
  </si>
  <si>
    <t xml:space="preserve">               TKT feladatok</t>
  </si>
  <si>
    <t>K914</t>
  </si>
  <si>
    <t>ÁH-on belüli megelőlegezések</t>
  </si>
  <si>
    <t>Finanszírozási kiadások</t>
  </si>
  <si>
    <t xml:space="preserve">   Finanszírozási kiadások</t>
  </si>
  <si>
    <t>B411</t>
  </si>
  <si>
    <t xml:space="preserve">      4. Tulajdonosi bevételek </t>
  </si>
  <si>
    <t xml:space="preserve">      3. Közvetített szolgáltatások ellenértéke (továbbszámlázott)</t>
  </si>
  <si>
    <t xml:space="preserve">     10. Biztosító által fizetett kártérítés</t>
  </si>
  <si>
    <t xml:space="preserve">     11. Egyéb működési bevételek </t>
  </si>
  <si>
    <t>Ellátottak pénzbeli juttatásai</t>
  </si>
  <si>
    <t>IV. Ellátottak pénzbeli juttatásai</t>
  </si>
  <si>
    <t xml:space="preserve">        Bankköltség</t>
  </si>
  <si>
    <t>ezer Ft</t>
  </si>
  <si>
    <t>Települések</t>
  </si>
  <si>
    <t>Lakosságszám 
(fő)</t>
  </si>
  <si>
    <t xml:space="preserve">TKT </t>
  </si>
  <si>
    <t>Intézmények</t>
  </si>
  <si>
    <t>Társulási díj   
500Ft/fő/év</t>
  </si>
  <si>
    <t>TKT működési h.jár</t>
  </si>
  <si>
    <t xml:space="preserve">Labor  </t>
  </si>
  <si>
    <t>TKT
összesen</t>
  </si>
  <si>
    <t xml:space="preserve">BTKT TV 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</si>
  <si>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</si>
  <si>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</si>
  <si>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</si>
  <si>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</si>
  <si>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</si>
  <si>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</si>
  <si>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</si>
  <si>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</si>
  <si>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</si>
  <si>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</si>
  <si>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</si>
  <si>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</si>
  <si>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</si>
  <si>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</si>
  <si>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</si>
  <si>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</si>
  <si>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</si>
  <si>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</si>
  <si>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 xml:space="preserve"> Kereki Község Önkormányzata </t>
  </si>
  <si>
    <t>B351</t>
  </si>
  <si>
    <t>B354</t>
  </si>
  <si>
    <t>B65</t>
  </si>
  <si>
    <t>B75</t>
  </si>
  <si>
    <t xml:space="preserve">     1. Előző évi maradvány igénybevétele</t>
  </si>
  <si>
    <t xml:space="preserve">         1.1. Működési célú maradvány</t>
  </si>
  <si>
    <t xml:space="preserve">         1.2. Felhalmozási célú maradvány</t>
  </si>
  <si>
    <t xml:space="preserve">     2. Államháztartáson belüli megelőlegezések</t>
  </si>
  <si>
    <t>K513</t>
  </si>
  <si>
    <t>K336</t>
  </si>
  <si>
    <t>K351</t>
  </si>
  <si>
    <t xml:space="preserve">     Kötelező (eredeti)</t>
  </si>
  <si>
    <t xml:space="preserve">       Államigazgatási (eredeti)</t>
  </si>
  <si>
    <t>Önkormányzat összesen (eredeti)</t>
  </si>
  <si>
    <t xml:space="preserve">     Államigazgatási (eredeti)</t>
  </si>
  <si>
    <t>K312</t>
  </si>
  <si>
    <t>K332</t>
  </si>
  <si>
    <t xml:space="preserve">      3. Egyéb tárgyi eszközök értékesítése </t>
  </si>
  <si>
    <t xml:space="preserve">      4. Részesedések értékesítése </t>
  </si>
  <si>
    <r>
      <t xml:space="preserve">    </t>
    </r>
    <r>
      <rPr>
        <b/>
        <sz val="10"/>
        <rFont val="Times New Roman"/>
        <family val="1"/>
        <charset val="238"/>
      </rPr>
      <t>3. Vállalkozásoknak</t>
    </r>
    <r>
      <rPr>
        <sz val="10"/>
        <rFont val="Times New Roman"/>
        <family val="1"/>
        <charset val="238"/>
      </rPr>
      <t xml:space="preserve"> </t>
    </r>
  </si>
  <si>
    <t xml:space="preserve">          1.2. Kommunális adó</t>
  </si>
  <si>
    <t xml:space="preserve">          1.3. Telekadó</t>
  </si>
  <si>
    <t>B355</t>
  </si>
  <si>
    <t xml:space="preserve">          2.3. Idegenforgalmi adó</t>
  </si>
  <si>
    <t xml:space="preserve">    Munkáltatót terhelő szja, EHO</t>
  </si>
  <si>
    <t>K1101</t>
  </si>
  <si>
    <t>K337</t>
  </si>
  <si>
    <t xml:space="preserve">                Lakossági víz- és csatornaszolgáltatás (DRV Zrt.)</t>
  </si>
  <si>
    <t>K512</t>
  </si>
  <si>
    <t>K355</t>
  </si>
  <si>
    <t>K123</t>
  </si>
  <si>
    <t>K334</t>
  </si>
  <si>
    <t>K322</t>
  </si>
  <si>
    <t>1. melléklet</t>
  </si>
  <si>
    <t>2. melléklet</t>
  </si>
  <si>
    <t>3. melléklet</t>
  </si>
  <si>
    <t>4. melléklet</t>
  </si>
  <si>
    <t>5. melléklet</t>
  </si>
  <si>
    <t>6. melléklet</t>
  </si>
  <si>
    <t>7. melléklet</t>
  </si>
  <si>
    <t>8. melléklet</t>
  </si>
  <si>
    <t>11. melléklet</t>
  </si>
  <si>
    <t>12. melléklet</t>
  </si>
  <si>
    <t xml:space="preserve">        Főépítészi feladatok</t>
  </si>
  <si>
    <t>Adósságot keletkeztető ügylet
(kiadás)
Stabilitási tv. 8.§ (2) bek.</t>
  </si>
  <si>
    <t>K7</t>
  </si>
  <si>
    <t>K122</t>
  </si>
  <si>
    <t>K333</t>
  </si>
  <si>
    <r>
      <t xml:space="preserve">     </t>
    </r>
    <r>
      <rPr>
        <i/>
        <sz val="10"/>
        <rFont val="Times New Roman"/>
        <family val="1"/>
        <charset val="238"/>
      </rPr>
      <t xml:space="preserve">     3.3. Felhalmozási célú céltartalék</t>
    </r>
  </si>
  <si>
    <r>
      <t xml:space="preserve">     </t>
    </r>
    <r>
      <rPr>
        <i/>
        <sz val="10"/>
        <rFont val="Times New Roman"/>
        <family val="1"/>
        <charset val="238"/>
      </rPr>
      <t xml:space="preserve">     3.2. Felhalmozási célú tartalék</t>
    </r>
  </si>
  <si>
    <t xml:space="preserve"> A Kereki vár kulturális és történelmi örökségének hasznosítása</t>
  </si>
  <si>
    <t>TOP-1.2.1-16-SO1-2019-00005</t>
  </si>
  <si>
    <t>Helyi adóból, gépjárműadóból biztosított kedvezmény, mentesség összege</t>
  </si>
  <si>
    <t xml:space="preserve">   -ből: építményadó mentesség helyi lakosok számára</t>
  </si>
  <si>
    <t xml:space="preserve">   -ből: építményadó törlés méltányosságból</t>
  </si>
  <si>
    <t xml:space="preserve">   -ből: telekadó mentesség, kedvezmény m2 alapján</t>
  </si>
  <si>
    <t xml:space="preserve">   -ből: idegenforgalmi adó kedvezmény elő- utószezonban</t>
  </si>
  <si>
    <t xml:space="preserve">   -ből: gépjárműadóból biztosított kedvezmény</t>
  </si>
  <si>
    <t>Helyiségek, eszközök hasznosításából származó bevételből nyújtott kedvezmény, mentesség összege</t>
  </si>
  <si>
    <t xml:space="preserve">I. Működési célú támogatások államháztartáson belülről 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</si>
  <si>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</si>
  <si>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</si>
  <si>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</si>
  <si>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</si>
  <si>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1.1.1.4. Településüzemeltetés - köztemető támogatása </t>
  </si>
  <si>
    <t xml:space="preserve">              1.1.1.5. Településüzemeltetés - közutak támogatása 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</si>
  <si>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</si>
  <si>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</si>
  <si>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</si>
  <si>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</si>
  <si>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</si>
  <si>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</si>
  <si>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</si>
  <si>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</si>
  <si>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t xml:space="preserve">             1.3.2.1. Család- és gyermekjóléti szolgálatt </t>
  </si>
  <si>
    <t xml:space="preserve">             1.3.2.3. Szociális étkeztetés </t>
  </si>
  <si>
    <t xml:space="preserve">             1.3.2.4. Házi segítségnyújtás </t>
  </si>
  <si>
    <t xml:space="preserve">                1.3.2.4.3. Személyi gondozás - társulás által történő feladatellátás </t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</si>
  <si>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</si>
  <si>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</si>
  <si>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</si>
  <si>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</t>
  </si>
  <si>
    <t xml:space="preserve">             1.4.1.2. Intézményi gyermekétkeztetés - üzemeltetési támogatás 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</si>
  <si>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</si>
  <si>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</si>
  <si>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</si>
  <si>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</si>
  <si>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    2. Felhalmozási célú tartalék </t>
  </si>
  <si>
    <t xml:space="preserve">    Reprezentáció </t>
  </si>
  <si>
    <t>JHS</t>
  </si>
  <si>
    <t xml:space="preserve">előző év
</t>
  </si>
  <si>
    <t xml:space="preserve">TOP-3.1.1-16-SO1-2017-00006 </t>
  </si>
  <si>
    <t>Szántód-Kőröshegy-Kereki községek kerékpárút fejlesztése</t>
  </si>
  <si>
    <t>ÁH-on belüli megelőlegezések visszafizetése</t>
  </si>
  <si>
    <t xml:space="preserve">        Szociális célú tűzifa beszerzés</t>
  </si>
  <si>
    <t>TOP-2.1.3-16-SO1-2021-00016</t>
  </si>
  <si>
    <t>Települési környezetvédelmi infrastruktúra-fejlesztések</t>
  </si>
  <si>
    <t>több éves kihatással járó feladatai</t>
  </si>
  <si>
    <t xml:space="preserve">              Felhalmozási céltartalék (TOP-2.1.3-16: csapadékvíz elvezető rendszer fejlesztése)</t>
  </si>
  <si>
    <t>K506</t>
  </si>
  <si>
    <t>EZEN A SORON LEHET MAJD KEREKÍTENI</t>
  </si>
  <si>
    <r>
      <t>Kereki Község Önkormányzatának</t>
    </r>
    <r>
      <rPr>
        <b/>
        <i/>
        <u/>
        <sz val="12"/>
        <rFont val="Arial CE"/>
        <family val="2"/>
        <charset val="238"/>
      </rPr>
      <t xml:space="preserve"> </t>
    </r>
  </si>
  <si>
    <t>2025. évi előirányzat</t>
  </si>
  <si>
    <t xml:space="preserve">                BURSA ösztöndíj</t>
  </si>
  <si>
    <t xml:space="preserve">        Kéményseprés, rovarirtás, egyéb </t>
  </si>
  <si>
    <t xml:space="preserve">    Egyéb juttatás nem saját dolgozónak</t>
  </si>
  <si>
    <t xml:space="preserve">    Jubileumi jutalom</t>
  </si>
  <si>
    <t xml:space="preserve">              Felhalmozási céltartalék (vár projekt 2023. évi költségei)</t>
  </si>
  <si>
    <t xml:space="preserve">   Felhalmozási pénzeszközátadás</t>
  </si>
  <si>
    <t xml:space="preserve">        Rendezvények </t>
  </si>
  <si>
    <t>2020-22.évi kifizetések</t>
  </si>
  <si>
    <t>2026. évi előirányzat</t>
  </si>
  <si>
    <t xml:space="preserve">           1.1.4. Polgármesteri illetményhez és költségtérítéshez nyújtott támogatás</t>
  </si>
  <si>
    <t xml:space="preserve">        1. Előző évi működési célú maradvány</t>
  </si>
  <si>
    <t xml:space="preserve">        2. ÁHB megelőlegezések</t>
  </si>
  <si>
    <t xml:space="preserve">       1. Előző évi felhalmozási célú maradvány</t>
  </si>
  <si>
    <t>Felhalmozási célú 
maradvány</t>
  </si>
  <si>
    <t xml:space="preserve">   Előző évi maradvány</t>
  </si>
  <si>
    <t xml:space="preserve">   ÁHB megelőlegezések</t>
  </si>
  <si>
    <t>Fin.bev.: műk. célú maradvány, ÁHB megelőlegezés</t>
  </si>
  <si>
    <t xml:space="preserve">    Egyéb béren kívüli juttatás (szabi megváltás, betegszabi)</t>
  </si>
  <si>
    <t xml:space="preserve">           Települési önkormányzatok kulturális feladatainak bérjellegű támogatása</t>
  </si>
  <si>
    <t xml:space="preserve">        Jogi tanácsadás</t>
  </si>
  <si>
    <t xml:space="preserve"> 2243=2391=</t>
  </si>
  <si>
    <t>EFI (végkielégítés)</t>
  </si>
  <si>
    <t>K5021</t>
  </si>
  <si>
    <t xml:space="preserve">               TV eszközbeszerzés miatti hozzájárulás (17/2023. (V.11.) BTKT hat.)</t>
  </si>
  <si>
    <t xml:space="preserve">    Képviselői tiszteletdíjak, alpolgármesteri díj</t>
  </si>
  <si>
    <t>Teljesítés 2024.12.31.</t>
  </si>
  <si>
    <t>9. melléklet</t>
  </si>
  <si>
    <t>2027. évi előirányzat</t>
  </si>
  <si>
    <t xml:space="preserve">13. melléklet </t>
  </si>
  <si>
    <t>Költségvetési bevételek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</si>
  <si>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</si>
  <si>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</si>
  <si>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</si>
  <si>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</si>
  <si>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</si>
  <si>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1.Működési célú támogatások államháztartáson belülről</t>
  </si>
  <si>
    <t>1. Személyi juttatások</t>
  </si>
  <si>
    <t>2. Közhatalmi bevételek</t>
  </si>
  <si>
    <t>2.  Munkaadókat terhelő járulékok és szociális hozzájárulási adó</t>
  </si>
  <si>
    <t>3. Működési bevételek</t>
  </si>
  <si>
    <t>3. Dologi kiadások</t>
  </si>
  <si>
    <t>4. Működési célú átvett pénzeszközök</t>
  </si>
  <si>
    <t>4. Ellátottak pénzbeli juttatásai</t>
  </si>
  <si>
    <t>5. Egyéb működési célú kiadások</t>
  </si>
  <si>
    <t>II. Felhalmozási költségvetési bevételek</t>
  </si>
  <si>
    <t xml:space="preserve">II. Felhalmozási költségvetési kiadások </t>
  </si>
  <si>
    <t>1. Felhalmozási célú támogatások államháztartáson belülről</t>
  </si>
  <si>
    <t>2. Felhalmozási bevételek</t>
  </si>
  <si>
    <t>3. Felhalmozási célú átvett pénzeszközök</t>
  </si>
  <si>
    <t>K8</t>
  </si>
  <si>
    <t>3. Egyéb felhalmozási célú kiadások</t>
  </si>
  <si>
    <t>B. Finanszírozási bevételek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</si>
  <si>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</si>
  <si>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</si>
  <si>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</si>
  <si>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</si>
  <si>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>ÁHB megelőlegezések visszafizetése</t>
  </si>
  <si>
    <t>Működési célú maradvány</t>
  </si>
  <si>
    <t>Felhalmozási célú maradvány</t>
  </si>
  <si>
    <t>3. Külföldi finanszírozás kiadásai</t>
  </si>
  <si>
    <t xml:space="preserve">    1.2. ÁHB megelőlegezés</t>
  </si>
  <si>
    <t>2. Költségvetési hiány külső finanszírozására szolgáló eszközök</t>
  </si>
  <si>
    <t>Bevételek összesen</t>
  </si>
  <si>
    <t>Kiadások összesen</t>
  </si>
  <si>
    <t xml:space="preserve">              1.1.1.3.2 Településüzemeltetés - közvilágítás üzemeltetési támogatása </t>
  </si>
  <si>
    <t xml:space="preserve">      2. Szolgáltatások ellenértéke (bérleti díjak)</t>
  </si>
  <si>
    <t xml:space="preserve">    Jutalom</t>
  </si>
  <si>
    <t xml:space="preserve"> =2023</t>
  </si>
  <si>
    <t xml:space="preserve">kiadási lába 4. melléklet </t>
  </si>
  <si>
    <t xml:space="preserve">                 Kis értékű tárgyi eszköz beszerzés</t>
  </si>
  <si>
    <t>2023. évi
 hátralék</t>
  </si>
  <si>
    <t xml:space="preserve">        Fogorvosi alapellátás és ügyelet</t>
  </si>
  <si>
    <t xml:space="preserve">     - ebből házi segítségnyújtás (2023.12.hó)</t>
  </si>
  <si>
    <t xml:space="preserve">     Reklám- és propagandakiadások</t>
  </si>
  <si>
    <t xml:space="preserve">       Önként vállalt (eredeti)</t>
  </si>
  <si>
    <t xml:space="preserve">     Önként vállalt (eredeti)</t>
  </si>
  <si>
    <t>Tartalékok összesen</t>
  </si>
  <si>
    <t>Általános tartalék</t>
  </si>
  <si>
    <t>Céltartalék</t>
  </si>
  <si>
    <t>Felhalmozási célú tartalék</t>
  </si>
  <si>
    <t>I. Egyéb működési célú támogatások államháztartáson belülre (K506)</t>
  </si>
  <si>
    <t>II. Egyéb működési célú támogatások államháztartáson kívülre (K512)</t>
  </si>
  <si>
    <t xml:space="preserve">    1. Működési célú pénzeszközátadások, támogatások </t>
  </si>
  <si>
    <t xml:space="preserve">    3. A helyi önkormányzatok előző évi elszámolásából származó kiadások</t>
  </si>
  <si>
    <t xml:space="preserve">    4. Szolidaritási hozzájárulás</t>
  </si>
  <si>
    <t>Egyéb működési célú kiadások mindösszesen (I+II)</t>
  </si>
  <si>
    <t xml:space="preserve">I. Működési célú kiadások </t>
  </si>
  <si>
    <t xml:space="preserve">II. Felhalmozási célú kiadások </t>
  </si>
  <si>
    <t xml:space="preserve">          1.1. Személyi juttatások</t>
  </si>
  <si>
    <t xml:space="preserve">          1.2. Munkaadót terhelő járulékok és szociális hozzájárulási adó</t>
  </si>
  <si>
    <t xml:space="preserve">          1.3. Dologi kiadások</t>
  </si>
  <si>
    <t xml:space="preserve">          1.4. Ellátottak pénzbeli juttatásai</t>
  </si>
  <si>
    <t xml:space="preserve">          1.5. Egyéb működési célú kiadások</t>
  </si>
  <si>
    <t xml:space="preserve">   Tartalék felhasználása</t>
  </si>
  <si>
    <t>B1131</t>
  </si>
  <si>
    <t>K335</t>
  </si>
  <si>
    <t>K121</t>
  </si>
  <si>
    <t>Költségfelosztás 2025. Összesítő (2025.01.23.)</t>
  </si>
  <si>
    <t>2025. évi mind
összesen</t>
  </si>
  <si>
    <t xml:space="preserve">2024. évi hozzájárulás </t>
  </si>
  <si>
    <t>Házi segítség
nyújtás 
2025</t>
  </si>
  <si>
    <t>Kereki Község Önkormányzat 2025. évi általános tartalék, céltartalék kimutatása</t>
  </si>
  <si>
    <t>2025. évi összevont mérlege</t>
  </si>
  <si>
    <t>2025. évi eredeti előirányzat</t>
  </si>
  <si>
    <t>2025. évi működési célú bevételei, kiadásai</t>
  </si>
  <si>
    <t>2025. évi felhalmozási bevételei, kiadásai</t>
  </si>
  <si>
    <t>2025. évi működési célú támogatásai, pénzeszközátadásai, közvetetett támogatásai</t>
  </si>
  <si>
    <t>2025. évi költségvetési kiadásainak részletezése kormányzati funkciók szerint</t>
  </si>
  <si>
    <t>2025-2028. évi gördülő tervezése</t>
  </si>
  <si>
    <t>2025. évi adósságot keletkeztető ügyleteiből eredő fizetési kötelezettségek, várható saját bevételek</t>
  </si>
  <si>
    <t>Kereki Község Önkormányzat 2025. évi bevétel-kiadási előirányzat-felhasználási ütemterve</t>
  </si>
  <si>
    <t>2025. évi Európai Uniós forrásból finanszírozott támogatással megvalósuló projektek kiadásai, 
projekt megvalósításhoz történő önkormányzati hozzájárulásai</t>
  </si>
  <si>
    <t>2028. évi előirányzat</t>
  </si>
  <si>
    <t>2024. évi várható teljesítés</t>
  </si>
  <si>
    <t>2023. évi
 teljesítés</t>
  </si>
  <si>
    <t xml:space="preserve">              1.1.1.2. Településüzemeltetés - zöldterület-gazdálkodás támogatása </t>
  </si>
  <si>
    <t xml:space="preserve">              1.1.1.3.1 Településüzemeltetés - közvilágítás alaptámogatása </t>
  </si>
  <si>
    <t xml:space="preserve">           1.1.5. Közvilágítás kiegészítő támogatása</t>
  </si>
  <si>
    <t xml:space="preserve">                1.3.2.3.1. Szociális étkeztetés - önálló feladatellátás</t>
  </si>
  <si>
    <t xml:space="preserve">          1.3.3. Bölcsőde, mini bölcsőde támogatása </t>
  </si>
  <si>
    <t xml:space="preserve">            Szociális ágazati pótlék</t>
  </si>
  <si>
    <t xml:space="preserve">          1.5.2. Települési önkormányzatok egyes kulturális feladatainak támogatása</t>
  </si>
  <si>
    <t xml:space="preserve">           Táncművészeti szervek támogatása (Előadó és Alkotóművészetért Alapítvány)</t>
  </si>
  <si>
    <t xml:space="preserve">       2. A helyi önkormányzatok működési célú kiegészítő támogatásai</t>
  </si>
  <si>
    <t xml:space="preserve">       2.1. A helyi önkormányzatok általános feladatainak működési célú támogatása</t>
  </si>
  <si>
    <t xml:space="preserve">          2.1.1. Polgármesteri illetményhez és költségtérítéshez nyújtott támogatás</t>
  </si>
  <si>
    <t xml:space="preserve">          2.1.6. Önkormányzati elszámolások </t>
  </si>
  <si>
    <t xml:space="preserve">       2.2. A települési önkormányzatok köznevelési feladatainak működési célú támogatása</t>
  </si>
  <si>
    <t xml:space="preserve">          2.2.1. Esélyteremtési illetményrész támogatása </t>
  </si>
  <si>
    <t xml:space="preserve">       2.3. A települési önkormányzatok egyes szociális és gyermekjóléti feladatainak működéási célú támogatása</t>
  </si>
  <si>
    <t xml:space="preserve">          2.3.1. A települési önkormányzatok szociális célú tüzelőanyag vásárlásához kapcsolódó támogatása</t>
  </si>
  <si>
    <t xml:space="preserve">          2.3.2. Szociális ágazati összevont pótlék és egészségügyi kiegészítő pótlék </t>
  </si>
  <si>
    <t xml:space="preserve">       2.4. A települési önkormányzatok kulturális feladatainak működési célú támogatása</t>
  </si>
  <si>
    <t xml:space="preserve">          2.4.5 Táncművészeti szervek támogatása (Előadó és Alkotóművészetért Alapítvány)</t>
  </si>
  <si>
    <t xml:space="preserve">          2.4.7 Települési önkormányzatok kulturális feladatainak bérjellegű támogatása</t>
  </si>
  <si>
    <r>
      <t xml:space="preserve">      Elszámolásból származó bevételek</t>
    </r>
    <r>
      <rPr>
        <sz val="10"/>
        <rFont val="Times New Roman"/>
        <family val="1"/>
        <charset val="238"/>
      </rPr>
      <t xml:space="preserve"> (2024. évi állami normatíva elszámolás kieg.támogatással)</t>
    </r>
  </si>
  <si>
    <t xml:space="preserve">      Egyéb működési célú támogatások államháztartáson belülről </t>
  </si>
  <si>
    <t xml:space="preserve">          1. Közfoglalkoztatás támogatása</t>
  </si>
  <si>
    <t xml:space="preserve">      Egyéb működési célú átvett pénzeszközök </t>
  </si>
  <si>
    <t xml:space="preserve">                2024. évi nem közművel összegyűjtött szennyvíz műk-i.tám. (DRV Zrt.)</t>
  </si>
  <si>
    <t xml:space="preserve">               Dél-Balatoni Regionális Hulladékgazdálkodási Önkormányzati Társulás 2025. évi működési hozzájárulása</t>
  </si>
  <si>
    <t xml:space="preserve">                Balatonföldvári Közös Önkormányzati Hivatal 2025. évi működési hozzájárulás</t>
  </si>
  <si>
    <t>?16*250*1200</t>
  </si>
  <si>
    <t>DINO=2024.évi közüzem 348</t>
  </si>
  <si>
    <t xml:space="preserve">                 Konténer beszerzése (88/2024.(XI.20.))</t>
  </si>
  <si>
    <t xml:space="preserve">        Energiamegtakarítás int.terv, EMIS rendszerben adatok feltöltése (4/2025.(I.16.))</t>
  </si>
  <si>
    <t xml:space="preserve">        Településképi módosító tervdokumentáció elkészítése (2/2025.(I.16.))</t>
  </si>
  <si>
    <t xml:space="preserve">    2. Civil szervezeteknek </t>
  </si>
  <si>
    <t>látogató kp</t>
  </si>
  <si>
    <t>Kereki Község Önkormányzatának 2025. évi bevételei kiemelt előirányzatonként, feladatonként</t>
  </si>
  <si>
    <t>Kereki Község Önkormányzatának 2025. évi kiadásai intézményenként, kiemelt előirányzatonként, 
feladatonkénti bontásban</t>
  </si>
  <si>
    <t>2025. évi tartalék kimutatása</t>
  </si>
  <si>
    <t>Kereki Község Önkormányzat bevételeinek és kiadásainak mérlegszerű kimutatása
2023-2025. év</t>
  </si>
  <si>
    <t>Módosított előirányzat 2025.12.31.</t>
  </si>
  <si>
    <t>Teljesítés 2025.12.31.</t>
  </si>
  <si>
    <t>2024. évi teljesítés</t>
  </si>
  <si>
    <t>2025. évi eredeti ei.</t>
  </si>
  <si>
    <t>mód.ei.          2025.12.31.</t>
  </si>
  <si>
    <t>telj. 2025.12.31.</t>
  </si>
  <si>
    <t>066020 Város- és községgazdálkodás                                                                     045160 Közutak, hidak, alagutak üzemeltetése, fenntartása
gazdálkodási szolg.</t>
  </si>
  <si>
    <t>082092 Közművelődési intézmények működtetése 082044 Könyvtári szolgáltatások</t>
  </si>
  <si>
    <t>107051 Szoc. étk.                                                    107060 egyéb pénbeli és szoc.ell.</t>
  </si>
  <si>
    <t>Eü.-i ellátás</t>
  </si>
  <si>
    <t>1. melléklet a 2/2025.(III.6.) önkormányzati rendelethez</t>
  </si>
  <si>
    <t>4. melléklet a 2/2025.(III.6.) önkormányzati rendelethez</t>
  </si>
  <si>
    <t>7. melléklet a 2/2025.(III.6.) önkormányzati rendelethez</t>
  </si>
  <si>
    <t>előirányzat változás</t>
  </si>
  <si>
    <t>ei. változás</t>
  </si>
  <si>
    <t>ei.változás</t>
  </si>
  <si>
    <t>2. melléklet a 2/2025.(III.6.) önkormányzati rendelethez</t>
  </si>
  <si>
    <t>3. melléklet a 2/2025.(III.6.) önkormányzati rendelethez</t>
  </si>
  <si>
    <t>5. melléklet a 2/2025.(III.6.) önkormányzati rendelethez</t>
  </si>
  <si>
    <t>6. melléklet a 2/2025.(III.6.) önkormányzati rendelethez</t>
  </si>
  <si>
    <t>Kötelező (teljesítés 2024.12.31.)</t>
  </si>
  <si>
    <t>Kötelező (módosított 2025.12.31.)</t>
  </si>
  <si>
    <t>Kötelező (teljesítés 2025.12.31.)</t>
  </si>
  <si>
    <t>Önkormányzat összesen (teljesítés 2024.12.31.)</t>
  </si>
  <si>
    <t>Önkormányzat összesen (módosított 2025.12.31.)</t>
  </si>
  <si>
    <t>Önkormányzat összesen (teljesítés 2025.12.31.)</t>
  </si>
  <si>
    <t>Önként vállalt (teljesítés 2024.12.31.)</t>
  </si>
  <si>
    <t>polgármester (főállású)</t>
  </si>
  <si>
    <t>alpolgármester (társadalmi megbízatású)</t>
  </si>
  <si>
    <t>választott képviselők</t>
  </si>
  <si>
    <t>közalkalmazott</t>
  </si>
  <si>
    <t>Munka Törvénykönyve hatálya alá tartozó</t>
  </si>
  <si>
    <t>közfoglalkoztatott</t>
  </si>
  <si>
    <t xml:space="preserve">        Közjegyzői munkadíj, szakértői díj</t>
  </si>
  <si>
    <t>2025. évi mind összesen II.mód</t>
  </si>
  <si>
    <t>2025. évi hozzájárulás (eredeti)</t>
  </si>
  <si>
    <t>Labor közbeszerzés</t>
  </si>
  <si>
    <t>Költségfelosztás 2025. Összesítő (2025.08.25.)</t>
  </si>
  <si>
    <t xml:space="preserve">        Vízkárelhárítási védelmi terv felülvizsgálata (33/2025.(III.31.))</t>
  </si>
  <si>
    <t>Önként vállalt (módosított 2025.12.31.)</t>
  </si>
  <si>
    <t>Önként vállalt (teljesítés 2025.12.31.)</t>
  </si>
  <si>
    <t>9. melléklet a 2/2025.(III.6.) önkormányzati rendelethez</t>
  </si>
  <si>
    <t>10. melléklet a 2/2025.(III.6.) önkormányzati rendelethez</t>
  </si>
  <si>
    <t>14. melléklet a 2/2025.(III.6.) önkormányzati rendelethez</t>
  </si>
  <si>
    <t>2025. évi költségvetési rendelet módosítás indokai és hatásai a 2011. évi CXCV. törvény 23. §. (5) alapján</t>
  </si>
  <si>
    <t>Előirányzat változások (módosítás, átcsoportosítás) indoklása                                                                                     Bevételek/kiadások változása</t>
  </si>
  <si>
    <t>Hatása</t>
  </si>
  <si>
    <t xml:space="preserve">     Településüzemeltetés - közvilágítás üzemeltetési támogatása (májusi felmérés alapján)</t>
  </si>
  <si>
    <t>tárgyévi, egyszeri, kp.int.: az infláció mértékével növelt közvil.üzemeltetésének ktg.ihez való hozzájárulás mérsékli a saját forrás bevonását</t>
  </si>
  <si>
    <t xml:space="preserve">     Hivatal működésének támogatása (Önkormányzati hivatalban foglalkoztatott köztisztviselők 2025. július 1-jétől történő illetményemelésére fordítandó összeg)</t>
  </si>
  <si>
    <t xml:space="preserve">     Polgármesteri illetményhez és költségtérítéshez nyújtott támogatás (átcsop.B115-ről)</t>
  </si>
  <si>
    <t>tárgyévi, egyszeri, központi intézkedés</t>
  </si>
  <si>
    <t xml:space="preserve">     Települési önk.-ok egyes köznevelési feladatainak tám.-a (óvoda) (májusi felmérés alapján)</t>
  </si>
  <si>
    <t>tárgyévi, egyszeri, központi intézkedés (bértám.)</t>
  </si>
  <si>
    <t xml:space="preserve">     Család és gyermekjóléti szolgálat (kiegészítő támogatás)</t>
  </si>
  <si>
    <t xml:space="preserve">     Önkormányzati elszámolások (iparűzési adó kieg.tám.)</t>
  </si>
  <si>
    <t xml:space="preserve">     Házi segítségnyújtás (október havi felmérés alapján)</t>
  </si>
  <si>
    <t xml:space="preserve">     Intézményi gyermekétkeztetés - üzemeltetési támogatás (kiegészítő támogatás)</t>
  </si>
  <si>
    <t xml:space="preserve">     Intézményi gyermekétkeztetés - bértámogatás (májusi felmérés alapján)</t>
  </si>
  <si>
    <t xml:space="preserve">     Táncművészeti szervek támogatása (Előadó és Alkotóművészetért Alapítvány) (átcsop.B115-ről)</t>
  </si>
  <si>
    <t xml:space="preserve">     Települési önkormányzatok kulturális feladatainak bérjellegű támogatása (átcsop.B115-ről)</t>
  </si>
  <si>
    <t xml:space="preserve">     A települési önkormányzatok szociális célú tüzelőanyag vásárlásához kapcsolódó támogatása</t>
  </si>
  <si>
    <t>tárgyévi, egyszeri, kp.int., rászoruló családok támogatása</t>
  </si>
  <si>
    <t xml:space="preserve">     Szociális ágazati pótlék (átcsop. B1131-re) </t>
  </si>
  <si>
    <t xml:space="preserve">     Polgármesteri illetményhez és költségtérítéshez nyújtott támogatás (átcsop.B111-re)</t>
  </si>
  <si>
    <t xml:space="preserve">     Települési önkormányzatok kulturális feladatainak bérjellegű támogatása (átcsop.B114-re)</t>
  </si>
  <si>
    <t xml:space="preserve">     Táncművészeti szervek támogatása (Előadó és Alkotóművészetért Alapítvány) (átcsop.B114-re)</t>
  </si>
  <si>
    <t>B116</t>
  </si>
  <si>
    <t xml:space="preserve">     Elszámolásból származó bevételek (2023. évi normatíva pótigény)</t>
  </si>
  <si>
    <t xml:space="preserve">     Egyéb működési célú támogatások (átcsop. B116-ról)</t>
  </si>
  <si>
    <t xml:space="preserve">     Választások támogatása: póttámogatás (Hivatal)</t>
  </si>
  <si>
    <t xml:space="preserve">     Választások támogatása: Szólád időközi (Hivatal)</t>
  </si>
  <si>
    <t xml:space="preserve">     Versenyképes Járások Program: A Balatonföldvári térségi labor fejlesztésének támogatása</t>
  </si>
  <si>
    <t xml:space="preserve">     Keleti strand felújítás támogatása (Kisfaludy)</t>
  </si>
  <si>
    <t xml:space="preserve">     Nyugati strand felújítás támogatása (Kisfaludy)</t>
  </si>
  <si>
    <t xml:space="preserve">     Iskola energetikai korszerűsítése támogatás (előleg)</t>
  </si>
  <si>
    <t xml:space="preserve">     Iparűzési adó</t>
  </si>
  <si>
    <t xml:space="preserve">     Közvetített szolgáltatások ellenértéke (menekültek étkeztetése)</t>
  </si>
  <si>
    <t xml:space="preserve">     Tulajdonosi bevételek: bérleti díjak</t>
  </si>
  <si>
    <t xml:space="preserve">     Ellátási díjak (szoc.étk.díj bev.)</t>
  </si>
  <si>
    <t xml:space="preserve">     Kiszámlázott ÁFA</t>
  </si>
  <si>
    <t>tárgyévi, egyszeri, kiadások fedezete</t>
  </si>
  <si>
    <t xml:space="preserve">     ÁFA visszatérítése</t>
  </si>
  <si>
    <t xml:space="preserve">     Egyéb működési bevétel (településrendezési tervezési díj+bonyolítási díj) 25/2025.(II.27.)</t>
  </si>
  <si>
    <t>tárgyévi, egyszeri, az eljárás kapcsán felmerülő kiadásra biztosít fedezetet</t>
  </si>
  <si>
    <t xml:space="preserve">     Áramdíj visszatérítés</t>
  </si>
  <si>
    <t xml:space="preserve">     Közüzemi díj visszatérítés</t>
  </si>
  <si>
    <t xml:space="preserve">      Egyéb működési támogatás ÁHK-ről</t>
  </si>
  <si>
    <t xml:space="preserve">   </t>
  </si>
  <si>
    <t xml:space="preserve">      Vízisport és Vitorlás Egyesület támogatása</t>
  </si>
  <si>
    <t xml:space="preserve">    Államháztartáson kívülről felhalmozási célból, ellenérték nélkül kapott bevétel (MBH Bank tám.)</t>
  </si>
  <si>
    <t xml:space="preserve">    Előző évi pénzmaradvány igénybevétele</t>
  </si>
  <si>
    <t xml:space="preserve">          Működési célú maradvány</t>
  </si>
  <si>
    <t xml:space="preserve">          Felhalmozási célú maradvány</t>
  </si>
  <si>
    <t xml:space="preserve">   ÁHB megelőlegezések bevétele</t>
  </si>
  <si>
    <t>tárgyévi, egyszeri, kp.-i intézkedés</t>
  </si>
  <si>
    <t xml:space="preserve">    Fejlesztési célú hitel  felvétele (ingatlan vásárlás)  (8/2021.(VI.24.))</t>
  </si>
  <si>
    <t>Bevételek mindösszesen (A+B)</t>
  </si>
  <si>
    <t>K1103</t>
  </si>
  <si>
    <t xml:space="preserve">     Jutalom (választás) (átcsop.K1113-ra)</t>
  </si>
  <si>
    <t xml:space="preserve">     Jutalom (átcsop.K1101-ről)</t>
  </si>
  <si>
    <t>K1105</t>
  </si>
  <si>
    <t xml:space="preserve">     Végkielégítés</t>
  </si>
  <si>
    <t>K1106</t>
  </si>
  <si>
    <t xml:space="preserve">     Jubileumi jutalom (átcsop.K1107-ről)</t>
  </si>
  <si>
    <t>tárgyévi, egyszeri, kiadás átcsoportosítás</t>
  </si>
  <si>
    <t>K1107</t>
  </si>
  <si>
    <t xml:space="preserve">     Béren kívüli juttatás (kiegészítő támogatásból)</t>
  </si>
  <si>
    <t>K1109</t>
  </si>
  <si>
    <t xml:space="preserve">     Közlekedési költségtérítés (átcsop K2-ről)</t>
  </si>
  <si>
    <t xml:space="preserve">     Közlekedési költségtérítés (átcsoportosítás K1107-ről)</t>
  </si>
  <si>
    <t>K1113</t>
  </si>
  <si>
    <t xml:space="preserve">     Egyéb személyi juttatás: megbízási saját dolgozónak (választás) (átcsop.K1103-ról)</t>
  </si>
  <si>
    <t xml:space="preserve">     Alpolgármesteri tiszteletdíjak (átcsop.K122-ről)</t>
  </si>
  <si>
    <t xml:space="preserve">     Szociális célú tűzifa beszerzés 87/2025.(IV.30.)</t>
  </si>
  <si>
    <t>tárgyévi, egyszeri,  rászoruló családok tüzelőanyagköltségének csökkentése</t>
  </si>
  <si>
    <t xml:space="preserve">     Alkatrész beszerzés buszhoz (átcsop.K334-ről)</t>
  </si>
  <si>
    <t xml:space="preserve">     Üzemeltetési anyagok beszerzése: nyomtatvány, munkaruha (átcsop. K334, K366-ra)</t>
  </si>
  <si>
    <t xml:space="preserve">     Üzemanyag beszerzés (átcsop. K336-ra)</t>
  </si>
  <si>
    <t xml:space="preserve">     Toner (választás)</t>
  </si>
  <si>
    <t xml:space="preserve">     Irodaszer beszerzés (választás)</t>
  </si>
  <si>
    <t>K321</t>
  </si>
  <si>
    <t xml:space="preserve">     Turisztikai kártya igénylő rendszerhez tárhely és support szolgáltatás biztosítása</t>
  </si>
  <si>
    <t xml:space="preserve">     Telefonköltség</t>
  </si>
  <si>
    <t xml:space="preserve">     Dologi kiadások (korrigált előirányzat)</t>
  </si>
  <si>
    <t xml:space="preserve">     Mederhasználati díj</t>
  </si>
  <si>
    <t>tárgyévi, egyszeri, stégek használata</t>
  </si>
  <si>
    <t xml:space="preserve">     Partnervárosi találkozó (épületbérlés) (átcsop.K512-ről)</t>
  </si>
  <si>
    <t xml:space="preserve">     Puskás Tivadar és Hegyalja utcát összekötő közterület karbantartása 51/2024.(III.26.)</t>
  </si>
  <si>
    <t xml:space="preserve">     Járdarekonstrukció és árok karbantartás Balatonföldvár, Kőröshegyi út nyugati oldalán a Kossuth L. utca és a település közigazgatási határa között, valamint buszvárók karbantartása 102/2024.(VII.25.)</t>
  </si>
  <si>
    <t xml:space="preserve">     Vízkárelhárítási védelmi terv felülvizsgálata 71/2025.(III.28.)</t>
  </si>
  <si>
    <t>tárgyévi, egyszeri, a vizek kártételei elleni védelem és védekezés</t>
  </si>
  <si>
    <t xml:space="preserve">     Fizioterápiás szolgáltatás beszerzése kapcsán beszerzési szakértői feladatok ellátása</t>
  </si>
  <si>
    <t>tárgyévi, egyszeri, eü-i ellátás biztosítása</t>
  </si>
  <si>
    <t xml:space="preserve">     Ei.evonás: boldog békeidők (műszaki ellenőr, marketing)</t>
  </si>
  <si>
    <t xml:space="preserve">     Csoportos közbeszerzés (villamos energia) (118/2022.(IX.20.))</t>
  </si>
  <si>
    <t xml:space="preserve">     Marketing (Zöld város)</t>
  </si>
  <si>
    <t xml:space="preserve">     Műszaki ellenőrzés (Bölcsőde pályázat) (átcsop. K351-ről)</t>
  </si>
  <si>
    <t xml:space="preserve">     Belső ellenőrzés (2021. 12 hó)</t>
  </si>
  <si>
    <t xml:space="preserve">     Foglalkozás egészségügyi ellátás (átcsop. K312-ről)</t>
  </si>
  <si>
    <t xml:space="preserve">     Külső adatvédelmi tisztviselő (átcsop. K312-ről)</t>
  </si>
  <si>
    <t xml:space="preserve">     Egyéb szakmai szolgáltatások (átcsoportosítás K337-re)</t>
  </si>
  <si>
    <t xml:space="preserve">     Villamos mérőhely kiépítése és szabványosítása</t>
  </si>
  <si>
    <t xml:space="preserve">     Fesztivál tér - közműcsatlakozások kiépítése 54/2024.(III.26.) (átcsop.K351-re)</t>
  </si>
  <si>
    <t xml:space="preserve">     Nyugati strand előtti volt kerékpáros szolgáltató pont épületének bontása 106/2024.(VIII.26.)</t>
  </si>
  <si>
    <t xml:space="preserve">     Rendezvényszervezés (bográcsfesztivál)</t>
  </si>
  <si>
    <t xml:space="preserve">     Villamos biztonsági felülvizsgálat</t>
  </si>
  <si>
    <t xml:space="preserve">     Közbeszerzés (útfelújítás) (ei.elvonás)</t>
  </si>
  <si>
    <t xml:space="preserve">     Szociális tűzifa szállítási költség</t>
  </si>
  <si>
    <t>K341</t>
  </si>
  <si>
    <t xml:space="preserve">     Kiküldetési díjak</t>
  </si>
  <si>
    <t>tárgyévi, egyszeri, kiküldetés biztosítása</t>
  </si>
  <si>
    <t>K352</t>
  </si>
  <si>
    <t xml:space="preserve">     Fizetendő ÁFA</t>
  </si>
  <si>
    <t xml:space="preserve">     Fizetendő ÁFA (Nyugati strand területén új sportépület építése)</t>
  </si>
  <si>
    <t>K353</t>
  </si>
  <si>
    <t xml:space="preserve">     Kamatkiadások</t>
  </si>
  <si>
    <t xml:space="preserve">     Állami támogatás visszafizetés (2020-2021. évi állami elszámolásból)</t>
  </si>
  <si>
    <t>K5022</t>
  </si>
  <si>
    <t xml:space="preserve">     A helyi önkormányzatok törvényi előíráson alapuló befizetései (IPA adóbevétel többlet alapján telj.fiz. kötelezettség)</t>
  </si>
  <si>
    <t>tárgyévi, központi intézkedés, térségi fejlesztés valósul meg</t>
  </si>
  <si>
    <t xml:space="preserve">     Köznevelési feladatok támogatás (május havi felmérés: óvoda póttámogatás)</t>
  </si>
  <si>
    <t>tárgyévi, egyszeri, bértámogatás</t>
  </si>
  <si>
    <t xml:space="preserve">     Működési hozzájárulás (EFI iroda állami támogatás csökkentés miatt)</t>
  </si>
  <si>
    <t xml:space="preserve">     Szociális étkeztetés állami normatíva (átcsoportosítás K332-re)</t>
  </si>
  <si>
    <t xml:space="preserve">     Személyi gondozás (októberi felmérés: póttámogatás)</t>
  </si>
  <si>
    <t xml:space="preserve">     Pénzeszközátadás társulásban közösen ellátott fel.-ra (TKT felosztás külön táblán bemutatva)</t>
  </si>
  <si>
    <t>tárgyévi, egyszeri, tartalék csökkenése</t>
  </si>
  <si>
    <t xml:space="preserve">     Települési Önkormányzatok Országos Szövetsége tagdíj (átcsop.K512-re)</t>
  </si>
  <si>
    <t xml:space="preserve">     BURSA támogatás (átcsoportosítás K512-ről)</t>
  </si>
  <si>
    <t xml:space="preserve">     Intézményi gyermekétkeztetés - üzemeltetési tám. átadás TKT részére (kiegészítő felmérés alapján)</t>
  </si>
  <si>
    <t xml:space="preserve">     Szociális étkeztetés állami támogatás átadása (májusi felmérés)</t>
  </si>
  <si>
    <t xml:space="preserve">     Szociális étkeztetés csomagolás</t>
  </si>
  <si>
    <t xml:space="preserve">     2019. évi normatíva elszámolásból adódó többlettámogatás továbbadása</t>
  </si>
  <si>
    <t xml:space="preserve">     Kultkikötő Kft. működési támogatás kiegészítés 118/2025.(VII.16.)</t>
  </si>
  <si>
    <t xml:space="preserve">     TDM Egyesület (Földvár Kártya rendszer fenntartható működésének biztosítása)</t>
  </si>
  <si>
    <t>tárgyévi, egyszeri, lakossági szolg.színvonal növelése</t>
  </si>
  <si>
    <t xml:space="preserve">     Gyermekorvos lakhatási támogatása </t>
  </si>
  <si>
    <t xml:space="preserve">     Működési célú tartalék</t>
  </si>
  <si>
    <t>K6-K7</t>
  </si>
  <si>
    <t>tárgyévi, egyszeri, vagyongyarapodás</t>
  </si>
  <si>
    <t>tárgyévi, egyszeri, postai szolgáltatás biztosítása</t>
  </si>
  <si>
    <t xml:space="preserve">      Nyugati strand területén új sportépület építése 73/2024.(V.16.)</t>
  </si>
  <si>
    <t xml:space="preserve">      Kártyanyomtató és kellékeinek beszerzése </t>
  </si>
  <si>
    <t xml:space="preserve">      Versenyképes Járások Program: ingatlanfelújítás</t>
  </si>
  <si>
    <t xml:space="preserve">      Városháza előtti tér (parkoló, park) felújítása (68/2022.(V.6.))</t>
  </si>
  <si>
    <t xml:space="preserve">      Bajcsy-Zs. u. járdaszegély építése (szivattyúpark pályázaton kívüli rész)</t>
  </si>
  <si>
    <t xml:space="preserve">      Önerős felújítások elmaradása</t>
  </si>
  <si>
    <t>K71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</si>
  <si>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</si>
  <si>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</si>
  <si>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Nyilvános illemhely útszakasz burkolása</t>
  </si>
  <si>
    <t xml:space="preserve">    Egyéb felhalmozási célú kiadások</t>
  </si>
  <si>
    <t>K84</t>
  </si>
  <si>
    <t xml:space="preserve">      Iskola energetika pályázat támogatás visszafizetése</t>
  </si>
  <si>
    <t xml:space="preserve">      Boldog békeidők pályázat támogatás visszafizetése</t>
  </si>
  <si>
    <t xml:space="preserve">     Felhalmozási célú tartalék </t>
  </si>
  <si>
    <t xml:space="preserve">     Felhalmozási célú céltartalék </t>
  </si>
  <si>
    <t>K916</t>
  </si>
  <si>
    <t>Pénzeszközök lekötött bankbetétként elhelyezése</t>
  </si>
  <si>
    <t>tárgyévi, egyszeri, bankbetétből kamatbevétel várható</t>
  </si>
  <si>
    <t>Kiadások mindösszesen (A+B)</t>
  </si>
  <si>
    <t>15. melléklet a 2/2025.(III.6.) önkormányzati rendelethez</t>
  </si>
  <si>
    <t xml:space="preserve">     Polgármester illetménye 54/2025.(VII.30.)</t>
  </si>
  <si>
    <t xml:space="preserve">     Járulékok</t>
  </si>
  <si>
    <t xml:space="preserve">     Vásárolt élelmezés (átcsop. K121-re)</t>
  </si>
  <si>
    <t xml:space="preserve">     Megbízási díj: MFP projektmenedzseri feladatok 46/2025.(V.29.)</t>
  </si>
  <si>
    <t xml:space="preserve">     Vásárolt élelmezés (májusi normatíva felmérés alapján 4 fő lemondás volt)</t>
  </si>
  <si>
    <t xml:space="preserve">     Közvetített szolgáltatások ellenértéke (biztosításai díj, közüzemi díj)</t>
  </si>
  <si>
    <t xml:space="preserve">     Használt szék eladás</t>
  </si>
  <si>
    <t xml:space="preserve">     Közjegyzői munkadíj, szakértői díj megtérítése</t>
  </si>
  <si>
    <t xml:space="preserve">     Közjegyzői munkadíj, szakértői díj (látogatóközpont kötbér kapcsán)</t>
  </si>
  <si>
    <t xml:space="preserve">     Egyéb személyi juttatás: betegszabadság (átcsop.K1101-ről)</t>
  </si>
  <si>
    <t xml:space="preserve">     Biztosító általi kár rendezése (VR berendezések meghibásodása kapcsán biztosítási kárrendezés)</t>
  </si>
  <si>
    <t>központi intézkedés</t>
  </si>
  <si>
    <t>kp.int.: az infláció mértékével növelt közvil.üzemeltetésének ktg.ihez való hozzájárulás mérsékli a saját forrás bevonását</t>
  </si>
  <si>
    <t>központi intézkedés, bevétel átcsop.</t>
  </si>
  <si>
    <t xml:space="preserve">javul a temető megközelíthetősége </t>
  </si>
  <si>
    <t>bevétel átcsoportosítás</t>
  </si>
  <si>
    <t>tartalék növekedése</t>
  </si>
  <si>
    <t>továbbszámlázott közüzemi és biztosítási díjbevételek</t>
  </si>
  <si>
    <t>a biztosítási összeg fedezetet biztosítás a javítás költségeire</t>
  </si>
  <si>
    <t xml:space="preserve">kiadások megtérített fedezete </t>
  </si>
  <si>
    <t>többletbevételből tartalék növekedése</t>
  </si>
  <si>
    <t>kiadás átcsoportosítás</t>
  </si>
  <si>
    <t>központi intézkedés (jogszabály határozza meg)</t>
  </si>
  <si>
    <t>sikeres pályázat benyújtása és elszámolása</t>
  </si>
  <si>
    <t>kevesebb szociális étkező</t>
  </si>
  <si>
    <t>közüzemi díjak továbbszámlázása</t>
  </si>
  <si>
    <t>látogatóközpont pályázat</t>
  </si>
  <si>
    <t xml:space="preserve">     Továbbszámlázott közüzemi díjak</t>
  </si>
  <si>
    <t>MFP: pályázat tájékoztatás, nyilvánosság</t>
  </si>
  <si>
    <t xml:space="preserve">     MFP: pályázat tájékoztatás, nyilvánosság (tábla)</t>
  </si>
  <si>
    <t>MFP: pályázat tájékoztatás, nyilvánosság biztosítása</t>
  </si>
  <si>
    <t xml:space="preserve">     Útkarbantartás költségei (átcsop.K351-ről)</t>
  </si>
  <si>
    <t xml:space="preserve">     Működési célú ÁFA (átcsop.K334-re)</t>
  </si>
  <si>
    <t>balesetek kockázatának csökkentése, jobb közlekedés</t>
  </si>
  <si>
    <t xml:space="preserve">     Megbízási díj (átcsop.K1113-ra)</t>
  </si>
  <si>
    <t xml:space="preserve">     Egyéb személyi juttatás: megbízás saját dolgozónak kulturális feladatokra (átcsop.K122-ről)</t>
  </si>
  <si>
    <t xml:space="preserve">10. melléklet </t>
  </si>
  <si>
    <t xml:space="preserve">     Informatikai szolgáltatás (átcsop.K121-re)</t>
  </si>
  <si>
    <t xml:space="preserve">     Közüzemi díjak (átcsop.K337-re)</t>
  </si>
  <si>
    <t>önkormányzati vagyon állagmegóvása, temetőben rendezett környezet biztosítása</t>
  </si>
  <si>
    <t xml:space="preserve">     Egyéb szolgáltatás: temetőben szemételszállítás (ártalmatlanítás), épület állagmegóvás (tetőtisztítás) (átcsop.K331-ről)</t>
  </si>
  <si>
    <t>K331</t>
  </si>
  <si>
    <t>a szolgáltató általi begyűjtés megakadályozza a fertőzéseket, a kellemetlen szagokat, a talajszennyeződést; magyar jogszabály egyértelműen előírja a nem közművel összegyűjtött háztartási szennyvíz begyűjtésének és elszállításának rendjét</t>
  </si>
  <si>
    <t xml:space="preserve">          MFP: Kereki, Temetői út I.szakaszának felújítás támogatása</t>
  </si>
  <si>
    <t xml:space="preserve">             MFP: Kereki, Temetői út I.szakaszának felújítása</t>
  </si>
  <si>
    <t xml:space="preserve">     MFP: Kereki, Temetői út I.szakaszának felújítás támogatása 45/2025.(V.29.)</t>
  </si>
  <si>
    <t xml:space="preserve">      MFP: Kereki, Temetői út I.szakaszának felújítása 45/2025.(V.29.)</t>
  </si>
  <si>
    <t xml:space="preserve">     2024.évi nem közművel összegyűjtött szennyvíz műk-i.tám. (DRV Zrt.) (különbözet elvonás)</t>
  </si>
  <si>
    <t xml:space="preserve">    Megbízási díj (MFP:projektmenedzser, műszaki ell.)</t>
  </si>
  <si>
    <t>Módosított előirányzat 2025.10.havi</t>
  </si>
  <si>
    <t>Kötelező (módosított 2025.10.havi)</t>
  </si>
  <si>
    <t>Önkormányzat összesen (módosított 2025.10.havi)</t>
  </si>
  <si>
    <t>Önként vállalt (módosított 2025.10.havi)</t>
  </si>
  <si>
    <t>mód.ei.          2025.10.hó</t>
  </si>
  <si>
    <t>011130 Önk. és önk.-i hivatalok jogalkotói és ált. igazgatási tevékenysége;                             062020 Településfejlesztési projektek és támogatásuk</t>
  </si>
  <si>
    <t xml:space="preserve">     Szakmai tev.segítő szolg. (átcsop.K122-re)</t>
  </si>
  <si>
    <t>041233 Közfoglalkoztatás</t>
  </si>
  <si>
    <t xml:space="preserve">    Cafeteria (10/2025.(I.29.); 86/2025.(XI.25.))</t>
  </si>
  <si>
    <t xml:space="preserve">    Polgármesteri cafetria (84/2025.(XI.25.))</t>
  </si>
  <si>
    <t>ei.vált.</t>
  </si>
  <si>
    <t xml:space="preserve">     Szociális étkeztetés (kerekítés)</t>
  </si>
  <si>
    <t xml:space="preserve">     Falugondnoki vagy tanyagondnoki szolgáltatás</t>
  </si>
  <si>
    <t xml:space="preserve">     Közfoglalkoztatás támogatása</t>
  </si>
  <si>
    <t>központi intézkedés, előleg lehívás</t>
  </si>
  <si>
    <t>B3431</t>
  </si>
  <si>
    <t xml:space="preserve">     Építményadó</t>
  </si>
  <si>
    <t>B3434</t>
  </si>
  <si>
    <t xml:space="preserve">     Telekadó</t>
  </si>
  <si>
    <t xml:space="preserve">     Idegenforgalmi adó</t>
  </si>
  <si>
    <t xml:space="preserve">     Bérleti díjbevételek (sírhelymegváltások)</t>
  </si>
  <si>
    <t>K48</t>
  </si>
  <si>
    <t xml:space="preserve">     Ellátottak pénzbeli juttatásai</t>
  </si>
  <si>
    <t>települési támogatás kifizetése</t>
  </si>
  <si>
    <t xml:space="preserve">     Alkalmazottak illetménye </t>
  </si>
  <si>
    <t xml:space="preserve">     Béren kívüli juttatás: SZÉP kártya</t>
  </si>
  <si>
    <t xml:space="preserve">     Egyéb személyi juttatás: betegszabadság (átcsop.K1101-re)</t>
  </si>
  <si>
    <t xml:space="preserve">     Reprezentációs kiadások</t>
  </si>
  <si>
    <t xml:space="preserve">     Egyéb juttatás nem saját dolgozónak</t>
  </si>
  <si>
    <t xml:space="preserve">     Karbantartás, kisjavítás: falubusz</t>
  </si>
  <si>
    <t>állagmegóvás</t>
  </si>
  <si>
    <t xml:space="preserve">     Rendezvények, biztosítási díj</t>
  </si>
  <si>
    <t>K342</t>
  </si>
  <si>
    <t>az 1/2026.(II.26.) önkormányzati rendelethez</t>
  </si>
  <si>
    <t xml:space="preserve">     Polgármesteri cafeteria (84/2025.(XI.25.))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</si>
</sst>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3" formatCode="_-* #,##0.00_-;\-* #,##0.00_-;_-* &quot;-&quot;??_-;_-@_-"/>
    <numFmt numFmtId="164" formatCode="_-* #,##0.00\ _F_t_-;\-* #,##0.00\ _F_t_-;_-* &quot;-&quot;??\ _F_t_-;_-@_-"/>
    <numFmt numFmtId="165" formatCode="_-* #,##0_-;\-* #,##0_-;_-* &quot;-&quot;??_-;_-@_-"/>
  </numFmts>
  <fonts count="6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i/>
      <sz val="9"/>
      <name val="Arial CE"/>
      <family val="2"/>
      <charset val="238"/>
    </font>
    <font>
      <b/>
      <sz val="7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b/>
      <i/>
      <sz val="10"/>
      <name val="Arial CE"/>
      <charset val="238"/>
    </font>
    <font>
      <i/>
      <sz val="7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  <font>
      <i/>
      <sz val="8"/>
      <name val="Arial CE"/>
      <charset val="238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FBFBF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12" fillId="0" borderId="0" applyFont="0" applyFill="0" applyBorder="0" applyAlignment="0" applyProtection="0"/>
    <xf numFmtId="0" fontId="12" fillId="0" borderId="0"/>
    <xf numFmtId="0" fontId="49" fillId="0" borderId="0"/>
    <xf numFmtId="0" fontId="42" fillId="0" borderId="0"/>
    <xf numFmtId="0" fontId="7" fillId="0" borderId="0"/>
    <xf numFmtId="0" fontId="12" fillId="0" borderId="0"/>
    <xf numFmtId="43" fontId="2" fillId="0" borderId="0" applyFont="0" applyFill="0" applyBorder="0" applyAlignment="0" applyProtection="0"/>
    <xf numFmtId="0" fontId="1" fillId="0" borderId="0"/>
  </cellStyleXfs>
  <cellXfs count="619">
    <xf numFmtId="0" fontId="0" fillId="0" borderId="0" xfId="0"/>
    <xf numFmtId="0" fontId="3" fillId="2" borderId="0" xfId="0" applyFont="1" applyFill="1"/>
    <xf numFmtId="0" fontId="3" fillId="0" borderId="0" xfId="0" applyFont="1"/>
    <xf numFmtId="0" fontId="0" fillId="2" borderId="0" xfId="0" applyFill="1"/>
    <xf numFmtId="0" fontId="11" fillId="0" borderId="0" xfId="0" applyFont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3" fillId="0" borderId="0" xfId="0" applyNumberFormat="1" applyFont="1"/>
    <xf numFmtId="0" fontId="3" fillId="0" borderId="1" xfId="0" applyFont="1" applyBorder="1"/>
    <xf numFmtId="0" fontId="13" fillId="0" borderId="0" xfId="0" applyFont="1"/>
    <xf numFmtId="3" fontId="3" fillId="0" borderId="1" xfId="0" applyNumberFormat="1" applyFont="1" applyBorder="1"/>
    <xf numFmtId="0" fontId="3" fillId="0" borderId="2" xfId="0" applyFont="1" applyBorder="1"/>
    <xf numFmtId="3" fontId="3" fillId="0" borderId="1" xfId="0" applyNumberFormat="1" applyFont="1" applyBorder="1" applyAlignment="1">
      <alignment horizontal="right"/>
    </xf>
    <xf numFmtId="0" fontId="6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left" vertical="center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4" fillId="0" borderId="4" xfId="0" applyFont="1" applyBorder="1" applyAlignment="1">
      <alignment horizontal="left" vertical="center"/>
    </xf>
    <xf numFmtId="0" fontId="17" fillId="0" borderId="0" xfId="0" applyFont="1"/>
    <xf numFmtId="3" fontId="17" fillId="0" borderId="0" xfId="0" applyNumberFormat="1" applyFont="1"/>
    <xf numFmtId="0" fontId="13" fillId="0" borderId="3" xfId="0" applyFont="1" applyBorder="1"/>
    <xf numFmtId="3" fontId="4" fillId="0" borderId="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13" fillId="0" borderId="1" xfId="0" applyNumberFormat="1" applyFont="1" applyBorder="1"/>
    <xf numFmtId="0" fontId="16" fillId="2" borderId="0" xfId="0" applyFont="1" applyFill="1"/>
    <xf numFmtId="3" fontId="21" fillId="0" borderId="1" xfId="0" applyNumberFormat="1" applyFont="1" applyBorder="1"/>
    <xf numFmtId="3" fontId="13" fillId="0" borderId="0" xfId="0" applyNumberFormat="1" applyFont="1"/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/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12" fillId="0" borderId="0" xfId="0" applyFont="1"/>
    <xf numFmtId="0" fontId="10" fillId="4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3" fillId="6" borderId="0" xfId="0" applyFont="1" applyFill="1" applyAlignment="1">
      <alignment horizontal="center"/>
    </xf>
    <xf numFmtId="0" fontId="0" fillId="6" borderId="0" xfId="0" applyFill="1"/>
    <xf numFmtId="0" fontId="3" fillId="0" borderId="0" xfId="0" applyFont="1" applyAlignment="1">
      <alignment horizontal="right"/>
    </xf>
    <xf numFmtId="0" fontId="3" fillId="6" borderId="0" xfId="0" applyFont="1" applyFill="1"/>
    <xf numFmtId="3" fontId="3" fillId="0" borderId="0" xfId="0" applyNumberFormat="1" applyFont="1" applyAlignment="1">
      <alignment horizontal="right"/>
    </xf>
    <xf numFmtId="0" fontId="6" fillId="0" borderId="7" xfId="0" applyFont="1" applyBorder="1"/>
    <xf numFmtId="0" fontId="22" fillId="2" borderId="0" xfId="0" applyFont="1" applyFill="1" applyAlignment="1">
      <alignment horizontal="right"/>
    </xf>
    <xf numFmtId="3" fontId="0" fillId="0" borderId="1" xfId="0" applyNumberFormat="1" applyBorder="1"/>
    <xf numFmtId="3" fontId="0" fillId="2" borderId="1" xfId="0" applyNumberFormat="1" applyFill="1" applyBorder="1"/>
    <xf numFmtId="0" fontId="0" fillId="0" borderId="1" xfId="0" applyBorder="1"/>
    <xf numFmtId="0" fontId="7" fillId="2" borderId="1" xfId="0" applyFont="1" applyFill="1" applyBorder="1"/>
    <xf numFmtId="0" fontId="0" fillId="2" borderId="1" xfId="0" applyFill="1" applyBorder="1"/>
    <xf numFmtId="0" fontId="3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3" fontId="25" fillId="2" borderId="0" xfId="0" applyNumberFormat="1" applyFont="1" applyFill="1" applyAlignment="1">
      <alignment vertical="center"/>
    </xf>
    <xf numFmtId="3" fontId="25" fillId="0" borderId="0" xfId="0" applyNumberFormat="1" applyFont="1" applyAlignment="1">
      <alignment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2" xfId="1" applyNumberFormat="1" applyFont="1" applyFill="1" applyBorder="1" applyAlignment="1">
      <alignment horizontal="right" vertical="center"/>
    </xf>
    <xf numFmtId="3" fontId="25" fillId="0" borderId="8" xfId="0" applyNumberFormat="1" applyFont="1" applyBorder="1" applyAlignment="1">
      <alignment vertical="center"/>
    </xf>
    <xf numFmtId="3" fontId="0" fillId="0" borderId="0" xfId="0" applyNumberFormat="1"/>
    <xf numFmtId="0" fontId="8" fillId="0" borderId="1" xfId="0" applyFont="1" applyBorder="1"/>
    <xf numFmtId="3" fontId="3" fillId="0" borderId="3" xfId="0" applyNumberFormat="1" applyFont="1" applyBorder="1"/>
    <xf numFmtId="0" fontId="14" fillId="6" borderId="0" xfId="0" applyFont="1" applyFill="1" applyAlignment="1">
      <alignment vertical="center"/>
    </xf>
    <xf numFmtId="3" fontId="14" fillId="6" borderId="0" xfId="0" applyNumberFormat="1" applyFont="1" applyFill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3" fontId="14" fillId="6" borderId="0" xfId="0" applyNumberFormat="1" applyFont="1" applyFill="1" applyAlignment="1">
      <alignment horizontal="right" vertical="center"/>
    </xf>
    <xf numFmtId="3" fontId="29" fillId="6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29" fillId="6" borderId="0" xfId="0" applyFont="1" applyFill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22" fillId="6" borderId="0" xfId="0" applyFont="1" applyFill="1" applyAlignment="1">
      <alignment horizontal="right"/>
    </xf>
    <xf numFmtId="0" fontId="7" fillId="2" borderId="0" xfId="0" applyFont="1" applyFill="1"/>
    <xf numFmtId="0" fontId="30" fillId="2" borderId="0" xfId="0" applyFont="1" applyFill="1"/>
    <xf numFmtId="0" fontId="30" fillId="2" borderId="0" xfId="0" applyFont="1" applyFill="1" applyAlignment="1">
      <alignment horizontal="right"/>
    </xf>
    <xf numFmtId="0" fontId="33" fillId="3" borderId="4" xfId="0" applyFont="1" applyFill="1" applyBorder="1" applyAlignment="1">
      <alignment horizontal="center" vertical="center" wrapText="1"/>
    </xf>
    <xf numFmtId="3" fontId="33" fillId="3" borderId="9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/>
    <xf numFmtId="0" fontId="7" fillId="0" borderId="3" xfId="0" applyFont="1" applyBorder="1"/>
    <xf numFmtId="3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9" fillId="0" borderId="4" xfId="0" applyFont="1" applyBorder="1"/>
    <xf numFmtId="3" fontId="9" fillId="0" borderId="9" xfId="0" applyNumberFormat="1" applyFont="1" applyBorder="1"/>
    <xf numFmtId="3" fontId="9" fillId="0" borderId="5" xfId="0" applyNumberFormat="1" applyFont="1" applyBorder="1"/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9" fillId="2" borderId="1" xfId="0" applyFont="1" applyFill="1" applyBorder="1"/>
    <xf numFmtId="3" fontId="30" fillId="0" borderId="0" xfId="0" applyNumberFormat="1" applyFont="1"/>
    <xf numFmtId="0" fontId="30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0" borderId="10" xfId="0" applyFont="1" applyBorder="1"/>
    <xf numFmtId="0" fontId="9" fillId="0" borderId="11" xfId="0" applyFont="1" applyBorder="1"/>
    <xf numFmtId="0" fontId="0" fillId="0" borderId="12" xfId="0" applyBorder="1"/>
    <xf numFmtId="3" fontId="9" fillId="0" borderId="13" xfId="0" applyNumberFormat="1" applyFont="1" applyBorder="1"/>
    <xf numFmtId="0" fontId="9" fillId="0" borderId="12" xfId="0" applyFont="1" applyBorder="1"/>
    <xf numFmtId="3" fontId="9" fillId="0" borderId="1" xfId="0" applyNumberFormat="1" applyFont="1" applyBorder="1"/>
    <xf numFmtId="3" fontId="0" fillId="0" borderId="14" xfId="0" applyNumberFormat="1" applyBorder="1"/>
    <xf numFmtId="0" fontId="9" fillId="0" borderId="15" xfId="0" applyFont="1" applyBorder="1"/>
    <xf numFmtId="3" fontId="9" fillId="2" borderId="16" xfId="0" applyNumberFormat="1" applyFont="1" applyFill="1" applyBorder="1"/>
    <xf numFmtId="3" fontId="9" fillId="2" borderId="17" xfId="0" applyNumberFormat="1" applyFont="1" applyFill="1" applyBorder="1"/>
    <xf numFmtId="0" fontId="9" fillId="2" borderId="0" xfId="0" applyFont="1" applyFill="1"/>
    <xf numFmtId="0" fontId="36" fillId="2" borderId="0" xfId="0" applyFont="1" applyFill="1"/>
    <xf numFmtId="0" fontId="22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right" vertical="center"/>
    </xf>
    <xf numFmtId="0" fontId="6" fillId="5" borderId="1" xfId="0" applyFont="1" applyFill="1" applyBorder="1"/>
    <xf numFmtId="3" fontId="6" fillId="5" borderId="2" xfId="0" applyNumberFormat="1" applyFont="1" applyFill="1" applyBorder="1"/>
    <xf numFmtId="0" fontId="0" fillId="5" borderId="1" xfId="0" applyFill="1" applyBorder="1"/>
    <xf numFmtId="0" fontId="9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/>
    <xf numFmtId="3" fontId="0" fillId="5" borderId="1" xfId="0" applyNumberFormat="1" applyFill="1" applyBorder="1"/>
    <xf numFmtId="0" fontId="0" fillId="0" borderId="12" xfId="0" applyBorder="1" applyAlignment="1">
      <alignment wrapText="1"/>
    </xf>
    <xf numFmtId="3" fontId="24" fillId="0" borderId="4" xfId="0" applyNumberFormat="1" applyFont="1" applyBorder="1" applyAlignment="1">
      <alignment horizontal="left" vertical="center" wrapText="1"/>
    </xf>
    <xf numFmtId="3" fontId="24" fillId="0" borderId="9" xfId="1" applyNumberFormat="1" applyFont="1" applyFill="1" applyBorder="1" applyAlignment="1">
      <alignment horizontal="right" vertical="center"/>
    </xf>
    <xf numFmtId="3" fontId="3" fillId="0" borderId="3" xfId="1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vertical="center"/>
    </xf>
    <xf numFmtId="3" fontId="24" fillId="7" borderId="4" xfId="0" applyNumberFormat="1" applyFont="1" applyFill="1" applyBorder="1" applyAlignment="1">
      <alignment horizontal="left" vertical="center" wrapText="1"/>
    </xf>
    <xf numFmtId="3" fontId="24" fillId="7" borderId="9" xfId="0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/>
    </xf>
    <xf numFmtId="3" fontId="14" fillId="6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3" fontId="27" fillId="0" borderId="1" xfId="0" applyNumberFormat="1" applyFont="1" applyBorder="1" applyAlignment="1">
      <alignment vertical="center"/>
    </xf>
    <xf numFmtId="0" fontId="30" fillId="6" borderId="0" xfId="0" applyFont="1" applyFill="1"/>
    <xf numFmtId="0" fontId="31" fillId="2" borderId="0" xfId="0" applyFont="1" applyFill="1"/>
    <xf numFmtId="0" fontId="35" fillId="3" borderId="2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19" fillId="2" borderId="4" xfId="0" applyFont="1" applyFill="1" applyBorder="1"/>
    <xf numFmtId="0" fontId="19" fillId="2" borderId="9" xfId="0" applyFont="1" applyFill="1" applyBorder="1"/>
    <xf numFmtId="3" fontId="19" fillId="2" borderId="9" xfId="0" applyNumberFormat="1" applyFont="1" applyFill="1" applyBorder="1"/>
    <xf numFmtId="3" fontId="19" fillId="2" borderId="5" xfId="0" applyNumberFormat="1" applyFont="1" applyFill="1" applyBorder="1"/>
    <xf numFmtId="0" fontId="3" fillId="0" borderId="3" xfId="0" applyFont="1" applyBorder="1"/>
    <xf numFmtId="0" fontId="9" fillId="0" borderId="1" xfId="0" applyFont="1" applyBorder="1" applyAlignment="1">
      <alignment horizontal="center" vertical="center" wrapText="1"/>
    </xf>
    <xf numFmtId="0" fontId="7" fillId="7" borderId="3" xfId="0" applyFont="1" applyFill="1" applyBorder="1"/>
    <xf numFmtId="3" fontId="7" fillId="7" borderId="1" xfId="0" applyNumberFormat="1" applyFont="1" applyFill="1" applyBorder="1"/>
    <xf numFmtId="0" fontId="0" fillId="7" borderId="1" xfId="0" applyFill="1" applyBorder="1"/>
    <xf numFmtId="3" fontId="9" fillId="7" borderId="9" xfId="0" applyNumberFormat="1" applyFont="1" applyFill="1" applyBorder="1"/>
    <xf numFmtId="0" fontId="4" fillId="4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6" fillId="0" borderId="20" xfId="0" applyFont="1" applyBorder="1"/>
    <xf numFmtId="0" fontId="3" fillId="0" borderId="20" xfId="0" applyFont="1" applyBorder="1"/>
    <xf numFmtId="0" fontId="3" fillId="0" borderId="20" xfId="0" applyFont="1" applyBorder="1" applyAlignment="1">
      <alignment wrapText="1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/>
    </xf>
    <xf numFmtId="0" fontId="6" fillId="0" borderId="3" xfId="0" applyFont="1" applyBorder="1"/>
    <xf numFmtId="3" fontId="19" fillId="0" borderId="1" xfId="0" applyNumberFormat="1" applyFont="1" applyBorder="1"/>
    <xf numFmtId="0" fontId="3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horizontal="right"/>
    </xf>
    <xf numFmtId="0" fontId="3" fillId="0" borderId="7" xfId="0" applyFont="1" applyBorder="1"/>
    <xf numFmtId="0" fontId="22" fillId="0" borderId="20" xfId="0" applyFont="1" applyBorder="1"/>
    <xf numFmtId="0" fontId="5" fillId="2" borderId="1" xfId="0" applyFont="1" applyFill="1" applyBorder="1"/>
    <xf numFmtId="3" fontId="6" fillId="5" borderId="1" xfId="0" applyNumberFormat="1" applyFont="1" applyFill="1" applyBorder="1"/>
    <xf numFmtId="0" fontId="0" fillId="0" borderId="7" xfId="0" applyBorder="1"/>
    <xf numFmtId="0" fontId="6" fillId="5" borderId="2" xfId="0" applyFont="1" applyFill="1" applyBorder="1"/>
    <xf numFmtId="0" fontId="8" fillId="0" borderId="7" xfId="0" applyFont="1" applyBorder="1"/>
    <xf numFmtId="3" fontId="17" fillId="0" borderId="3" xfId="0" applyNumberFormat="1" applyFont="1" applyBorder="1"/>
    <xf numFmtId="3" fontId="4" fillId="5" borderId="9" xfId="0" applyNumberFormat="1" applyFont="1" applyFill="1" applyBorder="1"/>
    <xf numFmtId="0" fontId="8" fillId="0" borderId="3" xfId="0" applyFont="1" applyBorder="1"/>
    <xf numFmtId="3" fontId="6" fillId="0" borderId="1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/>
    </xf>
    <xf numFmtId="3" fontId="28" fillId="0" borderId="0" xfId="0" applyNumberFormat="1" applyFont="1"/>
    <xf numFmtId="0" fontId="3" fillId="6" borderId="0" xfId="0" applyFont="1" applyFill="1" applyAlignment="1">
      <alignment horizontal="right"/>
    </xf>
    <xf numFmtId="3" fontId="3" fillId="6" borderId="0" xfId="0" applyNumberFormat="1" applyFont="1" applyFill="1" applyAlignment="1">
      <alignment horizontal="right" vertical="center"/>
    </xf>
    <xf numFmtId="3" fontId="25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3" fontId="40" fillId="3" borderId="1" xfId="0" applyNumberFormat="1" applyFont="1" applyFill="1" applyBorder="1" applyAlignment="1">
      <alignment horizontal="center" vertical="center" wrapText="1"/>
    </xf>
    <xf numFmtId="3" fontId="6" fillId="5" borderId="3" xfId="1" applyNumberFormat="1" applyFont="1" applyFill="1" applyBorder="1" applyAlignment="1">
      <alignment horizontal="right" vertical="center"/>
    </xf>
    <xf numFmtId="3" fontId="6" fillId="5" borderId="1" xfId="1" applyNumberFormat="1" applyFont="1" applyFill="1" applyBorder="1" applyAlignment="1">
      <alignment horizontal="right" vertical="center"/>
    </xf>
    <xf numFmtId="3" fontId="3" fillId="5" borderId="2" xfId="1" applyNumberFormat="1" applyFont="1" applyFill="1" applyBorder="1" applyAlignment="1">
      <alignment horizontal="right" vertical="center"/>
    </xf>
    <xf numFmtId="3" fontId="24" fillId="5" borderId="9" xfId="1" applyNumberFormat="1" applyFont="1" applyFill="1" applyBorder="1" applyAlignment="1">
      <alignment horizontal="right" vertical="center"/>
    </xf>
    <xf numFmtId="0" fontId="3" fillId="2" borderId="20" xfId="0" applyFont="1" applyFill="1" applyBorder="1"/>
    <xf numFmtId="0" fontId="3" fillId="0" borderId="2" xfId="0" applyFont="1" applyBorder="1" applyAlignment="1">
      <alignment horizontal="left" vertical="center"/>
    </xf>
    <xf numFmtId="0" fontId="4" fillId="0" borderId="1" xfId="0" applyFont="1" applyBorder="1"/>
    <xf numFmtId="0" fontId="3" fillId="0" borderId="22" xfId="0" applyFont="1" applyBorder="1"/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3" xfId="0" applyFont="1" applyBorder="1"/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/>
    <xf numFmtId="3" fontId="4" fillId="0" borderId="3" xfId="0" applyNumberFormat="1" applyFont="1" applyBorder="1" applyAlignment="1">
      <alignment vertical="center"/>
    </xf>
    <xf numFmtId="3" fontId="4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3" fontId="10" fillId="4" borderId="9" xfId="0" applyNumberFormat="1" applyFont="1" applyFill="1" applyBorder="1" applyAlignment="1">
      <alignment horizontal="right"/>
    </xf>
    <xf numFmtId="0" fontId="16" fillId="6" borderId="0" xfId="0" applyFont="1" applyFill="1"/>
    <xf numFmtId="3" fontId="13" fillId="6" borderId="0" xfId="0" applyNumberFormat="1" applyFont="1" applyFill="1"/>
    <xf numFmtId="3" fontId="3" fillId="6" borderId="0" xfId="0" applyNumberFormat="1" applyFont="1" applyFill="1" applyAlignment="1">
      <alignment horizontal="right"/>
    </xf>
    <xf numFmtId="1" fontId="33" fillId="3" borderId="9" xfId="0" applyNumberFormat="1" applyFont="1" applyFill="1" applyBorder="1" applyAlignment="1">
      <alignment horizontal="center" vertical="center" wrapText="1"/>
    </xf>
    <xf numFmtId="1" fontId="33" fillId="3" borderId="5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/>
    </xf>
    <xf numFmtId="3" fontId="6" fillId="0" borderId="3" xfId="0" applyNumberFormat="1" applyFont="1" applyBorder="1"/>
    <xf numFmtId="0" fontId="10" fillId="5" borderId="4" xfId="0" applyFont="1" applyFill="1" applyBorder="1" applyAlignment="1">
      <alignment horizontal="left"/>
    </xf>
    <xf numFmtId="0" fontId="4" fillId="5" borderId="25" xfId="0" applyFont="1" applyFill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0" fontId="4" fillId="5" borderId="26" xfId="0" applyFont="1" applyFill="1" applyBorder="1" applyAlignment="1">
      <alignment horizontal="center" vertical="center" wrapText="1"/>
    </xf>
    <xf numFmtId="3" fontId="5" fillId="0" borderId="9" xfId="0" applyNumberFormat="1" applyFont="1" applyBorder="1"/>
    <xf numFmtId="3" fontId="4" fillId="0" borderId="9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3" fontId="4" fillId="0" borderId="19" xfId="0" applyNumberFormat="1" applyFont="1" applyBorder="1" applyAlignment="1">
      <alignment vertical="center"/>
    </xf>
    <xf numFmtId="3" fontId="6" fillId="0" borderId="20" xfId="0" applyNumberFormat="1" applyFont="1" applyBorder="1"/>
    <xf numFmtId="3" fontId="3" fillId="0" borderId="20" xfId="0" applyNumberFormat="1" applyFont="1" applyBorder="1"/>
    <xf numFmtId="3" fontId="5" fillId="0" borderId="20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3" fillId="0" borderId="29" xfId="0" applyNumberFormat="1" applyFont="1" applyBorder="1"/>
    <xf numFmtId="3" fontId="3" fillId="0" borderId="30" xfId="0" applyNumberFormat="1" applyFont="1" applyBorder="1"/>
    <xf numFmtId="3" fontId="3" fillId="0" borderId="20" xfId="0" applyNumberFormat="1" applyFont="1" applyBorder="1" applyAlignment="1">
      <alignment horizontal="right" vertical="center" wrapText="1"/>
    </xf>
    <xf numFmtId="3" fontId="10" fillId="4" borderId="27" xfId="0" applyNumberFormat="1" applyFont="1" applyFill="1" applyBorder="1" applyAlignment="1">
      <alignment horizontal="right"/>
    </xf>
    <xf numFmtId="3" fontId="5" fillId="0" borderId="20" xfId="0" applyNumberFormat="1" applyFont="1" applyBorder="1"/>
    <xf numFmtId="0" fontId="3" fillId="0" borderId="20" xfId="0" applyFont="1" applyBorder="1" applyAlignment="1">
      <alignment horizontal="right"/>
    </xf>
    <xf numFmtId="0" fontId="6" fillId="0" borderId="23" xfId="0" applyFont="1" applyBorder="1"/>
    <xf numFmtId="3" fontId="6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6" fillId="0" borderId="22" xfId="0" applyFont="1" applyBorder="1"/>
    <xf numFmtId="0" fontId="3" fillId="4" borderId="4" xfId="0" applyFont="1" applyFill="1" applyBorder="1"/>
    <xf numFmtId="0" fontId="10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3" fontId="38" fillId="0" borderId="1" xfId="0" applyNumberFormat="1" applyFont="1" applyBorder="1" applyAlignment="1">
      <alignment vertical="center"/>
    </xf>
    <xf numFmtId="0" fontId="10" fillId="4" borderId="9" xfId="0" applyFont="1" applyFill="1" applyBorder="1" applyAlignment="1">
      <alignment horizontal="center" wrapText="1"/>
    </xf>
    <xf numFmtId="3" fontId="4" fillId="0" borderId="8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0" fontId="3" fillId="0" borderId="31" xfId="0" applyFont="1" applyBorder="1"/>
    <xf numFmtId="3" fontId="19" fillId="0" borderId="3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vertical="center"/>
    </xf>
    <xf numFmtId="3" fontId="10" fillId="4" borderId="9" xfId="0" applyNumberFormat="1" applyFont="1" applyFill="1" applyBorder="1" applyAlignment="1">
      <alignment vertical="center"/>
    </xf>
    <xf numFmtId="0" fontId="6" fillId="0" borderId="10" xfId="0" applyFont="1" applyBorder="1"/>
    <xf numFmtId="3" fontId="4" fillId="0" borderId="11" xfId="0" applyNumberFormat="1" applyFont="1" applyBorder="1" applyAlignment="1">
      <alignment vertical="center"/>
    </xf>
    <xf numFmtId="0" fontId="6" fillId="0" borderId="12" xfId="0" applyFont="1" applyBorder="1"/>
    <xf numFmtId="3" fontId="5" fillId="0" borderId="13" xfId="0" applyNumberFormat="1" applyFont="1" applyBorder="1"/>
    <xf numFmtId="0" fontId="3" fillId="0" borderId="12" xfId="0" applyFont="1" applyBorder="1"/>
    <xf numFmtId="3" fontId="3" fillId="0" borderId="13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32" xfId="0" applyFont="1" applyBorder="1"/>
    <xf numFmtId="0" fontId="37" fillId="0" borderId="0" xfId="0" applyFont="1"/>
    <xf numFmtId="0" fontId="29" fillId="0" borderId="0" xfId="0" applyFont="1"/>
    <xf numFmtId="3" fontId="4" fillId="0" borderId="11" xfId="0" applyNumberFormat="1" applyFont="1" applyBorder="1"/>
    <xf numFmtId="3" fontId="29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3" fontId="22" fillId="0" borderId="2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17" fillId="0" borderId="1" xfId="0" applyNumberFormat="1" applyFont="1" applyBorder="1"/>
    <xf numFmtId="0" fontId="3" fillId="0" borderId="2" xfId="0" applyFont="1" applyBorder="1" applyAlignment="1">
      <alignment horizontal="left" wrapText="1"/>
    </xf>
    <xf numFmtId="3" fontId="3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2" borderId="20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43" fillId="6" borderId="0" xfId="0" applyFont="1" applyFill="1"/>
    <xf numFmtId="0" fontId="42" fillId="6" borderId="0" xfId="0" applyFont="1" applyFill="1" applyAlignment="1">
      <alignment horizontal="right"/>
    </xf>
    <xf numFmtId="0" fontId="45" fillId="7" borderId="35" xfId="0" applyFont="1" applyFill="1" applyBorder="1" applyAlignment="1">
      <alignment horizontal="center" vertical="center" wrapText="1"/>
    </xf>
    <xf numFmtId="0" fontId="45" fillId="7" borderId="36" xfId="0" applyFont="1" applyFill="1" applyBorder="1" applyAlignment="1">
      <alignment horizontal="center" vertical="center" wrapText="1"/>
    </xf>
    <xf numFmtId="0" fontId="45" fillId="7" borderId="37" xfId="0" applyFont="1" applyFill="1" applyBorder="1" applyAlignment="1">
      <alignment horizontal="center" vertical="center" wrapText="1"/>
    </xf>
    <xf numFmtId="0" fontId="45" fillId="7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3" fillId="7" borderId="38" xfId="0" applyFont="1" applyFill="1" applyBorder="1"/>
    <xf numFmtId="3" fontId="43" fillId="0" borderId="39" xfId="0" applyNumberFormat="1" applyFont="1" applyBorder="1"/>
    <xf numFmtId="3" fontId="43" fillId="7" borderId="39" xfId="0" applyNumberFormat="1" applyFont="1" applyFill="1" applyBorder="1"/>
    <xf numFmtId="3" fontId="44" fillId="0" borderId="40" xfId="0" applyNumberFormat="1" applyFont="1" applyBorder="1"/>
    <xf numFmtId="3" fontId="0" fillId="7" borderId="40" xfId="0" applyNumberFormat="1" applyFill="1" applyBorder="1"/>
    <xf numFmtId="0" fontId="43" fillId="7" borderId="41" xfId="0" applyFont="1" applyFill="1" applyBorder="1"/>
    <xf numFmtId="3" fontId="44" fillId="0" borderId="42" xfId="0" applyNumberFormat="1" applyFont="1" applyBorder="1"/>
    <xf numFmtId="3" fontId="0" fillId="7" borderId="42" xfId="0" applyNumberFormat="1" applyFill="1" applyBorder="1"/>
    <xf numFmtId="0" fontId="47" fillId="0" borderId="0" xfId="0" applyFont="1"/>
    <xf numFmtId="3" fontId="43" fillId="7" borderId="42" xfId="0" applyNumberFormat="1" applyFont="1" applyFill="1" applyBorder="1"/>
    <xf numFmtId="0" fontId="43" fillId="7" borderId="7" xfId="0" applyFont="1" applyFill="1" applyBorder="1"/>
    <xf numFmtId="3" fontId="0" fillId="0" borderId="42" xfId="0" applyNumberFormat="1" applyBorder="1"/>
    <xf numFmtId="3" fontId="42" fillId="0" borderId="20" xfId="0" applyNumberFormat="1" applyFont="1" applyBorder="1"/>
    <xf numFmtId="3" fontId="42" fillId="0" borderId="1" xfId="0" applyNumberFormat="1" applyFont="1" applyBorder="1"/>
    <xf numFmtId="3" fontId="0" fillId="0" borderId="7" xfId="0" applyNumberFormat="1" applyBorder="1"/>
    <xf numFmtId="3" fontId="43" fillId="0" borderId="42" xfId="0" applyNumberFormat="1" applyFont="1" applyBorder="1"/>
    <xf numFmtId="0" fontId="43" fillId="7" borderId="42" xfId="0" applyFont="1" applyFill="1" applyBorder="1"/>
    <xf numFmtId="3" fontId="0" fillId="0" borderId="20" xfId="0" applyNumberFormat="1" applyBorder="1"/>
    <xf numFmtId="0" fontId="43" fillId="7" borderId="43" xfId="0" applyFont="1" applyFill="1" applyBorder="1"/>
    <xf numFmtId="3" fontId="43" fillId="7" borderId="44" xfId="0" applyNumberFormat="1" applyFont="1" applyFill="1" applyBorder="1"/>
    <xf numFmtId="3" fontId="43" fillId="7" borderId="35" xfId="0" applyNumberFormat="1" applyFont="1" applyFill="1" applyBorder="1"/>
    <xf numFmtId="3" fontId="43" fillId="7" borderId="36" xfId="0" applyNumberFormat="1" applyFont="1" applyFill="1" applyBorder="1"/>
    <xf numFmtId="3" fontId="43" fillId="7" borderId="34" xfId="0" applyNumberFormat="1" applyFont="1" applyFill="1" applyBorder="1"/>
    <xf numFmtId="0" fontId="43" fillId="7" borderId="44" xfId="0" applyFont="1" applyFill="1" applyBorder="1"/>
    <xf numFmtId="3" fontId="43" fillId="7" borderId="37" xfId="0" applyNumberFormat="1" applyFont="1" applyFill="1" applyBorder="1"/>
    <xf numFmtId="3" fontId="46" fillId="7" borderId="44" xfId="0" applyNumberFormat="1" applyFont="1" applyFill="1" applyBorder="1"/>
    <xf numFmtId="3" fontId="43" fillId="7" borderId="45" xfId="0" applyNumberFormat="1" applyFont="1" applyFill="1" applyBorder="1"/>
    <xf numFmtId="1" fontId="0" fillId="0" borderId="0" xfId="0" applyNumberFormat="1"/>
    <xf numFmtId="0" fontId="43" fillId="0" borderId="0" xfId="0" applyFont="1"/>
    <xf numFmtId="0" fontId="22" fillId="0" borderId="1" xfId="0" applyFont="1" applyBorder="1"/>
    <xf numFmtId="0" fontId="48" fillId="0" borderId="1" xfId="0" applyFont="1" applyBorder="1"/>
    <xf numFmtId="0" fontId="3" fillId="6" borderId="0" xfId="0" applyFont="1" applyFill="1" applyAlignment="1">
      <alignment horizontal="right" vertical="center"/>
    </xf>
    <xf numFmtId="3" fontId="46" fillId="0" borderId="0" xfId="0" applyNumberFormat="1" applyFont="1" applyAlignment="1">
      <alignment horizontal="center" vertical="center" wrapText="1"/>
    </xf>
    <xf numFmtId="3" fontId="0" fillId="0" borderId="39" xfId="0" applyNumberFormat="1" applyBorder="1"/>
    <xf numFmtId="3" fontId="42" fillId="0" borderId="3" xfId="0" applyNumberFormat="1" applyFont="1" applyBorder="1"/>
    <xf numFmtId="3" fontId="0" fillId="0" borderId="3" xfId="0" applyNumberFormat="1" applyBorder="1"/>
    <xf numFmtId="3" fontId="0" fillId="0" borderId="46" xfId="0" applyNumberFormat="1" applyBorder="1"/>
    <xf numFmtId="0" fontId="43" fillId="0" borderId="40" xfId="0" applyFont="1" applyBorder="1"/>
    <xf numFmtId="3" fontId="0" fillId="0" borderId="19" xfId="0" applyNumberFormat="1" applyBorder="1"/>
    <xf numFmtId="3" fontId="0" fillId="0" borderId="23" xfId="0" applyNumberFormat="1" applyBorder="1"/>
    <xf numFmtId="3" fontId="44" fillId="0" borderId="0" xfId="0" applyNumberFormat="1" applyFont="1"/>
    <xf numFmtId="0" fontId="43" fillId="0" borderId="42" xfId="0" applyFont="1" applyBorder="1"/>
    <xf numFmtId="6" fontId="0" fillId="0" borderId="0" xfId="0" applyNumberFormat="1"/>
    <xf numFmtId="3" fontId="43" fillId="0" borderId="0" xfId="0" applyNumberFormat="1" applyFont="1"/>
    <xf numFmtId="3" fontId="46" fillId="0" borderId="0" xfId="0" applyNumberFormat="1" applyFont="1"/>
    <xf numFmtId="3" fontId="42" fillId="0" borderId="11" xfId="0" applyNumberFormat="1" applyFont="1" applyBorder="1"/>
    <xf numFmtId="3" fontId="43" fillId="7" borderId="48" xfId="0" applyNumberFormat="1" applyFont="1" applyFill="1" applyBorder="1"/>
    <xf numFmtId="0" fontId="37" fillId="5" borderId="1" xfId="0" applyFont="1" applyFill="1" applyBorder="1"/>
    <xf numFmtId="0" fontId="0" fillId="0" borderId="1" xfId="0" applyBorder="1" applyAlignment="1">
      <alignment wrapText="1"/>
    </xf>
    <xf numFmtId="0" fontId="22" fillId="0" borderId="20" xfId="0" applyFont="1" applyBorder="1" applyAlignment="1">
      <alignment wrapText="1"/>
    </xf>
    <xf numFmtId="3" fontId="3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3" fillId="9" borderId="0" xfId="0" applyNumberFormat="1" applyFont="1" applyFill="1"/>
    <xf numFmtId="3" fontId="44" fillId="0" borderId="11" xfId="0" applyNumberFormat="1" applyFont="1" applyBorder="1"/>
    <xf numFmtId="3" fontId="44" fillId="0" borderId="13" xfId="0" applyNumberFormat="1" applyFont="1" applyBorder="1"/>
    <xf numFmtId="3" fontId="46" fillId="7" borderId="48" xfId="0" applyNumberFormat="1" applyFont="1" applyFill="1" applyBorder="1"/>
    <xf numFmtId="0" fontId="3" fillId="2" borderId="20" xfId="0" applyFont="1" applyFill="1" applyBorder="1" applyAlignment="1">
      <alignment vertical="center"/>
    </xf>
    <xf numFmtId="0" fontId="3" fillId="8" borderId="0" xfId="0" applyFont="1" applyFill="1"/>
    <xf numFmtId="3" fontId="3" fillId="2" borderId="0" xfId="0" applyNumberFormat="1" applyFont="1" applyFill="1" applyAlignment="1">
      <alignment horizontal="right" vertical="center"/>
    </xf>
    <xf numFmtId="0" fontId="10" fillId="6" borderId="0" xfId="0" applyFont="1" applyFill="1"/>
    <xf numFmtId="0" fontId="0" fillId="0" borderId="3" xfId="0" applyBorder="1"/>
    <xf numFmtId="0" fontId="42" fillId="0" borderId="0" xfId="0" applyFont="1"/>
    <xf numFmtId="3" fontId="3" fillId="10" borderId="1" xfId="0" applyNumberFormat="1" applyFont="1" applyFill="1" applyBorder="1" applyAlignment="1">
      <alignment horizontal="right"/>
    </xf>
    <xf numFmtId="3" fontId="3" fillId="8" borderId="3" xfId="0" applyNumberFormat="1" applyFont="1" applyFill="1" applyBorder="1"/>
    <xf numFmtId="0" fontId="50" fillId="0" borderId="0" xfId="0" applyFont="1"/>
    <xf numFmtId="0" fontId="51" fillId="0" borderId="7" xfId="0" applyFont="1" applyBorder="1"/>
    <xf numFmtId="0" fontId="14" fillId="5" borderId="1" xfId="0" applyFont="1" applyFill="1" applyBorder="1"/>
    <xf numFmtId="3" fontId="14" fillId="5" borderId="1" xfId="0" applyNumberFormat="1" applyFont="1" applyFill="1" applyBorder="1"/>
    <xf numFmtId="3" fontId="52" fillId="0" borderId="0" xfId="0" applyNumberFormat="1" applyFont="1"/>
    <xf numFmtId="165" fontId="0" fillId="0" borderId="0" xfId="7" applyNumberFormat="1" applyFont="1"/>
    <xf numFmtId="0" fontId="1" fillId="6" borderId="0" xfId="8" applyFill="1" applyAlignment="1">
      <alignment horizontal="right"/>
    </xf>
    <xf numFmtId="0" fontId="1" fillId="6" borderId="0" xfId="8" applyFill="1"/>
    <xf numFmtId="0" fontId="1" fillId="0" borderId="0" xfId="8"/>
    <xf numFmtId="3" fontId="3" fillId="6" borderId="0" xfId="8" applyNumberFormat="1" applyFont="1" applyFill="1" applyAlignment="1">
      <alignment horizontal="right"/>
    </xf>
    <xf numFmtId="0" fontId="3" fillId="11" borderId="0" xfId="8" applyFont="1" applyFill="1"/>
    <xf numFmtId="0" fontId="3" fillId="6" borderId="0" xfId="8" applyFont="1" applyFill="1" applyAlignment="1">
      <alignment horizontal="right"/>
    </xf>
    <xf numFmtId="0" fontId="3" fillId="6" borderId="0" xfId="8" applyFont="1" applyFill="1"/>
    <xf numFmtId="0" fontId="1" fillId="12" borderId="1" xfId="8" applyFill="1" applyBorder="1" applyAlignment="1">
      <alignment horizontal="right"/>
    </xf>
    <xf numFmtId="0" fontId="6" fillId="12" borderId="1" xfId="8" applyFont="1" applyFill="1" applyBorder="1" applyAlignment="1">
      <alignment horizontal="center" vertical="center" wrapText="1"/>
    </xf>
    <xf numFmtId="0" fontId="55" fillId="0" borderId="1" xfId="8" applyFont="1" applyBorder="1" applyAlignment="1">
      <alignment horizontal="right"/>
    </xf>
    <xf numFmtId="0" fontId="6" fillId="0" borderId="1" xfId="8" applyFont="1" applyBorder="1" applyAlignment="1">
      <alignment horizontal="center" vertical="center" wrapText="1"/>
    </xf>
    <xf numFmtId="3" fontId="6" fillId="0" borderId="1" xfId="8" applyNumberFormat="1" applyFont="1" applyBorder="1" applyAlignment="1">
      <alignment vertical="center" wrapText="1"/>
    </xf>
    <xf numFmtId="0" fontId="6" fillId="0" borderId="1" xfId="8" applyFont="1" applyBorder="1" applyAlignment="1">
      <alignment horizontal="left" vertical="center"/>
    </xf>
    <xf numFmtId="3" fontId="6" fillId="0" borderId="1" xfId="8" applyNumberFormat="1" applyFont="1" applyBorder="1" applyAlignment="1">
      <alignment vertical="center"/>
    </xf>
    <xf numFmtId="0" fontId="3" fillId="0" borderId="1" xfId="8" applyFont="1" applyBorder="1" applyAlignment="1">
      <alignment horizontal="left" vertical="center" indent="1"/>
    </xf>
    <xf numFmtId="3" fontId="3" fillId="0" borderId="1" xfId="8" applyNumberFormat="1" applyFont="1" applyBorder="1" applyAlignment="1">
      <alignment vertical="center"/>
    </xf>
    <xf numFmtId="49" fontId="55" fillId="0" borderId="1" xfId="8" applyNumberFormat="1" applyFont="1" applyBorder="1" applyAlignment="1">
      <alignment horizontal="right"/>
    </xf>
    <xf numFmtId="0" fontId="3" fillId="0" borderId="1" xfId="8" applyFont="1" applyBorder="1" applyAlignment="1">
      <alignment horizontal="left" vertical="center" wrapText="1" indent="1"/>
    </xf>
    <xf numFmtId="3" fontId="3" fillId="0" borderId="1" xfId="8" applyNumberFormat="1" applyFont="1" applyBorder="1" applyAlignment="1">
      <alignment vertical="center" wrapText="1"/>
    </xf>
    <xf numFmtId="0" fontId="3" fillId="0" borderId="1" xfId="8" applyFont="1" applyBorder="1" applyAlignment="1">
      <alignment vertical="center"/>
    </xf>
    <xf numFmtId="0" fontId="6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left" indent="2"/>
    </xf>
    <xf numFmtId="3" fontId="3" fillId="0" borderId="1" xfId="8" applyNumberFormat="1" applyFont="1" applyBorder="1"/>
    <xf numFmtId="0" fontId="3" fillId="0" borderId="1" xfId="8" applyFont="1" applyBorder="1" applyAlignment="1">
      <alignment horizontal="left" vertical="center" indent="3"/>
    </xf>
    <xf numFmtId="0" fontId="3" fillId="0" borderId="1" xfId="8" applyFont="1" applyBorder="1" applyAlignment="1">
      <alignment horizontal="left" vertical="center"/>
    </xf>
    <xf numFmtId="0" fontId="6" fillId="0" borderId="1" xfId="8" applyFont="1" applyBorder="1" applyAlignment="1">
      <alignment vertical="center"/>
    </xf>
    <xf numFmtId="3" fontId="3" fillId="0" borderId="1" xfId="8" applyNumberFormat="1" applyFont="1" applyBorder="1" applyAlignment="1">
      <alignment horizontal="center" vertical="center"/>
    </xf>
    <xf numFmtId="3" fontId="3" fillId="0" borderId="3" xfId="8" applyNumberFormat="1" applyFont="1" applyBorder="1" applyAlignment="1">
      <alignment horizontal="right" vertical="center"/>
    </xf>
    <xf numFmtId="0" fontId="1" fillId="0" borderId="0" xfId="8" applyAlignment="1">
      <alignment horizontal="right"/>
    </xf>
    <xf numFmtId="3" fontId="3" fillId="13" borderId="0" xfId="0" applyNumberFormat="1" applyFont="1" applyFill="1"/>
    <xf numFmtId="3" fontId="13" fillId="13" borderId="0" xfId="0" applyNumberFormat="1" applyFont="1" applyFill="1"/>
    <xf numFmtId="0" fontId="45" fillId="7" borderId="30" xfId="0" applyFont="1" applyFill="1" applyBorder="1" applyAlignment="1">
      <alignment horizontal="center" vertical="center" wrapText="1"/>
    </xf>
    <xf numFmtId="0" fontId="45" fillId="7" borderId="34" xfId="0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42" fillId="0" borderId="0" xfId="0" applyNumberFormat="1" applyFont="1"/>
    <xf numFmtId="0" fontId="54" fillId="11" borderId="0" xfId="8" applyFont="1" applyFill="1" applyAlignment="1">
      <alignment horizontal="center" wrapText="1"/>
    </xf>
    <xf numFmtId="0" fontId="54" fillId="11" borderId="0" xfId="8" applyFont="1" applyFill="1" applyAlignment="1">
      <alignment horizontal="center"/>
    </xf>
    <xf numFmtId="0" fontId="6" fillId="0" borderId="1" xfId="8" applyFont="1" applyBorder="1" applyAlignment="1">
      <alignment horizontal="right"/>
    </xf>
    <xf numFmtId="0" fontId="14" fillId="0" borderId="1" xfId="8" applyFont="1" applyBorder="1" applyAlignment="1">
      <alignment horizontal="left" vertical="center" indent="1"/>
    </xf>
    <xf numFmtId="3" fontId="14" fillId="0" borderId="1" xfId="8" applyNumberFormat="1" applyFont="1" applyBorder="1" applyAlignment="1">
      <alignment vertical="center"/>
    </xf>
    <xf numFmtId="3" fontId="43" fillId="5" borderId="44" xfId="0" applyNumberFormat="1" applyFont="1" applyFill="1" applyBorder="1"/>
    <xf numFmtId="3" fontId="3" fillId="8" borderId="1" xfId="0" applyNumberFormat="1" applyFont="1" applyFill="1" applyBorder="1" applyAlignment="1">
      <alignment horizontal="right"/>
    </xf>
    <xf numFmtId="0" fontId="53" fillId="8" borderId="0" xfId="0" applyFont="1" applyFill="1"/>
    <xf numFmtId="0" fontId="0" fillId="0" borderId="1" xfId="0" applyBorder="1" applyAlignment="1">
      <alignment vertical="center"/>
    </xf>
    <xf numFmtId="3" fontId="2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15" fillId="0" borderId="9" xfId="0" applyNumberFormat="1" applyFont="1" applyBorder="1"/>
    <xf numFmtId="3" fontId="18" fillId="0" borderId="3" xfId="0" applyNumberFormat="1" applyFont="1" applyBorder="1" applyAlignment="1">
      <alignment horizontal="right"/>
    </xf>
    <xf numFmtId="3" fontId="17" fillId="0" borderId="2" xfId="0" applyNumberFormat="1" applyFont="1" applyBorder="1" applyAlignment="1">
      <alignment horizontal="right" vertical="center"/>
    </xf>
    <xf numFmtId="3" fontId="17" fillId="0" borderId="8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/>
    </xf>
    <xf numFmtId="0" fontId="17" fillId="2" borderId="0" xfId="0" applyFont="1" applyFill="1"/>
    <xf numFmtId="0" fontId="56" fillId="5" borderId="1" xfId="0" applyFont="1" applyFill="1" applyBorder="1"/>
    <xf numFmtId="0" fontId="13" fillId="0" borderId="1" xfId="0" applyFont="1" applyBorder="1"/>
    <xf numFmtId="0" fontId="15" fillId="4" borderId="9" xfId="0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vertical="center"/>
    </xf>
    <xf numFmtId="3" fontId="18" fillId="0" borderId="1" xfId="0" applyNumberFormat="1" applyFont="1" applyBorder="1"/>
    <xf numFmtId="3" fontId="15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/>
    <xf numFmtId="3" fontId="15" fillId="0" borderId="2" xfId="0" applyNumberFormat="1" applyFont="1" applyBorder="1" applyAlignment="1">
      <alignment horizontal="right"/>
    </xf>
    <xf numFmtId="3" fontId="15" fillId="0" borderId="1" xfId="0" applyNumberFormat="1" applyFont="1" applyBorder="1"/>
    <xf numFmtId="3" fontId="15" fillId="0" borderId="1" xfId="0" applyNumberFormat="1" applyFont="1" applyBorder="1" applyAlignment="1">
      <alignment horizontal="right" wrapText="1"/>
    </xf>
    <xf numFmtId="0" fontId="17" fillId="0" borderId="2" xfId="0" applyFont="1" applyBorder="1"/>
    <xf numFmtId="3" fontId="15" fillId="4" borderId="9" xfId="0" applyNumberFormat="1" applyFont="1" applyFill="1" applyBorder="1" applyAlignment="1">
      <alignment vertical="center"/>
    </xf>
    <xf numFmtId="3" fontId="15" fillId="0" borderId="3" xfId="0" applyNumberFormat="1" applyFont="1" applyBorder="1"/>
    <xf numFmtId="3" fontId="17" fillId="0" borderId="21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right"/>
    </xf>
    <xf numFmtId="3" fontId="17" fillId="8" borderId="1" xfId="0" applyNumberFormat="1" applyFont="1" applyFill="1" applyBorder="1" applyAlignment="1">
      <alignment horizontal="right"/>
    </xf>
    <xf numFmtId="3" fontId="17" fillId="0" borderId="1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vertical="center"/>
    </xf>
    <xf numFmtId="3" fontId="15" fillId="0" borderId="3" xfId="0" applyNumberFormat="1" applyFont="1" applyBorder="1" applyAlignment="1">
      <alignment horizontal="right"/>
    </xf>
    <xf numFmtId="0" fontId="1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6" borderId="0" xfId="0" applyFont="1" applyFill="1"/>
    <xf numFmtId="3" fontId="18" fillId="0" borderId="3" xfId="0" applyNumberFormat="1" applyFont="1" applyBorder="1" applyAlignment="1">
      <alignment horizontal="right" vertical="center" wrapText="1"/>
    </xf>
    <xf numFmtId="3" fontId="17" fillId="0" borderId="3" xfId="0" applyNumberFormat="1" applyFont="1" applyBorder="1" applyAlignment="1">
      <alignment horizontal="right" vertical="center" wrapText="1"/>
    </xf>
    <xf numFmtId="3" fontId="18" fillId="5" borderId="1" xfId="0" applyNumberFormat="1" applyFont="1" applyFill="1" applyBorder="1"/>
    <xf numFmtId="3" fontId="17" fillId="10" borderId="1" xfId="0" applyNumberFormat="1" applyFont="1" applyFill="1" applyBorder="1" applyAlignment="1">
      <alignment horizontal="right"/>
    </xf>
    <xf numFmtId="3" fontId="15" fillId="5" borderId="1" xfId="0" applyNumberFormat="1" applyFont="1" applyFill="1" applyBorder="1"/>
    <xf numFmtId="3" fontId="18" fillId="5" borderId="2" xfId="0" applyNumberFormat="1" applyFont="1" applyFill="1" applyBorder="1"/>
    <xf numFmtId="3" fontId="15" fillId="5" borderId="9" xfId="0" applyNumberFormat="1" applyFont="1" applyFill="1" applyBorder="1"/>
    <xf numFmtId="3" fontId="17" fillId="8" borderId="3" xfId="0" applyNumberFormat="1" applyFont="1" applyFill="1" applyBorder="1"/>
    <xf numFmtId="3" fontId="18" fillId="0" borderId="3" xfId="0" applyNumberFormat="1" applyFont="1" applyBorder="1"/>
    <xf numFmtId="0" fontId="17" fillId="0" borderId="2" xfId="0" applyFont="1" applyBorder="1" applyAlignment="1">
      <alignment horizontal="right"/>
    </xf>
    <xf numFmtId="0" fontId="29" fillId="4" borderId="9" xfId="0" applyFont="1" applyFill="1" applyBorder="1" applyAlignment="1">
      <alignment horizontal="center" vertical="center" wrapText="1"/>
    </xf>
    <xf numFmtId="3" fontId="29" fillId="0" borderId="3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3" fontId="29" fillId="0" borderId="1" xfId="0" applyNumberFormat="1" applyFont="1" applyBorder="1" applyAlignment="1">
      <alignment horizontal="right"/>
    </xf>
    <xf numFmtId="3" fontId="14" fillId="0" borderId="1" xfId="0" applyNumberFormat="1" applyFont="1" applyBorder="1"/>
    <xf numFmtId="3" fontId="57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vertical="center" wrapText="1"/>
    </xf>
    <xf numFmtId="3" fontId="29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right" vertical="center" wrapText="1"/>
    </xf>
    <xf numFmtId="3" fontId="29" fillId="0" borderId="1" xfId="0" applyNumberFormat="1" applyFont="1" applyBorder="1" applyAlignment="1">
      <alignment horizontal="right" vertical="center" wrapText="1"/>
    </xf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center"/>
    </xf>
    <xf numFmtId="3" fontId="29" fillId="0" borderId="2" xfId="0" applyNumberFormat="1" applyFont="1" applyBorder="1" applyAlignment="1">
      <alignment horizontal="right"/>
    </xf>
    <xf numFmtId="3" fontId="14" fillId="4" borderId="9" xfId="0" applyNumberFormat="1" applyFont="1" applyFill="1" applyBorder="1" applyAlignment="1">
      <alignment vertical="center"/>
    </xf>
    <xf numFmtId="3" fontId="29" fillId="0" borderId="2" xfId="0" applyNumberFormat="1" applyFont="1" applyBorder="1" applyAlignment="1">
      <alignment horizontal="right" vertical="center"/>
    </xf>
    <xf numFmtId="3" fontId="29" fillId="0" borderId="8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/>
    </xf>
    <xf numFmtId="0" fontId="29" fillId="5" borderId="9" xfId="0" applyFont="1" applyFill="1" applyBorder="1" applyAlignment="1">
      <alignment horizontal="center" vertical="center" wrapText="1"/>
    </xf>
    <xf numFmtId="3" fontId="57" fillId="0" borderId="2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37" fillId="0" borderId="1" xfId="0" applyFont="1" applyBorder="1"/>
    <xf numFmtId="3" fontId="37" fillId="0" borderId="1" xfId="0" applyNumberFormat="1" applyFont="1" applyBorder="1"/>
    <xf numFmtId="0" fontId="29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vertical="center"/>
    </xf>
    <xf numFmtId="3" fontId="29" fillId="0" borderId="3" xfId="1" applyNumberFormat="1" applyFont="1" applyFill="1" applyBorder="1" applyAlignment="1">
      <alignment horizontal="right" vertical="center"/>
    </xf>
    <xf numFmtId="3" fontId="14" fillId="14" borderId="3" xfId="1" applyNumberFormat="1" applyFont="1" applyFill="1" applyBorder="1" applyAlignment="1">
      <alignment horizontal="right" vertical="center"/>
    </xf>
    <xf numFmtId="3" fontId="58" fillId="0" borderId="1" xfId="0" applyNumberFormat="1" applyFont="1" applyBorder="1" applyAlignment="1">
      <alignment vertical="center"/>
    </xf>
    <xf numFmtId="3" fontId="29" fillId="0" borderId="2" xfId="1" applyNumberFormat="1" applyFont="1" applyFill="1" applyBorder="1" applyAlignment="1">
      <alignment horizontal="right" vertical="center"/>
    </xf>
    <xf numFmtId="3" fontId="29" fillId="0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right" vertical="center"/>
    </xf>
    <xf numFmtId="3" fontId="14" fillId="14" borderId="1" xfId="1" applyNumberFormat="1" applyFont="1" applyFill="1" applyBorder="1" applyAlignment="1">
      <alignment horizontal="right" vertical="center"/>
    </xf>
    <xf numFmtId="3" fontId="52" fillId="0" borderId="1" xfId="0" applyNumberFormat="1" applyFont="1" applyBorder="1" applyAlignment="1">
      <alignment vertical="center"/>
    </xf>
    <xf numFmtId="3" fontId="4" fillId="0" borderId="9" xfId="1" applyNumberFormat="1" applyFont="1" applyFill="1" applyBorder="1" applyAlignment="1">
      <alignment horizontal="right" vertical="center"/>
    </xf>
    <xf numFmtId="3" fontId="4" fillId="14" borderId="9" xfId="1" applyNumberFormat="1" applyFont="1" applyFill="1" applyBorder="1" applyAlignment="1">
      <alignment horizontal="right" vertical="center"/>
    </xf>
    <xf numFmtId="0" fontId="25" fillId="0" borderId="4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0" fillId="0" borderId="55" xfId="0" applyNumberFormat="1" applyBorder="1"/>
    <xf numFmtId="0" fontId="23" fillId="6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vertical="center" wrapText="1"/>
    </xf>
    <xf numFmtId="0" fontId="3" fillId="0" borderId="7" xfId="0" applyFont="1" applyBorder="1" applyAlignment="1">
      <alignment horizontal="center" wrapText="1"/>
    </xf>
    <xf numFmtId="0" fontId="2" fillId="0" borderId="0" xfId="0" applyFont="1"/>
    <xf numFmtId="0" fontId="3" fillId="0" borderId="41" xfId="0" applyFont="1" applyBorder="1"/>
    <xf numFmtId="0" fontId="6" fillId="0" borderId="12" xfId="0" applyFont="1" applyBorder="1" applyAlignment="1">
      <alignment wrapText="1"/>
    </xf>
    <xf numFmtId="0" fontId="29" fillId="0" borderId="12" xfId="0" applyFont="1" applyBorder="1"/>
    <xf numFmtId="0" fontId="29" fillId="0" borderId="1" xfId="0" applyFont="1" applyBorder="1" applyAlignment="1">
      <alignment horizontal="left" vertical="center" wrapText="1"/>
    </xf>
    <xf numFmtId="0" fontId="3" fillId="4" borderId="24" xfId="0" applyFont="1" applyFill="1" applyBorder="1"/>
    <xf numFmtId="0" fontId="10" fillId="4" borderId="1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4" fillId="0" borderId="1" xfId="0" applyFont="1" applyBorder="1"/>
    <xf numFmtId="3" fontId="14" fillId="0" borderId="13" xfId="0" applyNumberFormat="1" applyFont="1" applyBorder="1" applyAlignment="1">
      <alignment horizontal="right"/>
    </xf>
    <xf numFmtId="0" fontId="10" fillId="4" borderId="18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horizontal="left" wrapText="1"/>
    </xf>
    <xf numFmtId="0" fontId="59" fillId="4" borderId="9" xfId="0" applyFont="1" applyFill="1" applyBorder="1" applyAlignment="1">
      <alignment horizontal="center" vertical="center" wrapText="1"/>
    </xf>
    <xf numFmtId="0" fontId="59" fillId="5" borderId="26" xfId="0" applyFont="1" applyFill="1" applyBorder="1" applyAlignment="1">
      <alignment horizontal="center" vertical="center" wrapText="1"/>
    </xf>
    <xf numFmtId="3" fontId="29" fillId="4" borderId="9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20" fillId="2" borderId="0" xfId="0" applyFont="1" applyFill="1" applyAlignment="1">
      <alignment horizontal="center"/>
    </xf>
    <xf numFmtId="0" fontId="2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3" fontId="17" fillId="0" borderId="8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29" fillId="0" borderId="2" xfId="0" applyNumberFormat="1" applyFont="1" applyBorder="1" applyAlignment="1">
      <alignment horizontal="right" vertical="center"/>
    </xf>
    <xf numFmtId="3" fontId="29" fillId="0" borderId="8" xfId="0" applyNumberFormat="1" applyFont="1" applyBorder="1" applyAlignment="1">
      <alignment horizontal="right" vertical="center"/>
    </xf>
    <xf numFmtId="3" fontId="29" fillId="0" borderId="3" xfId="0" applyNumberFormat="1" applyFont="1" applyBorder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3" fontId="26" fillId="3" borderId="7" xfId="0" applyNumberFormat="1" applyFont="1" applyFill="1" applyBorder="1" applyAlignment="1">
      <alignment horizontal="center" vertical="center" wrapText="1"/>
    </xf>
    <xf numFmtId="3" fontId="26" fillId="3" borderId="31" xfId="0" applyNumberFormat="1" applyFont="1" applyFill="1" applyBorder="1" applyAlignment="1">
      <alignment horizontal="center" vertical="center" wrapText="1"/>
    </xf>
    <xf numFmtId="3" fontId="26" fillId="3" borderId="20" xfId="0" applyNumberFormat="1" applyFont="1" applyFill="1" applyBorder="1" applyAlignment="1">
      <alignment horizontal="center" vertical="center" wrapText="1"/>
    </xf>
    <xf numFmtId="3" fontId="26" fillId="3" borderId="1" xfId="0" applyNumberFormat="1" applyFont="1" applyFill="1" applyBorder="1" applyAlignment="1">
      <alignment horizontal="center" vertical="center" wrapText="1"/>
    </xf>
    <xf numFmtId="3" fontId="41" fillId="5" borderId="1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textRotation="90"/>
    </xf>
    <xf numFmtId="0" fontId="6" fillId="5" borderId="3" xfId="0" applyFont="1" applyFill="1" applyBorder="1" applyAlignment="1">
      <alignment horizontal="center" vertical="center" textRotation="90"/>
    </xf>
    <xf numFmtId="3" fontId="26" fillId="5" borderId="1" xfId="0" applyNumberFormat="1" applyFont="1" applyFill="1" applyBorder="1" applyAlignment="1">
      <alignment horizontal="center" vertical="center" wrapText="1"/>
    </xf>
    <xf numFmtId="3" fontId="26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textRotation="90" wrapText="1"/>
    </xf>
    <xf numFmtId="0" fontId="6" fillId="5" borderId="3" xfId="0" applyFont="1" applyFill="1" applyBorder="1" applyAlignment="1">
      <alignment horizontal="center" vertical="center" textRotation="90" wrapText="1"/>
    </xf>
    <xf numFmtId="0" fontId="3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3" fillId="3" borderId="22" xfId="0" applyFont="1" applyFill="1" applyBorder="1" applyAlignment="1">
      <alignment horizontal="center" vertical="center" wrapText="1"/>
    </xf>
    <xf numFmtId="0" fontId="33" fillId="3" borderId="29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3" fillId="3" borderId="47" xfId="0" applyFont="1" applyFill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</xf>
    <xf numFmtId="0" fontId="33" fillId="3" borderId="46" xfId="0" applyFont="1" applyFill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33" fillId="5" borderId="31" xfId="0" applyNumberFormat="1" applyFont="1" applyFill="1" applyBorder="1" applyAlignment="1">
      <alignment horizontal="center" vertical="center" wrapText="1"/>
    </xf>
    <xf numFmtId="3" fontId="3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23" xfId="0" applyFont="1" applyFill="1" applyBorder="1" applyAlignment="1">
      <alignment horizontal="center" vertical="center" wrapText="1"/>
    </xf>
    <xf numFmtId="0" fontId="35" fillId="3" borderId="19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8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31" xfId="0" applyFont="1" applyFill="1" applyBorder="1" applyAlignment="1">
      <alignment horizontal="center" vertical="center" wrapText="1"/>
    </xf>
    <xf numFmtId="0" fontId="35" fillId="3" borderId="20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/>
    </xf>
    <xf numFmtId="0" fontId="54" fillId="11" borderId="0" xfId="8" applyFont="1" applyFill="1" applyAlignment="1">
      <alignment horizontal="center" wrapText="1"/>
    </xf>
    <xf numFmtId="0" fontId="54" fillId="11" borderId="0" xfId="8" applyFont="1" applyFill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3" fillId="7" borderId="51" xfId="0" applyFont="1" applyFill="1" applyBorder="1" applyAlignment="1">
      <alignment horizontal="center" vertical="center"/>
    </xf>
    <xf numFmtId="0" fontId="43" fillId="7" borderId="33" xfId="0" applyFont="1" applyFill="1" applyBorder="1" applyAlignment="1">
      <alignment horizontal="center" vertical="center"/>
    </xf>
    <xf numFmtId="0" fontId="45" fillId="7" borderId="40" xfId="0" applyFont="1" applyFill="1" applyBorder="1" applyAlignment="1">
      <alignment horizontal="center" vertical="center" wrapText="1"/>
    </xf>
    <xf numFmtId="0" fontId="45" fillId="7" borderId="45" xfId="0" applyFont="1" applyFill="1" applyBorder="1" applyAlignment="1">
      <alignment horizontal="center" vertical="center" wrapText="1"/>
    </xf>
    <xf numFmtId="0" fontId="43" fillId="7" borderId="50" xfId="0" applyFont="1" applyFill="1" applyBorder="1" applyAlignment="1">
      <alignment horizontal="center" vertical="center" wrapText="1"/>
    </xf>
    <xf numFmtId="0" fontId="43" fillId="7" borderId="44" xfId="0" applyFont="1" applyFill="1" applyBorder="1" applyAlignment="1">
      <alignment horizontal="center" vertical="center" wrapText="1"/>
    </xf>
    <xf numFmtId="0" fontId="44" fillId="7" borderId="50" xfId="0" applyFont="1" applyFill="1" applyBorder="1" applyAlignment="1">
      <alignment horizontal="center" vertical="center" wrapText="1"/>
    </xf>
    <xf numFmtId="0" fontId="44" fillId="7" borderId="44" xfId="0" applyFont="1" applyFill="1" applyBorder="1" applyAlignment="1">
      <alignment horizontal="center" vertical="center"/>
    </xf>
    <xf numFmtId="0" fontId="46" fillId="7" borderId="40" xfId="0" applyFont="1" applyFill="1" applyBorder="1" applyAlignment="1">
      <alignment horizontal="center" vertical="center" wrapText="1"/>
    </xf>
    <xf numFmtId="0" fontId="46" fillId="7" borderId="45" xfId="0" applyFont="1" applyFill="1" applyBorder="1" applyAlignment="1">
      <alignment horizontal="center" vertical="center" wrapText="1"/>
    </xf>
    <xf numFmtId="0" fontId="43" fillId="7" borderId="40" xfId="0" applyFont="1" applyFill="1" applyBorder="1" applyAlignment="1">
      <alignment horizontal="center" vertical="center" wrapText="1"/>
    </xf>
    <xf numFmtId="0" fontId="43" fillId="7" borderId="45" xfId="0" applyFont="1" applyFill="1" applyBorder="1" applyAlignment="1">
      <alignment horizontal="center" vertical="center" wrapText="1"/>
    </xf>
    <xf numFmtId="0" fontId="43" fillId="7" borderId="49" xfId="0" applyFont="1" applyFill="1" applyBorder="1" applyAlignment="1">
      <alignment horizontal="center"/>
    </xf>
    <xf numFmtId="0" fontId="43" fillId="7" borderId="54" xfId="0" applyFont="1" applyFill="1" applyBorder="1" applyAlignment="1">
      <alignment horizontal="center" vertical="center"/>
    </xf>
    <xf numFmtId="0" fontId="43" fillId="7" borderId="4" xfId="0" applyFont="1" applyFill="1" applyBorder="1" applyAlignment="1">
      <alignment horizontal="center"/>
    </xf>
    <xf numFmtId="0" fontId="43" fillId="7" borderId="9" xfId="0" applyFont="1" applyFill="1" applyBorder="1" applyAlignment="1">
      <alignment horizontal="center"/>
    </xf>
    <xf numFmtId="0" fontId="43" fillId="7" borderId="52" xfId="0" applyFont="1" applyFill="1" applyBorder="1" applyAlignment="1">
      <alignment horizontal="center"/>
    </xf>
    <xf numFmtId="0" fontId="46" fillId="7" borderId="53" xfId="0" applyFont="1" applyFill="1" applyBorder="1" applyAlignment="1">
      <alignment horizontal="center" vertical="center" wrapText="1"/>
    </xf>
    <xf numFmtId="0" fontId="46" fillId="7" borderId="54" xfId="0" applyFont="1" applyFill="1" applyBorder="1" applyAlignment="1">
      <alignment horizontal="center" vertical="center" wrapText="1"/>
    </xf>
  </cellXfs>
  <cellStyles count="9">
    <cellStyle name="Ezres" xfId="7" builtinId="3"/>
    <cellStyle name="Ezres 2" xfId="1" xr:uid="{00000000-0005-0000-0000-000001000000}"/>
    <cellStyle name="Normál" xfId="0" builtinId="0"/>
    <cellStyle name="Normál 10" xfId="8" xr:uid="{00000000-0005-0000-0000-000003000000}"/>
    <cellStyle name="Normál 2" xfId="2" xr:uid="{00000000-0005-0000-0000-000004000000}"/>
    <cellStyle name="Normál 3" xfId="3" xr:uid="{00000000-0005-0000-0000-000005000000}"/>
    <cellStyle name="Normál 4" xfId="4" xr:uid="{00000000-0005-0000-0000-000006000000}"/>
    <cellStyle name="Normál 8" xfId="5" xr:uid="{00000000-0005-0000-0000-000007000000}"/>
    <cellStyle name="Normal_KARSZJ3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BALATONF&#214;LDV&#193;R\2025_eim&#243;d_Bf\2025_szeptember_Bf&#246;ldv&#225;r\2025.&#233;vi%20II.eim&#243;d-mell&#233;kletek_Bf&#246;ldv&#225;r_s.xlsx" TargetMode="External"/><Relationship Id="rId1" Type="http://schemas.openxmlformats.org/officeDocument/2006/relationships/externalLinkPath" Target="/2025/2025_BALATONF&#214;LDV&#193;R/2025_eim&#243;d_Bf/2025_szeptember_Bf&#246;ldv&#225;r/2025.&#233;vi%20II.eim&#243;d-mell&#233;kletek_Bf&#246;ldv&#225;r_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TKT\2025_ktgvet&#233;s_TKT\TKT\K&#246;lts&#233;gfeloszt&#225;s_2025_TKT.xls" TargetMode="External"/><Relationship Id="rId1" Type="http://schemas.openxmlformats.org/officeDocument/2006/relationships/externalLinkPath" Target="/2025/2025_TKT/2025_ktgvet&#233;s_TKT/TKT/K&#246;lts&#233;gfeloszt&#225;s_2025_TK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TKT\2025_eim&#243;d_TKT\2025_szept-okt_TKT\K&#246;lts&#233;gfeloszt&#225;s_2025_TKT_IIm&#243;d.xls" TargetMode="External"/><Relationship Id="rId1" Type="http://schemas.openxmlformats.org/officeDocument/2006/relationships/externalLinkPath" Target="/2025/2025_TKT/2025_eim&#243;d_TKT/2025_szept-okt_TKT/K&#246;lts&#233;gfeloszt&#225;s_2025_TKT_II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9.Hivatal"/>
      <sheetName val="10.Adósság"/>
      <sheetName val="11.Likviditás"/>
      <sheetName val="12. gördülő tervezés"/>
      <sheetName val="13. Eu projekt"/>
      <sheetName val="14.Mérlegszerű kimutatás"/>
      <sheetName val="15.Tartalék"/>
      <sheetName val="Társulási fel. tájékoztatásul"/>
    </sheetNames>
    <sheetDataSet>
      <sheetData sheetId="0"/>
      <sheetData sheetId="1">
        <row r="64">
          <cell r="H64"/>
        </row>
      </sheetData>
      <sheetData sheetId="2"/>
      <sheetData sheetId="3">
        <row r="99">
          <cell r="H99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gyerm.jólét (2)"/>
      <sheetName val="Családsegítés"/>
      <sheetName val="Családsegítés,gyerm.jólét"/>
      <sheetName val="Családsegítés, gyerm.jólét (2)"/>
      <sheetName val="Családsegítés, gyerm.jólét"/>
      <sheetName val="Összesítő"/>
      <sheetName val="Munka1"/>
      <sheetName val="házi segítségnyújtás bér"/>
    </sheetNames>
    <sheetDataSet>
      <sheetData sheetId="0"/>
      <sheetData sheetId="1"/>
      <sheetData sheetId="2"/>
      <sheetData sheetId="3">
        <row r="31">
          <cell r="C31">
            <v>0</v>
          </cell>
        </row>
      </sheetData>
      <sheetData sheetId="4">
        <row r="33">
          <cell r="C33">
            <v>2200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7">
          <cell r="V57">
            <v>0</v>
          </cell>
        </row>
      </sheetData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Házi segítségnyújtás"/>
      <sheetName val="Jelzőrendszer"/>
      <sheetName val="Püg.,TV, étkeztetés "/>
      <sheetName val="Társulási hozzájár."/>
      <sheetName val="Labor"/>
      <sheetName val="Családsegítés"/>
      <sheetName val="Összesít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744"/>
  <sheetViews>
    <sheetView tabSelected="1" zoomScaleNormal="100" workbookViewId="0">
      <selection activeCell="H3" sqref="H3"/>
    </sheetView>
  </sheetViews>
  <sheetFormatPr defaultRowHeight="12.75" x14ac:dyDescent="0.2"/>
  <cols>
    <col min="1" max="1" width="6.28515625" style="2" customWidth="1"/>
    <col min="2" max="2" width="56.28515625" customWidth="1"/>
    <col min="3" max="3" width="7.5703125" customWidth="1"/>
    <col min="4" max="4" width="13.42578125" customWidth="1"/>
    <col min="5" max="5" width="10.140625" hidden="1" customWidth="1"/>
    <col min="6" max="6" width="14.5703125" customWidth="1"/>
    <col min="7" max="7" width="9.28515625" customWidth="1"/>
    <col min="8" max="8" width="15.7109375" customWidth="1"/>
    <col min="9" max="9" width="15.7109375" style="35" hidden="1" customWidth="1"/>
    <col min="10" max="10" width="10.85546875" style="9" customWidth="1"/>
    <col min="11" max="11" width="9.140625" customWidth="1"/>
    <col min="12" max="12" width="10" customWidth="1"/>
    <col min="13" max="13" width="9.140625" customWidth="1"/>
  </cols>
  <sheetData>
    <row r="1" spans="1:51" ht="15" customHeight="1" x14ac:dyDescent="0.3">
      <c r="A1" s="54"/>
      <c r="B1" s="33"/>
      <c r="H1" s="55" t="s">
        <v>437</v>
      </c>
      <c r="J1" s="2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15" customHeight="1" x14ac:dyDescent="0.3">
      <c r="A2" s="54"/>
      <c r="B2" s="33"/>
      <c r="H2" s="55" t="s">
        <v>945</v>
      </c>
      <c r="J2" s="2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15" customHeight="1" x14ac:dyDescent="0.3">
      <c r="A3" s="54"/>
      <c r="B3" s="33"/>
      <c r="D3" s="55"/>
      <c r="E3" s="55"/>
      <c r="H3" s="55" t="s">
        <v>670</v>
      </c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15" customHeight="1" x14ac:dyDescent="0.3">
      <c r="A4" s="54"/>
      <c r="B4" s="33"/>
      <c r="D4" s="55"/>
      <c r="E4" s="55"/>
      <c r="F4" s="55"/>
      <c r="G4" s="55"/>
      <c r="J4" s="2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19.5" x14ac:dyDescent="0.35">
      <c r="A5" s="522" t="s">
        <v>354</v>
      </c>
      <c r="B5" s="522"/>
      <c r="C5" s="522"/>
      <c r="D5" s="522"/>
      <c r="E5" s="522"/>
      <c r="F5" s="522"/>
      <c r="G5" s="522"/>
      <c r="H5" s="522"/>
      <c r="I5" s="349"/>
      <c r="J5" s="2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19.5" x14ac:dyDescent="0.35">
      <c r="A6" s="522" t="s">
        <v>609</v>
      </c>
      <c r="B6" s="522"/>
      <c r="C6" s="522"/>
      <c r="D6" s="522"/>
      <c r="E6" s="522"/>
      <c r="F6" s="522"/>
      <c r="G6" s="522"/>
      <c r="H6" s="522"/>
      <c r="I6" s="522"/>
      <c r="J6" s="2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ht="13.5" thickBot="1" x14ac:dyDescent="0.25">
      <c r="A7" s="54"/>
      <c r="B7" s="1"/>
      <c r="H7" s="55" t="s">
        <v>0</v>
      </c>
      <c r="J7" s="2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53.25" customHeight="1" thickBot="1" x14ac:dyDescent="0.25">
      <c r="A8" s="163" t="s">
        <v>100</v>
      </c>
      <c r="B8" s="155" t="s">
        <v>14</v>
      </c>
      <c r="C8" s="516" t="s">
        <v>532</v>
      </c>
      <c r="D8" s="210" t="s">
        <v>610</v>
      </c>
      <c r="E8" s="453" t="s">
        <v>673</v>
      </c>
      <c r="F8" s="210" t="s">
        <v>912</v>
      </c>
      <c r="G8" s="453" t="s">
        <v>674</v>
      </c>
      <c r="H8" s="210" t="s">
        <v>660</v>
      </c>
      <c r="I8" s="229" t="s">
        <v>661</v>
      </c>
      <c r="J8" s="27"/>
      <c r="K8" s="24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20.25" customHeight="1" x14ac:dyDescent="0.2">
      <c r="A9" s="164" t="s">
        <v>101</v>
      </c>
      <c r="B9" s="156" t="s">
        <v>338</v>
      </c>
      <c r="C9" s="420">
        <f>SUM(C10+C17+C23+C30+C41+C47+C51)</f>
        <v>74690</v>
      </c>
      <c r="D9" s="201">
        <f>SUM(D10+D17+D23+D30+D41+D47+D51)</f>
        <v>79600</v>
      </c>
      <c r="E9" s="454">
        <f>F9-D9</f>
        <v>14867</v>
      </c>
      <c r="F9" s="201">
        <f>SUM(F10+F17+F23+F30+F41+F47+F51)</f>
        <v>94467</v>
      </c>
      <c r="G9" s="454">
        <f>H9-F9</f>
        <v>9440</v>
      </c>
      <c r="H9" s="201">
        <f>SUM(H10+H17+H23+H30+H41+H47+H51)</f>
        <v>103907</v>
      </c>
      <c r="I9" s="230">
        <f>SUM(I10+I17+I23+I30+I41+I47+I51)</f>
        <v>101876</v>
      </c>
      <c r="J9" s="2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ht="18" customHeight="1" x14ac:dyDescent="0.25">
      <c r="A10" s="13" t="s">
        <v>102</v>
      </c>
      <c r="B10" s="157" t="s">
        <v>202</v>
      </c>
      <c r="C10" s="426">
        <f>SUM('2.működés'!C9)</f>
        <v>29737</v>
      </c>
      <c r="D10" s="36">
        <f>SUM('2.működés'!D9)</f>
        <v>36175</v>
      </c>
      <c r="E10" s="454">
        <f t="shared" ref="E10:G63" si="0">F10-D10</f>
        <v>-17</v>
      </c>
      <c r="F10" s="36">
        <f>SUM('2.működés'!F9)</f>
        <v>36158</v>
      </c>
      <c r="G10" s="454">
        <f t="shared" si="0"/>
        <v>310</v>
      </c>
      <c r="H10" s="36">
        <f>SUM('2.működés'!H9)</f>
        <v>36468</v>
      </c>
      <c r="I10" s="239">
        <f>SUM('2.működés'!I9)</f>
        <v>36468</v>
      </c>
      <c r="J10" s="2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13.5" hidden="1" customHeight="1" x14ac:dyDescent="0.2">
      <c r="A11" s="8" t="s">
        <v>103</v>
      </c>
      <c r="B11" s="159" t="s">
        <v>111</v>
      </c>
      <c r="C11" s="412"/>
      <c r="D11" s="5"/>
      <c r="E11" s="454">
        <f t="shared" si="0"/>
        <v>0</v>
      </c>
      <c r="F11" s="5"/>
      <c r="G11" s="454">
        <f t="shared" si="0"/>
        <v>0</v>
      </c>
      <c r="H11" s="5"/>
      <c r="I11" s="221"/>
      <c r="J11" s="2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ht="13.5" hidden="1" customHeight="1" x14ac:dyDescent="0.2">
      <c r="A12" s="8" t="s">
        <v>152</v>
      </c>
      <c r="B12" s="159" t="s">
        <v>153</v>
      </c>
      <c r="C12" s="412"/>
      <c r="D12" s="5"/>
      <c r="E12" s="454">
        <f t="shared" si="0"/>
        <v>0</v>
      </c>
      <c r="F12" s="5"/>
      <c r="G12" s="454">
        <f t="shared" si="0"/>
        <v>0</v>
      </c>
      <c r="H12" s="5"/>
      <c r="I12" s="221"/>
      <c r="J12" s="2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13.5" hidden="1" customHeight="1" x14ac:dyDescent="0.2">
      <c r="A13" s="8" t="s">
        <v>104</v>
      </c>
      <c r="B13" s="159" t="s">
        <v>108</v>
      </c>
      <c r="C13" s="421"/>
      <c r="D13" s="6"/>
      <c r="E13" s="454">
        <f t="shared" si="0"/>
        <v>0</v>
      </c>
      <c r="F13" s="6"/>
      <c r="G13" s="454">
        <f t="shared" si="0"/>
        <v>0</v>
      </c>
      <c r="H13" s="6"/>
      <c r="I13" s="231"/>
      <c r="J13" s="2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ht="13.5" hidden="1" customHeight="1" x14ac:dyDescent="0.2">
      <c r="A14" s="8" t="s">
        <v>105</v>
      </c>
      <c r="B14" s="159" t="s">
        <v>109</v>
      </c>
      <c r="C14" s="275"/>
      <c r="D14" s="10"/>
      <c r="E14" s="454">
        <f t="shared" si="0"/>
        <v>0</v>
      </c>
      <c r="F14" s="10"/>
      <c r="G14" s="454">
        <f t="shared" si="0"/>
        <v>0</v>
      </c>
      <c r="H14" s="10"/>
      <c r="I14" s="232"/>
      <c r="J14" s="2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ht="13.5" hidden="1" customHeight="1" x14ac:dyDescent="0.2">
      <c r="A15" s="8" t="s">
        <v>106</v>
      </c>
      <c r="B15" s="159" t="s">
        <v>110</v>
      </c>
      <c r="C15" s="413"/>
      <c r="D15" s="12"/>
      <c r="E15" s="454">
        <f t="shared" si="0"/>
        <v>0</v>
      </c>
      <c r="F15" s="12"/>
      <c r="G15" s="454">
        <f t="shared" si="0"/>
        <v>0</v>
      </c>
      <c r="H15" s="12"/>
      <c r="I15" s="222"/>
      <c r="J15" s="2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ht="12.75" hidden="1" customHeight="1" x14ac:dyDescent="0.2">
      <c r="A16" s="8" t="s">
        <v>107</v>
      </c>
      <c r="B16" s="159" t="s">
        <v>112</v>
      </c>
      <c r="C16" s="413"/>
      <c r="D16" s="12"/>
      <c r="E16" s="454">
        <f t="shared" si="0"/>
        <v>0</v>
      </c>
      <c r="F16" s="12"/>
      <c r="G16" s="454">
        <f t="shared" si="0"/>
        <v>0</v>
      </c>
      <c r="H16" s="12"/>
      <c r="I16" s="222"/>
      <c r="J16" s="2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ht="18" customHeight="1" x14ac:dyDescent="0.25">
      <c r="A17" s="13" t="s">
        <v>113</v>
      </c>
      <c r="B17" s="157" t="s">
        <v>203</v>
      </c>
      <c r="C17" s="422">
        <f>SUM('3.felh'!C14)</f>
        <v>5988</v>
      </c>
      <c r="D17" s="40">
        <f>SUM('3.felh'!D14)</f>
        <v>0</v>
      </c>
      <c r="E17" s="454">
        <f t="shared" si="0"/>
        <v>11998</v>
      </c>
      <c r="F17" s="40">
        <f>SUM('3.felh'!F14)</f>
        <v>11998</v>
      </c>
      <c r="G17" s="454">
        <f t="shared" si="0"/>
        <v>0</v>
      </c>
      <c r="H17" s="40">
        <f>SUM('3.felh'!H14)</f>
        <v>11998</v>
      </c>
      <c r="I17" s="233">
        <f>SUM('3.felh'!I14)</f>
        <v>11998</v>
      </c>
      <c r="J17" s="2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ht="13.5" hidden="1" customHeight="1" x14ac:dyDescent="0.2">
      <c r="A18" s="8" t="s">
        <v>114</v>
      </c>
      <c r="B18" s="159" t="s">
        <v>121</v>
      </c>
      <c r="C18" s="412"/>
      <c r="D18" s="5"/>
      <c r="E18" s="454">
        <f t="shared" si="0"/>
        <v>0</v>
      </c>
      <c r="F18" s="5"/>
      <c r="G18" s="454">
        <f t="shared" si="0"/>
        <v>0</v>
      </c>
      <c r="H18" s="5"/>
      <c r="I18" s="221"/>
      <c r="J18" s="2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ht="13.5" hidden="1" customHeight="1" x14ac:dyDescent="0.2">
      <c r="A19" s="8" t="s">
        <v>154</v>
      </c>
      <c r="B19" s="159" t="s">
        <v>155</v>
      </c>
      <c r="C19" s="413"/>
      <c r="D19" s="12"/>
      <c r="E19" s="454">
        <f t="shared" si="0"/>
        <v>0</v>
      </c>
      <c r="F19" s="12"/>
      <c r="G19" s="454">
        <f t="shared" si="0"/>
        <v>0</v>
      </c>
      <c r="H19" s="12"/>
      <c r="I19" s="222"/>
      <c r="J19" s="2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ht="13.5" hidden="1" customHeight="1" x14ac:dyDescent="0.2">
      <c r="A20" s="8" t="s">
        <v>115</v>
      </c>
      <c r="B20" s="159" t="s">
        <v>118</v>
      </c>
      <c r="C20" s="413"/>
      <c r="D20" s="12"/>
      <c r="E20" s="454">
        <f t="shared" si="0"/>
        <v>0</v>
      </c>
      <c r="F20" s="12"/>
      <c r="G20" s="454">
        <f t="shared" si="0"/>
        <v>0</v>
      </c>
      <c r="H20" s="12"/>
      <c r="I20" s="222"/>
      <c r="J20" s="2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13.5" hidden="1" customHeight="1" x14ac:dyDescent="0.2">
      <c r="A21" s="8" t="s">
        <v>116</v>
      </c>
      <c r="B21" s="159" t="s">
        <v>119</v>
      </c>
      <c r="C21" s="413"/>
      <c r="D21" s="12"/>
      <c r="E21" s="454">
        <f t="shared" si="0"/>
        <v>0</v>
      </c>
      <c r="F21" s="12"/>
      <c r="G21" s="454">
        <f t="shared" si="0"/>
        <v>0</v>
      </c>
      <c r="H21" s="12"/>
      <c r="I21" s="222"/>
      <c r="J21" s="2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ht="13.5" hidden="1" customHeight="1" x14ac:dyDescent="0.2">
      <c r="A22" s="8" t="s">
        <v>117</v>
      </c>
      <c r="B22" s="159" t="s">
        <v>120</v>
      </c>
      <c r="C22" s="413"/>
      <c r="D22" s="12"/>
      <c r="E22" s="454">
        <f t="shared" si="0"/>
        <v>0</v>
      </c>
      <c r="F22" s="12"/>
      <c r="G22" s="454">
        <f t="shared" si="0"/>
        <v>0</v>
      </c>
      <c r="H22" s="12"/>
      <c r="I22" s="222"/>
      <c r="J22" s="2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ht="18" customHeight="1" x14ac:dyDescent="0.25">
      <c r="A23" s="13" t="s">
        <v>122</v>
      </c>
      <c r="B23" s="157" t="s">
        <v>83</v>
      </c>
      <c r="C23" s="422">
        <f>SUM('2.működés'!C65)</f>
        <v>30431</v>
      </c>
      <c r="D23" s="40">
        <f>SUM('2.működés'!D65)</f>
        <v>33000</v>
      </c>
      <c r="E23" s="454">
        <f t="shared" si="0"/>
        <v>0</v>
      </c>
      <c r="F23" s="40">
        <f>SUM('2.működés'!F65)</f>
        <v>33000</v>
      </c>
      <c r="G23" s="454">
        <f t="shared" si="0"/>
        <v>8300</v>
      </c>
      <c r="H23" s="40">
        <f>SUM('2.működés'!H65)</f>
        <v>41300</v>
      </c>
      <c r="I23" s="233">
        <f>SUM('2.működés'!I65)</f>
        <v>40587</v>
      </c>
      <c r="J23" s="2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ht="13.5" hidden="1" customHeight="1" x14ac:dyDescent="0.2">
      <c r="A24" s="8" t="s">
        <v>123</v>
      </c>
      <c r="B24" s="159" t="s">
        <v>129</v>
      </c>
      <c r="C24" s="413"/>
      <c r="D24" s="12"/>
      <c r="E24" s="454">
        <f t="shared" si="0"/>
        <v>0</v>
      </c>
      <c r="F24" s="12"/>
      <c r="G24" s="454">
        <f t="shared" si="0"/>
        <v>0</v>
      </c>
      <c r="H24" s="12"/>
      <c r="I24" s="222"/>
      <c r="J24" s="2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ht="13.5" hidden="1" customHeight="1" x14ac:dyDescent="0.2">
      <c r="A25" s="8" t="s">
        <v>124</v>
      </c>
      <c r="B25" s="159" t="s">
        <v>130</v>
      </c>
      <c r="C25" s="413"/>
      <c r="D25" s="12"/>
      <c r="E25" s="454">
        <f t="shared" si="0"/>
        <v>0</v>
      </c>
      <c r="F25" s="12"/>
      <c r="G25" s="454">
        <f t="shared" si="0"/>
        <v>0</v>
      </c>
      <c r="H25" s="12"/>
      <c r="I25" s="222"/>
      <c r="J25" s="2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ht="13.5" hidden="1" customHeight="1" x14ac:dyDescent="0.2">
      <c r="A26" s="8" t="s">
        <v>125</v>
      </c>
      <c r="B26" s="160" t="s">
        <v>131</v>
      </c>
      <c r="C26" s="435"/>
      <c r="D26" s="45"/>
      <c r="E26" s="454">
        <f t="shared" si="0"/>
        <v>0</v>
      </c>
      <c r="F26" s="45"/>
      <c r="G26" s="454">
        <f t="shared" si="0"/>
        <v>0</v>
      </c>
      <c r="H26" s="45"/>
      <c r="I26" s="227"/>
      <c r="J26" s="2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ht="13.5" hidden="1" customHeight="1" x14ac:dyDescent="0.2">
      <c r="A27" s="8" t="s">
        <v>126</v>
      </c>
      <c r="B27" s="159" t="s">
        <v>158</v>
      </c>
      <c r="C27" s="437"/>
      <c r="D27" s="37"/>
      <c r="E27" s="454">
        <f t="shared" si="0"/>
        <v>0</v>
      </c>
      <c r="F27" s="37"/>
      <c r="G27" s="454">
        <f t="shared" si="0"/>
        <v>0</v>
      </c>
      <c r="H27" s="37"/>
      <c r="I27" s="237"/>
      <c r="J27" s="2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s="46" customFormat="1" ht="13.5" hidden="1" customHeight="1" x14ac:dyDescent="0.2">
      <c r="A28" s="8" t="s">
        <v>127</v>
      </c>
      <c r="B28" s="159" t="s">
        <v>159</v>
      </c>
      <c r="C28" s="413"/>
      <c r="D28" s="12"/>
      <c r="E28" s="454">
        <f t="shared" si="0"/>
        <v>0</v>
      </c>
      <c r="F28" s="12"/>
      <c r="G28" s="454">
        <f t="shared" si="0"/>
        <v>0</v>
      </c>
      <c r="H28" s="12"/>
      <c r="I28" s="222"/>
      <c r="J28" s="2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s="46" customFormat="1" ht="13.5" hidden="1" customHeight="1" x14ac:dyDescent="0.2">
      <c r="A29" s="8" t="s">
        <v>128</v>
      </c>
      <c r="B29" s="159" t="s">
        <v>132</v>
      </c>
      <c r="C29" s="413"/>
      <c r="D29" s="12"/>
      <c r="E29" s="454">
        <f t="shared" si="0"/>
        <v>0</v>
      </c>
      <c r="F29" s="12"/>
      <c r="G29" s="454">
        <f t="shared" si="0"/>
        <v>0</v>
      </c>
      <c r="H29" s="12"/>
      <c r="I29" s="222"/>
      <c r="J29" s="2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s="46" customFormat="1" ht="18" customHeight="1" x14ac:dyDescent="0.25">
      <c r="A30" s="13" t="s">
        <v>133</v>
      </c>
      <c r="B30" s="157" t="s">
        <v>204</v>
      </c>
      <c r="C30" s="422">
        <f>SUM('2.működés'!C79)</f>
        <v>8534</v>
      </c>
      <c r="D30" s="40">
        <f>SUM('2.működés'!D79)</f>
        <v>10425</v>
      </c>
      <c r="E30" s="454">
        <f t="shared" si="0"/>
        <v>1506</v>
      </c>
      <c r="F30" s="40">
        <f>SUM('2.működés'!F79)</f>
        <v>11931</v>
      </c>
      <c r="G30" s="454">
        <f t="shared" si="0"/>
        <v>830</v>
      </c>
      <c r="H30" s="40">
        <f>SUM('2.működés'!H79)</f>
        <v>12761</v>
      </c>
      <c r="I30" s="233">
        <f>SUM('2.működés'!I79)</f>
        <v>11443</v>
      </c>
      <c r="J30" s="2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ht="13.5" hidden="1" customHeight="1" x14ac:dyDescent="0.2">
      <c r="A31" s="8" t="s">
        <v>136</v>
      </c>
      <c r="B31" s="159" t="s">
        <v>134</v>
      </c>
      <c r="C31" s="413"/>
      <c r="D31" s="12"/>
      <c r="E31" s="454">
        <f t="shared" si="0"/>
        <v>0</v>
      </c>
      <c r="F31" s="12"/>
      <c r="G31" s="454">
        <f t="shared" si="0"/>
        <v>0</v>
      </c>
      <c r="H31" s="12"/>
      <c r="I31" s="222"/>
      <c r="J31" s="2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s="46" customFormat="1" ht="13.5" hidden="1" customHeight="1" x14ac:dyDescent="0.2">
      <c r="A32" s="8" t="s">
        <v>137</v>
      </c>
      <c r="B32" s="159" t="s">
        <v>135</v>
      </c>
      <c r="C32" s="413"/>
      <c r="D32" s="12"/>
      <c r="E32" s="454">
        <f t="shared" si="0"/>
        <v>0</v>
      </c>
      <c r="F32" s="12"/>
      <c r="G32" s="454">
        <f t="shared" si="0"/>
        <v>0</v>
      </c>
      <c r="H32" s="12"/>
      <c r="I32" s="222"/>
      <c r="J32" s="2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s="46" customFormat="1" ht="13.5" hidden="1" customHeight="1" x14ac:dyDescent="0.2">
      <c r="A33" s="8" t="s">
        <v>138</v>
      </c>
      <c r="B33" s="159" t="s">
        <v>141</v>
      </c>
      <c r="C33" s="275"/>
      <c r="D33" s="10"/>
      <c r="E33" s="454">
        <f t="shared" si="0"/>
        <v>0</v>
      </c>
      <c r="F33" s="10"/>
      <c r="G33" s="454">
        <f t="shared" si="0"/>
        <v>0</v>
      </c>
      <c r="H33" s="10"/>
      <c r="I33" s="232"/>
      <c r="J33" s="2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13.5" hidden="1" customHeight="1" x14ac:dyDescent="0.2">
      <c r="A34" s="8" t="s">
        <v>139</v>
      </c>
      <c r="B34" s="160" t="s">
        <v>142</v>
      </c>
      <c r="C34" s="424"/>
      <c r="D34" s="8"/>
      <c r="E34" s="454">
        <f t="shared" si="0"/>
        <v>0</v>
      </c>
      <c r="F34" s="8"/>
      <c r="G34" s="454">
        <f t="shared" si="0"/>
        <v>0</v>
      </c>
      <c r="H34" s="8"/>
      <c r="I34" s="159"/>
      <c r="J34" s="2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ht="13.5" hidden="1" customHeight="1" x14ac:dyDescent="0.2">
      <c r="A35" s="8" t="s">
        <v>140</v>
      </c>
      <c r="B35" s="20" t="s">
        <v>143</v>
      </c>
      <c r="C35" s="424"/>
      <c r="D35" s="8"/>
      <c r="E35" s="454">
        <f t="shared" si="0"/>
        <v>0</v>
      </c>
      <c r="F35" s="8"/>
      <c r="G35" s="454">
        <f t="shared" si="0"/>
        <v>0</v>
      </c>
      <c r="H35" s="8"/>
      <c r="I35" s="159"/>
      <c r="J35" s="2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ht="13.5" hidden="1" customHeight="1" x14ac:dyDescent="0.2">
      <c r="A36" s="8" t="s">
        <v>144</v>
      </c>
      <c r="B36" s="20" t="s">
        <v>145</v>
      </c>
      <c r="C36" s="424"/>
      <c r="D36" s="8"/>
      <c r="E36" s="454">
        <f t="shared" si="0"/>
        <v>0</v>
      </c>
      <c r="F36" s="8"/>
      <c r="G36" s="454">
        <f t="shared" si="0"/>
        <v>0</v>
      </c>
      <c r="H36" s="8"/>
      <c r="I36" s="159"/>
      <c r="J36" s="2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ht="13.5" hidden="1" customHeight="1" x14ac:dyDescent="0.2">
      <c r="A37" s="8" t="s">
        <v>146</v>
      </c>
      <c r="B37" s="20" t="s">
        <v>147</v>
      </c>
      <c r="C37" s="424"/>
      <c r="D37" s="8"/>
      <c r="E37" s="454">
        <f t="shared" si="0"/>
        <v>0</v>
      </c>
      <c r="F37" s="8"/>
      <c r="G37" s="454">
        <f t="shared" si="0"/>
        <v>0</v>
      </c>
      <c r="H37" s="8"/>
      <c r="I37" s="159"/>
      <c r="J37" s="2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ht="13.5" hidden="1" customHeight="1" x14ac:dyDescent="0.2">
      <c r="A38" s="8" t="s">
        <v>148</v>
      </c>
      <c r="B38" s="20" t="s">
        <v>149</v>
      </c>
      <c r="C38" s="424"/>
      <c r="D38" s="8"/>
      <c r="E38" s="454">
        <f t="shared" si="0"/>
        <v>0</v>
      </c>
      <c r="F38" s="8"/>
      <c r="G38" s="454">
        <f t="shared" si="0"/>
        <v>0</v>
      </c>
      <c r="H38" s="8"/>
      <c r="I38" s="159"/>
      <c r="J38" s="2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ht="13.5" hidden="1" customHeight="1" x14ac:dyDescent="0.2">
      <c r="A39" s="8" t="s">
        <v>150</v>
      </c>
      <c r="B39" s="20" t="s">
        <v>151</v>
      </c>
      <c r="C39" s="424"/>
      <c r="D39" s="8"/>
      <c r="E39" s="454">
        <f t="shared" si="0"/>
        <v>0</v>
      </c>
      <c r="F39" s="8"/>
      <c r="G39" s="454">
        <f t="shared" si="0"/>
        <v>0</v>
      </c>
      <c r="H39" s="8"/>
      <c r="I39" s="159"/>
      <c r="J39" s="2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ht="13.5" hidden="1" customHeight="1" x14ac:dyDescent="0.2">
      <c r="A40" s="8" t="s">
        <v>156</v>
      </c>
      <c r="B40" s="20" t="s">
        <v>157</v>
      </c>
      <c r="C40" s="424"/>
      <c r="D40" s="8"/>
      <c r="E40" s="454">
        <f t="shared" si="0"/>
        <v>0</v>
      </c>
      <c r="F40" s="8"/>
      <c r="G40" s="454">
        <f t="shared" si="0"/>
        <v>0</v>
      </c>
      <c r="H40" s="8"/>
      <c r="I40" s="159"/>
      <c r="J40" s="2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ht="17.25" customHeight="1" x14ac:dyDescent="0.25">
      <c r="A41" s="13" t="s">
        <v>160</v>
      </c>
      <c r="B41" s="157" t="s">
        <v>205</v>
      </c>
      <c r="C41" s="422">
        <f>SUM('3.felh'!C24)</f>
        <v>0</v>
      </c>
      <c r="D41" s="40">
        <f>SUM('3.felh'!D24)</f>
        <v>0</v>
      </c>
      <c r="E41" s="454">
        <f t="shared" si="0"/>
        <v>30</v>
      </c>
      <c r="F41" s="40">
        <f>SUM('3.felh'!F24)</f>
        <v>30</v>
      </c>
      <c r="G41" s="454">
        <f t="shared" si="0"/>
        <v>0</v>
      </c>
      <c r="H41" s="40">
        <f>SUM('3.felh'!H24)</f>
        <v>30</v>
      </c>
      <c r="I41" s="233">
        <f>SUM('3.felh'!I24)</f>
        <v>30</v>
      </c>
      <c r="J41" s="2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ht="13.5" hidden="1" customHeight="1" x14ac:dyDescent="0.2">
      <c r="A42" s="8" t="s">
        <v>161</v>
      </c>
      <c r="B42" s="20" t="s">
        <v>166</v>
      </c>
      <c r="C42" s="424"/>
      <c r="D42" s="8"/>
      <c r="E42" s="454">
        <f t="shared" si="0"/>
        <v>0</v>
      </c>
      <c r="F42" s="8"/>
      <c r="G42" s="454">
        <f t="shared" si="0"/>
        <v>0</v>
      </c>
      <c r="H42" s="8"/>
      <c r="I42" s="159"/>
      <c r="J42" s="2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ht="13.5" hidden="1" customHeight="1" x14ac:dyDescent="0.2">
      <c r="A43" s="8" t="s">
        <v>162</v>
      </c>
      <c r="B43" s="20" t="s">
        <v>167</v>
      </c>
      <c r="C43" s="424"/>
      <c r="D43" s="8"/>
      <c r="E43" s="454">
        <f t="shared" si="0"/>
        <v>0</v>
      </c>
      <c r="F43" s="8"/>
      <c r="G43" s="454">
        <f t="shared" si="0"/>
        <v>0</v>
      </c>
      <c r="H43" s="8"/>
      <c r="I43" s="159"/>
      <c r="J43" s="2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ht="13.5" hidden="1" customHeight="1" x14ac:dyDescent="0.2">
      <c r="A44" s="8" t="s">
        <v>163</v>
      </c>
      <c r="B44" s="20" t="s">
        <v>168</v>
      </c>
      <c r="C44" s="424"/>
      <c r="D44" s="8"/>
      <c r="E44" s="454">
        <f t="shared" si="0"/>
        <v>0</v>
      </c>
      <c r="F44" s="8"/>
      <c r="G44" s="454">
        <f t="shared" si="0"/>
        <v>0</v>
      </c>
      <c r="H44" s="8"/>
      <c r="I44" s="159"/>
      <c r="J44" s="2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ht="13.5" hidden="1" customHeight="1" x14ac:dyDescent="0.2">
      <c r="A45" s="8" t="s">
        <v>164</v>
      </c>
      <c r="B45" s="20" t="s">
        <v>169</v>
      </c>
      <c r="C45" s="424"/>
      <c r="D45" s="8"/>
      <c r="E45" s="454">
        <f t="shared" si="0"/>
        <v>0</v>
      </c>
      <c r="F45" s="8"/>
      <c r="G45" s="454">
        <f t="shared" si="0"/>
        <v>0</v>
      </c>
      <c r="H45" s="8"/>
      <c r="I45" s="159"/>
      <c r="J45" s="2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ht="13.5" hidden="1" customHeight="1" x14ac:dyDescent="0.2">
      <c r="A46" s="149" t="s">
        <v>165</v>
      </c>
      <c r="B46" s="20" t="s">
        <v>170</v>
      </c>
      <c r="C46" s="424"/>
      <c r="D46" s="8"/>
      <c r="E46" s="454">
        <f t="shared" si="0"/>
        <v>0</v>
      </c>
      <c r="F46" s="8"/>
      <c r="G46" s="454">
        <f t="shared" si="0"/>
        <v>0</v>
      </c>
      <c r="H46" s="8"/>
      <c r="I46" s="159"/>
      <c r="J46" s="2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ht="18" customHeight="1" x14ac:dyDescent="0.25">
      <c r="A47" s="13" t="s">
        <v>171</v>
      </c>
      <c r="B47" s="157" t="s">
        <v>206</v>
      </c>
      <c r="C47" s="422">
        <f>SUM('2.működés'!C91)</f>
        <v>0</v>
      </c>
      <c r="D47" s="40">
        <f>SUM('2.működés'!D91)</f>
        <v>0</v>
      </c>
      <c r="E47" s="454">
        <f t="shared" si="0"/>
        <v>1350</v>
      </c>
      <c r="F47" s="40">
        <f>SUM('2.működés'!F91)</f>
        <v>1350</v>
      </c>
      <c r="G47" s="454">
        <f t="shared" si="0"/>
        <v>0</v>
      </c>
      <c r="H47" s="40">
        <f>SUM('2.működés'!H91)</f>
        <v>1350</v>
      </c>
      <c r="I47" s="233">
        <f>SUM('2.működés'!I91)</f>
        <v>1350</v>
      </c>
      <c r="J47" s="2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ht="13.5" hidden="1" customHeight="1" x14ac:dyDescent="0.2">
      <c r="A48" s="149" t="s">
        <v>176</v>
      </c>
      <c r="B48" s="20" t="s">
        <v>173</v>
      </c>
      <c r="C48" s="424"/>
      <c r="D48" s="8"/>
      <c r="E48" s="454">
        <f t="shared" si="0"/>
        <v>0</v>
      </c>
      <c r="F48" s="8"/>
      <c r="G48" s="454">
        <f t="shared" si="0"/>
        <v>0</v>
      </c>
      <c r="H48" s="8"/>
      <c r="I48" s="159"/>
      <c r="J48" s="2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ht="13.5" hidden="1" customHeight="1" x14ac:dyDescent="0.2">
      <c r="A49" s="149" t="s">
        <v>177</v>
      </c>
      <c r="B49" s="20" t="s">
        <v>174</v>
      </c>
      <c r="C49" s="424"/>
      <c r="D49" s="8"/>
      <c r="E49" s="454">
        <f t="shared" si="0"/>
        <v>0</v>
      </c>
      <c r="F49" s="8"/>
      <c r="G49" s="454">
        <f t="shared" si="0"/>
        <v>0</v>
      </c>
      <c r="H49" s="8"/>
      <c r="I49" s="159"/>
      <c r="J49" s="2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ht="13.5" hidden="1" customHeight="1" x14ac:dyDescent="0.2">
      <c r="A50" s="149" t="s">
        <v>178</v>
      </c>
      <c r="B50" s="20" t="s">
        <v>175</v>
      </c>
      <c r="C50" s="424"/>
      <c r="D50" s="8"/>
      <c r="E50" s="454">
        <f t="shared" si="0"/>
        <v>0</v>
      </c>
      <c r="F50" s="8"/>
      <c r="G50" s="454">
        <f t="shared" si="0"/>
        <v>0</v>
      </c>
      <c r="H50" s="8"/>
      <c r="I50" s="159"/>
      <c r="J50" s="2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ht="18" customHeight="1" x14ac:dyDescent="0.25">
      <c r="A51" s="13" t="s">
        <v>172</v>
      </c>
      <c r="B51" s="157" t="s">
        <v>207</v>
      </c>
      <c r="C51" s="422">
        <f>SUM('3.felh'!C30)</f>
        <v>0</v>
      </c>
      <c r="D51" s="40">
        <f>SUM('3.felh'!D30)</f>
        <v>0</v>
      </c>
      <c r="E51" s="454">
        <f t="shared" si="0"/>
        <v>0</v>
      </c>
      <c r="F51" s="40">
        <f>SUM('3.felh'!F30)</f>
        <v>0</v>
      </c>
      <c r="G51" s="454">
        <f t="shared" si="0"/>
        <v>0</v>
      </c>
      <c r="H51" s="40">
        <f>SUM('3.felh'!H30)</f>
        <v>0</v>
      </c>
      <c r="I51" s="233">
        <f>SUM('3.felh'!I30)</f>
        <v>0</v>
      </c>
      <c r="J51" s="27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ht="13.5" hidden="1" customHeight="1" x14ac:dyDescent="0.25">
      <c r="A52" s="8" t="s">
        <v>179</v>
      </c>
      <c r="B52" s="20" t="s">
        <v>182</v>
      </c>
      <c r="C52" s="422"/>
      <c r="D52" s="40"/>
      <c r="E52" s="454">
        <f t="shared" si="0"/>
        <v>0</v>
      </c>
      <c r="F52" s="40"/>
      <c r="G52" s="454">
        <f t="shared" si="0"/>
        <v>0</v>
      </c>
      <c r="H52" s="40"/>
      <c r="I52" s="233"/>
      <c r="J52" s="27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ht="13.5" hidden="1" customHeight="1" x14ac:dyDescent="0.25">
      <c r="A53" s="8" t="s">
        <v>180</v>
      </c>
      <c r="B53" s="20" t="s">
        <v>183</v>
      </c>
      <c r="C53" s="422"/>
      <c r="D53" s="40"/>
      <c r="E53" s="454">
        <f t="shared" si="0"/>
        <v>0</v>
      </c>
      <c r="F53" s="40"/>
      <c r="G53" s="454">
        <f t="shared" si="0"/>
        <v>0</v>
      </c>
      <c r="H53" s="40"/>
      <c r="I53" s="233"/>
      <c r="J53" s="2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ht="13.5" hidden="1" customHeight="1" thickBot="1" x14ac:dyDescent="0.3">
      <c r="A54" s="11" t="s">
        <v>181</v>
      </c>
      <c r="B54" s="166" t="s">
        <v>184</v>
      </c>
      <c r="C54" s="425"/>
      <c r="D54" s="167"/>
      <c r="E54" s="454">
        <f t="shared" si="0"/>
        <v>0</v>
      </c>
      <c r="F54" s="167"/>
      <c r="G54" s="454">
        <f t="shared" si="0"/>
        <v>0</v>
      </c>
      <c r="H54" s="167"/>
      <c r="I54" s="234"/>
      <c r="J54" s="2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ht="21.75" customHeight="1" x14ac:dyDescent="0.25">
      <c r="A55" s="23" t="s">
        <v>332</v>
      </c>
      <c r="B55" s="203" t="s">
        <v>334</v>
      </c>
      <c r="C55" s="422">
        <f>SUM(C56+C61)</f>
        <v>39646</v>
      </c>
      <c r="D55" s="40">
        <f t="shared" ref="D55:I55" si="1">SUM(D56+D61)</f>
        <v>11995</v>
      </c>
      <c r="E55" s="454">
        <f t="shared" si="0"/>
        <v>0</v>
      </c>
      <c r="F55" s="40">
        <f t="shared" si="1"/>
        <v>11995</v>
      </c>
      <c r="G55" s="454">
        <f t="shared" si="0"/>
        <v>1027</v>
      </c>
      <c r="H55" s="40">
        <f t="shared" si="1"/>
        <v>13022</v>
      </c>
      <c r="I55" s="40">
        <f t="shared" si="1"/>
        <v>13022</v>
      </c>
      <c r="J55" s="2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ht="18" customHeight="1" x14ac:dyDescent="0.25">
      <c r="A56" s="23"/>
      <c r="B56" s="22" t="s">
        <v>346</v>
      </c>
      <c r="C56" s="422">
        <f>SUM(C57)+C60</f>
        <v>39646</v>
      </c>
      <c r="D56" s="40">
        <f t="shared" ref="D56:I56" si="2">SUM(D57)+D60</f>
        <v>11995</v>
      </c>
      <c r="E56" s="454">
        <f t="shared" si="0"/>
        <v>0</v>
      </c>
      <c r="F56" s="40">
        <f t="shared" si="2"/>
        <v>11995</v>
      </c>
      <c r="G56" s="454">
        <f t="shared" si="0"/>
        <v>1027</v>
      </c>
      <c r="H56" s="40">
        <f t="shared" si="2"/>
        <v>13022</v>
      </c>
      <c r="I56" s="40">
        <f t="shared" si="2"/>
        <v>13022</v>
      </c>
      <c r="J56" s="2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ht="13.5" customHeight="1" x14ac:dyDescent="0.2">
      <c r="A57" s="8"/>
      <c r="B57" s="162" t="s">
        <v>408</v>
      </c>
      <c r="C57" s="412">
        <f>SUM(C58:C59)</f>
        <v>38695</v>
      </c>
      <c r="D57" s="5">
        <f t="shared" ref="D57:I57" si="3">SUM(D58:D59)</f>
        <v>11995</v>
      </c>
      <c r="E57" s="454">
        <f t="shared" si="0"/>
        <v>0</v>
      </c>
      <c r="F57" s="5">
        <f t="shared" si="3"/>
        <v>11995</v>
      </c>
      <c r="G57" s="454">
        <f t="shared" si="0"/>
        <v>0</v>
      </c>
      <c r="H57" s="5">
        <f t="shared" si="3"/>
        <v>11995</v>
      </c>
      <c r="I57" s="5">
        <f t="shared" si="3"/>
        <v>11995</v>
      </c>
      <c r="J57" s="2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ht="13.5" customHeight="1" x14ac:dyDescent="0.2">
      <c r="A58" s="8"/>
      <c r="B58" s="162" t="s">
        <v>409</v>
      </c>
      <c r="C58" s="413">
        <f>SUM('2.működés'!C97)</f>
        <v>25171</v>
      </c>
      <c r="D58" s="12">
        <f>SUM('2.működés'!D97)</f>
        <v>11995</v>
      </c>
      <c r="E58" s="454">
        <f t="shared" si="0"/>
        <v>0</v>
      </c>
      <c r="F58" s="12">
        <f>SUM('2.működés'!F97)</f>
        <v>11995</v>
      </c>
      <c r="G58" s="454">
        <f t="shared" si="0"/>
        <v>0</v>
      </c>
      <c r="H58" s="12">
        <f>SUM('2.működés'!H97)</f>
        <v>11995</v>
      </c>
      <c r="I58" s="12">
        <f>SUM('2.működés'!I97)</f>
        <v>11995</v>
      </c>
      <c r="J58" s="2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ht="13.5" customHeight="1" x14ac:dyDescent="0.2">
      <c r="A59" s="8"/>
      <c r="B59" s="162" t="s">
        <v>410</v>
      </c>
      <c r="C59" s="413">
        <f>SUM('3.felh'!C36)</f>
        <v>13524</v>
      </c>
      <c r="D59" s="12">
        <f>SUM('3.felh'!D36)</f>
        <v>0</v>
      </c>
      <c r="E59" s="454">
        <f t="shared" si="0"/>
        <v>0</v>
      </c>
      <c r="F59" s="12">
        <f>SUM('3.felh'!F36)</f>
        <v>0</v>
      </c>
      <c r="G59" s="454">
        <f t="shared" si="0"/>
        <v>0</v>
      </c>
      <c r="H59" s="12">
        <f>SUM('3.felh'!H36)</f>
        <v>0</v>
      </c>
      <c r="I59" s="12">
        <f>SUM('3.felh'!I36)</f>
        <v>0</v>
      </c>
      <c r="J59" s="2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ht="13.5" customHeight="1" x14ac:dyDescent="0.2">
      <c r="A60" s="8"/>
      <c r="B60" s="162" t="s">
        <v>411</v>
      </c>
      <c r="C60" s="412">
        <f>'2.működés'!C98</f>
        <v>951</v>
      </c>
      <c r="D60" s="5">
        <f>'2.működés'!D98</f>
        <v>0</v>
      </c>
      <c r="E60" s="454">
        <f t="shared" si="0"/>
        <v>0</v>
      </c>
      <c r="F60" s="5">
        <f>'2.működés'!F98</f>
        <v>0</v>
      </c>
      <c r="G60" s="454">
        <f t="shared" si="0"/>
        <v>1027</v>
      </c>
      <c r="H60" s="5">
        <f>'2.működés'!H98</f>
        <v>1027</v>
      </c>
      <c r="I60" s="5">
        <f>'2.működés'!I98</f>
        <v>1027</v>
      </c>
      <c r="J60" s="2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ht="18" customHeight="1" thickBot="1" x14ac:dyDescent="0.3">
      <c r="A61" s="8"/>
      <c r="B61" s="22" t="s">
        <v>342</v>
      </c>
      <c r="C61" s="422">
        <f>SUM(C62:C63)</f>
        <v>0</v>
      </c>
      <c r="D61" s="40">
        <f>SUM(D62:D63)</f>
        <v>0</v>
      </c>
      <c r="E61" s="454">
        <f t="shared" si="0"/>
        <v>0</v>
      </c>
      <c r="F61" s="40">
        <f>SUM(F62:F63)</f>
        <v>0</v>
      </c>
      <c r="G61" s="454">
        <f t="shared" si="0"/>
        <v>0</v>
      </c>
      <c r="H61" s="40">
        <f>SUM(H62:H63)</f>
        <v>0</v>
      </c>
      <c r="I61" s="233">
        <f>SUM(I62:I63)</f>
        <v>0</v>
      </c>
      <c r="J61" s="2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ht="13.5" hidden="1" customHeight="1" x14ac:dyDescent="0.2">
      <c r="A62" s="8"/>
      <c r="B62" s="159" t="s">
        <v>349</v>
      </c>
      <c r="C62" s="413"/>
      <c r="D62" s="12"/>
      <c r="E62" s="454">
        <f t="shared" si="0"/>
        <v>0</v>
      </c>
      <c r="F62" s="12"/>
      <c r="G62" s="454">
        <f t="shared" si="0"/>
        <v>0</v>
      </c>
      <c r="H62" s="12"/>
      <c r="I62" s="222"/>
      <c r="J62" s="2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ht="13.5" hidden="1" customHeight="1" thickBot="1" x14ac:dyDescent="0.25">
      <c r="A63" s="195"/>
      <c r="B63" s="11" t="s">
        <v>350</v>
      </c>
      <c r="C63" s="452"/>
      <c r="D63" s="207"/>
      <c r="E63" s="454">
        <f t="shared" si="0"/>
        <v>0</v>
      </c>
      <c r="F63" s="207"/>
      <c r="G63" s="454">
        <f t="shared" si="0"/>
        <v>0</v>
      </c>
      <c r="H63" s="207"/>
      <c r="I63" s="240"/>
      <c r="J63" s="2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ht="23.25" customHeight="1" thickBot="1" x14ac:dyDescent="0.4">
      <c r="A64" s="245"/>
      <c r="B64" s="246" t="s">
        <v>5</v>
      </c>
      <c r="C64" s="429">
        <f>SUM(C9+C55)</f>
        <v>114336</v>
      </c>
      <c r="D64" s="255">
        <f>SUM(D9+D55)</f>
        <v>91595</v>
      </c>
      <c r="E64" s="518">
        <f>F64-D64</f>
        <v>14867</v>
      </c>
      <c r="F64" s="255">
        <f>SUM(F9+F55)</f>
        <v>106462</v>
      </c>
      <c r="G64" s="518">
        <f>H64-F64</f>
        <v>10467</v>
      </c>
      <c r="H64" s="255">
        <f>SUM(H9+H55)</f>
        <v>116929</v>
      </c>
      <c r="I64" s="238">
        <f>SUM(I9+I55)</f>
        <v>114898</v>
      </c>
      <c r="J64" s="28"/>
      <c r="K64" s="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ht="20.25" customHeight="1" x14ac:dyDescent="0.25">
      <c r="A65" s="164" t="s">
        <v>188</v>
      </c>
      <c r="B65" s="161" t="s">
        <v>337</v>
      </c>
      <c r="C65" s="430">
        <f>SUM(C66+C73)</f>
        <v>101304</v>
      </c>
      <c r="D65" s="200">
        <f>SUM(D66+D73)</f>
        <v>90662</v>
      </c>
      <c r="E65" s="454">
        <f>F65-D65</f>
        <v>14867</v>
      </c>
      <c r="F65" s="200">
        <f>SUM(F66+F73)</f>
        <v>105529</v>
      </c>
      <c r="G65" s="454">
        <f>H65-F65</f>
        <v>10467</v>
      </c>
      <c r="H65" s="200">
        <f>SUM(H66+H73)</f>
        <v>115996</v>
      </c>
      <c r="I65" s="200">
        <f>SUM(I66+I73)</f>
        <v>87220</v>
      </c>
      <c r="J65" s="2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ht="18" customHeight="1" x14ac:dyDescent="0.25">
      <c r="A66" s="13" t="s">
        <v>185</v>
      </c>
      <c r="B66" s="157" t="s">
        <v>593</v>
      </c>
      <c r="C66" s="421">
        <f>C67</f>
        <v>82414</v>
      </c>
      <c r="D66" s="165">
        <f>D67</f>
        <v>89678</v>
      </c>
      <c r="E66" s="454">
        <f t="shared" ref="E66:G81" si="4">F66-D66</f>
        <v>2868</v>
      </c>
      <c r="F66" s="165">
        <f>F67</f>
        <v>92546</v>
      </c>
      <c r="G66" s="454">
        <f t="shared" si="4"/>
        <v>10467</v>
      </c>
      <c r="H66" s="165">
        <f>H67</f>
        <v>103013</v>
      </c>
      <c r="I66" s="165">
        <f>I67</f>
        <v>86586</v>
      </c>
      <c r="J66" s="27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x14ac:dyDescent="0.2">
      <c r="A67" s="8"/>
      <c r="B67" s="158" t="s">
        <v>10</v>
      </c>
      <c r="C67" s="413">
        <f>SUM(C68:C72)</f>
        <v>82414</v>
      </c>
      <c r="D67" s="12">
        <f t="shared" ref="D67:I67" si="5">SUM(D68:D72)</f>
        <v>89678</v>
      </c>
      <c r="E67" s="454">
        <f t="shared" si="4"/>
        <v>2868</v>
      </c>
      <c r="F67" s="12">
        <f t="shared" si="5"/>
        <v>92546</v>
      </c>
      <c r="G67" s="454">
        <f t="shared" si="4"/>
        <v>10467</v>
      </c>
      <c r="H67" s="12">
        <f t="shared" si="5"/>
        <v>103013</v>
      </c>
      <c r="I67" s="12">
        <f t="shared" si="5"/>
        <v>86586</v>
      </c>
      <c r="J67" s="2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x14ac:dyDescent="0.2">
      <c r="A68" s="8"/>
      <c r="B68" s="8" t="s">
        <v>595</v>
      </c>
      <c r="C68" s="413">
        <f>'2.működés'!C103</f>
        <v>32617</v>
      </c>
      <c r="D68" s="12">
        <f>'2.működés'!D103</f>
        <v>36308</v>
      </c>
      <c r="E68" s="454">
        <f t="shared" si="4"/>
        <v>1218</v>
      </c>
      <c r="F68" s="12">
        <f>'2.működés'!F103</f>
        <v>37526</v>
      </c>
      <c r="G68" s="454">
        <f t="shared" si="4"/>
        <v>395</v>
      </c>
      <c r="H68" s="12">
        <f>'2.működés'!H103</f>
        <v>37921</v>
      </c>
      <c r="I68" s="12">
        <f>'2.működés'!I103</f>
        <v>37028</v>
      </c>
      <c r="J68" s="2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x14ac:dyDescent="0.2">
      <c r="A69" s="8"/>
      <c r="B69" s="8" t="s">
        <v>596</v>
      </c>
      <c r="C69" s="413">
        <f>'2.működés'!C104</f>
        <v>3709</v>
      </c>
      <c r="D69" s="12">
        <f>'2.működés'!D104</f>
        <v>4536</v>
      </c>
      <c r="E69" s="454">
        <f t="shared" si="4"/>
        <v>123</v>
      </c>
      <c r="F69" s="12">
        <f>'2.működés'!F104</f>
        <v>4659</v>
      </c>
      <c r="G69" s="454">
        <f t="shared" si="4"/>
        <v>0</v>
      </c>
      <c r="H69" s="12">
        <f>'2.működés'!H104</f>
        <v>4659</v>
      </c>
      <c r="I69" s="12">
        <f>'2.működés'!I104</f>
        <v>4518</v>
      </c>
      <c r="J69" s="2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x14ac:dyDescent="0.2">
      <c r="A70" s="8"/>
      <c r="B70" s="8" t="s">
        <v>597</v>
      </c>
      <c r="C70" s="413">
        <f>'2.működés'!C105</f>
        <v>32535</v>
      </c>
      <c r="D70" s="12">
        <f>'2.működés'!D105</f>
        <v>37734</v>
      </c>
      <c r="E70" s="454">
        <f t="shared" si="4"/>
        <v>1188</v>
      </c>
      <c r="F70" s="12">
        <f>'2.működés'!F105</f>
        <v>38922</v>
      </c>
      <c r="G70" s="454">
        <f t="shared" si="4"/>
        <v>1635</v>
      </c>
      <c r="H70" s="12">
        <f>'2.működés'!H105</f>
        <v>40557</v>
      </c>
      <c r="I70" s="12">
        <f>'2.működés'!I105</f>
        <v>31856</v>
      </c>
      <c r="J70" s="2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ht="13.5" customHeight="1" x14ac:dyDescent="0.2">
      <c r="A71" s="8"/>
      <c r="B71" s="8" t="s">
        <v>598</v>
      </c>
      <c r="C71" s="413">
        <f>'2.működés'!C106</f>
        <v>3589</v>
      </c>
      <c r="D71" s="12">
        <f>'2.működés'!D106</f>
        <v>1500</v>
      </c>
      <c r="E71" s="454">
        <f t="shared" si="4"/>
        <v>0</v>
      </c>
      <c r="F71" s="12">
        <f>'2.működés'!F106</f>
        <v>1500</v>
      </c>
      <c r="G71" s="454">
        <f t="shared" si="4"/>
        <v>1848</v>
      </c>
      <c r="H71" s="12">
        <f>'2.működés'!H106</f>
        <v>3348</v>
      </c>
      <c r="I71" s="12">
        <f>'2.működés'!I106</f>
        <v>3330</v>
      </c>
      <c r="J71" s="27"/>
      <c r="K71" s="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ht="13.5" customHeight="1" x14ac:dyDescent="0.2">
      <c r="A72" s="8"/>
      <c r="B72" s="8" t="s">
        <v>599</v>
      </c>
      <c r="C72" s="413">
        <f>'2.működés'!C107</f>
        <v>9964</v>
      </c>
      <c r="D72" s="12">
        <f>'2.működés'!D107</f>
        <v>9600</v>
      </c>
      <c r="E72" s="454">
        <f t="shared" si="4"/>
        <v>339</v>
      </c>
      <c r="F72" s="12">
        <f>'2.működés'!F107</f>
        <v>9939</v>
      </c>
      <c r="G72" s="454">
        <f t="shared" si="4"/>
        <v>6589</v>
      </c>
      <c r="H72" s="12">
        <f>'2.működés'!H107</f>
        <v>16528</v>
      </c>
      <c r="I72" s="12">
        <f>'2.működés'!I107</f>
        <v>9854</v>
      </c>
      <c r="J72" s="27"/>
      <c r="K72" s="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ht="18" customHeight="1" x14ac:dyDescent="0.25">
      <c r="A73" s="13" t="s">
        <v>186</v>
      </c>
      <c r="B73" s="157" t="s">
        <v>594</v>
      </c>
      <c r="C73" s="407">
        <f>SUM(C74:C76)</f>
        <v>18890</v>
      </c>
      <c r="D73" s="253">
        <f>SUM(D74:D76)</f>
        <v>984</v>
      </c>
      <c r="E73" s="454">
        <f t="shared" si="4"/>
        <v>11999</v>
      </c>
      <c r="F73" s="253">
        <f>SUM(F74:F76)</f>
        <v>12983</v>
      </c>
      <c r="G73" s="454">
        <f t="shared" si="4"/>
        <v>0</v>
      </c>
      <c r="H73" s="253">
        <f>SUM(H74:H76)</f>
        <v>12983</v>
      </c>
      <c r="I73" s="253">
        <f>SUM(I74:I76)</f>
        <v>634</v>
      </c>
      <c r="J73" s="2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s="46" customFormat="1" ht="13.5" customHeight="1" x14ac:dyDescent="0.2">
      <c r="A74" s="8"/>
      <c r="B74" s="159" t="s">
        <v>302</v>
      </c>
      <c r="C74" s="413">
        <f>SUM('3.felh'!C41)</f>
        <v>9224</v>
      </c>
      <c r="D74" s="12">
        <f>SUM('3.felh'!D41)</f>
        <v>984</v>
      </c>
      <c r="E74" s="454">
        <f t="shared" si="4"/>
        <v>0</v>
      </c>
      <c r="F74" s="12">
        <f>SUM('3.felh'!F41)</f>
        <v>984</v>
      </c>
      <c r="G74" s="454">
        <f t="shared" si="4"/>
        <v>0</v>
      </c>
      <c r="H74" s="12">
        <f>SUM('3.felh'!H41)</f>
        <v>984</v>
      </c>
      <c r="I74" s="12">
        <f>SUM('3.felh'!I41)</f>
        <v>634</v>
      </c>
      <c r="J74" s="2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s="46" customFormat="1" ht="13.5" customHeight="1" x14ac:dyDescent="0.2">
      <c r="A75" s="8"/>
      <c r="B75" s="159" t="s">
        <v>303</v>
      </c>
      <c r="C75" s="413">
        <f>SUM('3.felh'!C55)</f>
        <v>1839</v>
      </c>
      <c r="D75" s="12">
        <f>SUM('3.felh'!D55)</f>
        <v>0</v>
      </c>
      <c r="E75" s="454">
        <f t="shared" si="4"/>
        <v>11999</v>
      </c>
      <c r="F75" s="12">
        <f>SUM('3.felh'!F55)</f>
        <v>11999</v>
      </c>
      <c r="G75" s="454">
        <f t="shared" si="4"/>
        <v>0</v>
      </c>
      <c r="H75" s="12">
        <f>SUM('3.felh'!H55)</f>
        <v>11999</v>
      </c>
      <c r="I75" s="12">
        <f>SUM('3.felh'!I55)</f>
        <v>0</v>
      </c>
      <c r="J75" s="2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s="46" customFormat="1" ht="13.5" customHeight="1" x14ac:dyDescent="0.2">
      <c r="A76" s="8"/>
      <c r="B76" s="159" t="s">
        <v>304</v>
      </c>
      <c r="C76" s="413">
        <v>7827</v>
      </c>
      <c r="D76" s="12">
        <f>SUM(D77:D79)</f>
        <v>0</v>
      </c>
      <c r="E76" s="454">
        <f t="shared" si="4"/>
        <v>0</v>
      </c>
      <c r="F76" s="12">
        <f>SUM(F77:F79)</f>
        <v>0</v>
      </c>
      <c r="G76" s="454">
        <f t="shared" si="4"/>
        <v>0</v>
      </c>
      <c r="H76" s="12">
        <f>SUM(H77:H79)</f>
        <v>0</v>
      </c>
      <c r="I76" s="12">
        <f>SUM(I77:I79)</f>
        <v>0</v>
      </c>
      <c r="J76" s="2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 s="46" customFormat="1" ht="13.5" hidden="1" customHeight="1" thickBot="1" x14ac:dyDescent="0.25">
      <c r="A77" s="8"/>
      <c r="B77" s="159" t="s">
        <v>353</v>
      </c>
      <c r="C77" s="415">
        <f>SUM('3.felh'!C64)</f>
        <v>0</v>
      </c>
      <c r="D77" s="31">
        <f>SUM('3.felh'!D64)</f>
        <v>0</v>
      </c>
      <c r="E77" s="454">
        <f t="shared" si="4"/>
        <v>0</v>
      </c>
      <c r="F77" s="31">
        <f>SUM('3.felh'!F64)</f>
        <v>0</v>
      </c>
      <c r="G77" s="454">
        <f t="shared" si="4"/>
        <v>0</v>
      </c>
      <c r="H77" s="31">
        <f>SUM('3.felh'!H64)</f>
        <v>0</v>
      </c>
      <c r="I77" s="31">
        <f>SUM('3.felh'!I64)</f>
        <v>0</v>
      </c>
      <c r="J77" s="2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 s="46" customFormat="1" ht="13.5" hidden="1" customHeight="1" thickBot="1" x14ac:dyDescent="0.25">
      <c r="A78" s="8"/>
      <c r="B78" s="252" t="s">
        <v>453</v>
      </c>
      <c r="C78" s="431">
        <f>SUM('3.felh'!C65)</f>
        <v>0</v>
      </c>
      <c r="D78" s="251">
        <f>SUM('3.felh'!D65)</f>
        <v>0</v>
      </c>
      <c r="E78" s="454">
        <f t="shared" si="4"/>
        <v>0</v>
      </c>
      <c r="F78" s="251">
        <f>SUM('3.felh'!F65)</f>
        <v>0</v>
      </c>
      <c r="G78" s="454">
        <f t="shared" si="4"/>
        <v>0</v>
      </c>
      <c r="H78" s="251">
        <f>SUM('3.felh'!H65)</f>
        <v>0</v>
      </c>
      <c r="I78" s="251">
        <f>SUM('3.felh'!I65)</f>
        <v>0</v>
      </c>
      <c r="J78" s="27"/>
      <c r="K78" s="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 s="46" customFormat="1" ht="13.5" hidden="1" customHeight="1" thickBot="1" x14ac:dyDescent="0.25">
      <c r="A79" s="8"/>
      <c r="B79" s="252" t="s">
        <v>452</v>
      </c>
      <c r="C79" s="431">
        <f>'3.felh'!C68+'3.felh'!C66</f>
        <v>0</v>
      </c>
      <c r="D79" s="251">
        <f>'3.felh'!D68+'3.felh'!D66</f>
        <v>0</v>
      </c>
      <c r="E79" s="454">
        <f t="shared" si="4"/>
        <v>0</v>
      </c>
      <c r="F79" s="251">
        <f>'3.felh'!F68+'3.felh'!F66</f>
        <v>0</v>
      </c>
      <c r="G79" s="454">
        <f t="shared" si="4"/>
        <v>0</v>
      </c>
      <c r="H79" s="251">
        <f>'3.felh'!H68+'3.felh'!H66</f>
        <v>0</v>
      </c>
      <c r="I79" s="251">
        <f>'3.felh'!I68+'3.felh'!I66</f>
        <v>0</v>
      </c>
      <c r="J79" s="2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 ht="21.75" customHeight="1" x14ac:dyDescent="0.25">
      <c r="A80" s="13" t="s">
        <v>187</v>
      </c>
      <c r="B80" s="204" t="s">
        <v>351</v>
      </c>
      <c r="C80" s="439">
        <f>SUM(C81)</f>
        <v>1037</v>
      </c>
      <c r="D80" s="199">
        <f>SUM(D81)</f>
        <v>933</v>
      </c>
      <c r="E80" s="454">
        <f t="shared" si="4"/>
        <v>0</v>
      </c>
      <c r="F80" s="199">
        <f>SUM(F81)</f>
        <v>933</v>
      </c>
      <c r="G80" s="454">
        <f t="shared" si="4"/>
        <v>0</v>
      </c>
      <c r="H80" s="199">
        <f>SUM(H81)</f>
        <v>933</v>
      </c>
      <c r="I80" s="199">
        <f>SUM(I81)</f>
        <v>932</v>
      </c>
      <c r="J80" s="2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1:51" ht="13.5" customHeight="1" thickBot="1" x14ac:dyDescent="0.25">
      <c r="A81" s="244"/>
      <c r="B81" s="193" t="s">
        <v>497</v>
      </c>
      <c r="C81" s="415">
        <f>SUM('2.működés'!C114)</f>
        <v>1037</v>
      </c>
      <c r="D81" s="31">
        <f>SUM('2.működés'!D114)</f>
        <v>933</v>
      </c>
      <c r="E81" s="454">
        <f t="shared" si="4"/>
        <v>0</v>
      </c>
      <c r="F81" s="31">
        <f>SUM('2.működés'!F114)</f>
        <v>933</v>
      </c>
      <c r="G81" s="454">
        <f t="shared" si="4"/>
        <v>0</v>
      </c>
      <c r="H81" s="31">
        <f>SUM('2.működés'!H114)</f>
        <v>933</v>
      </c>
      <c r="I81" s="31">
        <f>SUM('2.működés'!I114)</f>
        <v>932</v>
      </c>
      <c r="J81" s="2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 ht="21.75" customHeight="1" thickBot="1" x14ac:dyDescent="0.4">
      <c r="A82" s="245"/>
      <c r="B82" s="247" t="s">
        <v>8</v>
      </c>
      <c r="C82" s="429">
        <f>SUM(C65+C80)</f>
        <v>102341</v>
      </c>
      <c r="D82" s="255">
        <f>SUM(D65+D80)</f>
        <v>91595</v>
      </c>
      <c r="E82" s="518">
        <f>F82-D82</f>
        <v>14867</v>
      </c>
      <c r="F82" s="255">
        <f>SUM(F65+F80)</f>
        <v>106462</v>
      </c>
      <c r="G82" s="518">
        <f>H82-F82</f>
        <v>10467</v>
      </c>
      <c r="H82" s="255">
        <f>SUM(H65+H80)</f>
        <v>116929</v>
      </c>
      <c r="I82" s="238">
        <f>SUM(I65+I80)</f>
        <v>88152</v>
      </c>
      <c r="J82" s="28"/>
      <c r="K82" s="7"/>
      <c r="L82" s="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51" ht="15.75" customHeight="1" x14ac:dyDescent="0.2">
      <c r="I83" s="7"/>
      <c r="J83" s="2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:51" ht="15.75" hidden="1" customHeight="1" x14ac:dyDescent="0.2">
      <c r="C84" s="74">
        <f>C64-C82</f>
        <v>11995</v>
      </c>
      <c r="D84" s="74">
        <f>D64-D82</f>
        <v>0</v>
      </c>
      <c r="E84" s="74"/>
      <c r="F84" s="74">
        <f>F64-F82</f>
        <v>0</v>
      </c>
      <c r="G84" s="74"/>
      <c r="H84" s="74">
        <f>H64-H82</f>
        <v>0</v>
      </c>
      <c r="I84" s="74">
        <f>I64-I82</f>
        <v>26746</v>
      </c>
      <c r="J84" s="2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spans="1:51" ht="15.75" customHeight="1" x14ac:dyDescent="0.2">
      <c r="C85" s="74"/>
      <c r="I85" s="2"/>
      <c r="J85" s="2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 ht="15.75" customHeight="1" x14ac:dyDescent="0.2">
      <c r="C86" s="74"/>
      <c r="D86" s="74"/>
      <c r="E86" s="74"/>
      <c r="F86" s="74"/>
      <c r="G86" s="74"/>
      <c r="H86" s="74"/>
      <c r="I86" s="74"/>
      <c r="J86" s="2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51" ht="15.75" customHeight="1" x14ac:dyDescent="0.2">
      <c r="I87" s="2"/>
      <c r="J87" s="2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51" ht="15.75" customHeight="1" x14ac:dyDescent="0.2">
      <c r="I88" s="2"/>
      <c r="J88" s="2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51" ht="15.75" customHeight="1" x14ac:dyDescent="0.2">
      <c r="B89" s="2"/>
      <c r="C89" s="2"/>
      <c r="D89" s="2"/>
      <c r="E89" s="2"/>
      <c r="F89" s="2"/>
      <c r="G89" s="2"/>
      <c r="H89" s="2"/>
      <c r="I89" s="2"/>
      <c r="J89" s="2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ht="15.75" customHeight="1" x14ac:dyDescent="0.2">
      <c r="B90" s="2"/>
      <c r="C90" s="2"/>
      <c r="D90" s="2"/>
      <c r="E90" s="2"/>
      <c r="F90" s="2"/>
      <c r="G90" s="2"/>
      <c r="H90" s="2"/>
      <c r="I90" s="2"/>
      <c r="J90" s="2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 ht="15.75" customHeight="1" x14ac:dyDescent="0.2">
      <c r="B91" s="2"/>
      <c r="C91" s="2"/>
      <c r="D91" s="2"/>
      <c r="E91" s="2"/>
      <c r="F91" s="2"/>
      <c r="G91" s="2"/>
      <c r="H91" s="2"/>
      <c r="I91" s="2"/>
      <c r="J91" s="2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 ht="15.75" customHeight="1" x14ac:dyDescent="0.2">
      <c r="B92" s="2"/>
      <c r="C92" s="2"/>
      <c r="D92" s="2"/>
      <c r="E92" s="2"/>
      <c r="F92" s="2"/>
      <c r="G92" s="2"/>
      <c r="H92" s="2"/>
      <c r="I92" s="2"/>
      <c r="J92" s="2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 ht="15.75" customHeight="1" x14ac:dyDescent="0.2">
      <c r="B93" s="2"/>
      <c r="C93" s="2"/>
      <c r="D93" s="2"/>
      <c r="E93" s="2"/>
      <c r="F93" s="2"/>
      <c r="G93" s="2"/>
      <c r="H93" s="2"/>
      <c r="I93" s="2"/>
      <c r="J93" s="2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 ht="15.75" customHeight="1" x14ac:dyDescent="0.2">
      <c r="B94" s="2"/>
      <c r="C94" s="2"/>
      <c r="D94" s="2"/>
      <c r="E94" s="2"/>
      <c r="F94" s="2"/>
      <c r="G94" s="2"/>
      <c r="H94" s="2"/>
      <c r="I94" s="2"/>
      <c r="J94" s="2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 ht="15.75" customHeight="1" x14ac:dyDescent="0.2">
      <c r="B95" s="2"/>
      <c r="C95" s="2"/>
      <c r="D95" s="2"/>
      <c r="E95" s="2"/>
      <c r="F95" s="2"/>
      <c r="G95" s="2"/>
      <c r="H95" s="2"/>
      <c r="I95" s="2"/>
      <c r="J95" s="2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 ht="15.75" customHeight="1" x14ac:dyDescent="0.2">
      <c r="B96" s="2"/>
      <c r="C96" s="2"/>
      <c r="D96" s="2"/>
      <c r="E96" s="2"/>
      <c r="F96" s="2"/>
      <c r="G96" s="2"/>
      <c r="H96" s="2"/>
      <c r="I96" s="2"/>
      <c r="J96" s="2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2:51" ht="15.75" customHeight="1" x14ac:dyDescent="0.2">
      <c r="B97" s="2"/>
      <c r="C97" s="2"/>
      <c r="D97" s="2"/>
      <c r="E97" s="2"/>
      <c r="F97" s="2"/>
      <c r="G97" s="2"/>
      <c r="H97" s="2"/>
      <c r="I97" s="2"/>
      <c r="J97" s="2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2:51" ht="15.75" customHeight="1" x14ac:dyDescent="0.2">
      <c r="B98" s="2"/>
      <c r="C98" s="2"/>
      <c r="D98" s="2"/>
      <c r="E98" s="2"/>
      <c r="F98" s="2"/>
      <c r="G98" s="2"/>
      <c r="H98" s="2"/>
      <c r="I98" s="2"/>
      <c r="J98" s="2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2:51" ht="15.75" customHeight="1" x14ac:dyDescent="0.2">
      <c r="B99" s="2"/>
      <c r="C99" s="2"/>
      <c r="D99" s="2"/>
      <c r="E99" s="2"/>
      <c r="F99" s="2"/>
      <c r="G99" s="2"/>
      <c r="H99" s="2"/>
      <c r="I99" s="2"/>
      <c r="J99" s="2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2:51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2:51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2:51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2:51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2:51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2:51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2:51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2:51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2:51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2:51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2:51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2:51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2:51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2:51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2:51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2:51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2:51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2:51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2:51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2:51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2:51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2:51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2:51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2:51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2:51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2:51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2:51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2:51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2:51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7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2:51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7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2:51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7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2:51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7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2:51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7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2:51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2:51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2:51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2:51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2:51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2:51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7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2:51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7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2:51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7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2:51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7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2:51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7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2:51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7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2:51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spans="2:51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7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2:51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spans="2:51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spans="2:51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spans="2:51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7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2:51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7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2:51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spans="2:51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spans="2:51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spans="2:51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7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spans="2:51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spans="2:51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spans="2:51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7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spans="2:51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spans="2:51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7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spans="2:51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7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spans="2:51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7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spans="2:51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7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spans="2:51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7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spans="2:51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7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spans="2:51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7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spans="2:51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7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spans="2:51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7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spans="2:51" ht="15.75" customHeight="1" x14ac:dyDescent="0.2">
      <c r="B168" s="2"/>
      <c r="C168" s="2"/>
      <c r="D168" s="2"/>
      <c r="E168" s="2"/>
      <c r="F168" s="2"/>
      <c r="G168" s="2"/>
      <c r="H168" s="2"/>
      <c r="I168" s="28"/>
      <c r="J168" s="27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spans="2:51" ht="15.75" customHeight="1" x14ac:dyDescent="0.2">
      <c r="B169" s="2"/>
      <c r="C169" s="2"/>
      <c r="D169" s="2"/>
      <c r="E169" s="2"/>
      <c r="F169" s="2"/>
      <c r="G169" s="2"/>
      <c r="H169" s="2"/>
      <c r="I169" s="28"/>
      <c r="J169" s="27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spans="2:51" ht="15.75" customHeight="1" x14ac:dyDescent="0.2">
      <c r="B170" s="2"/>
      <c r="C170" s="2"/>
      <c r="D170" s="2"/>
      <c r="E170" s="2"/>
      <c r="F170" s="2"/>
      <c r="G170" s="2"/>
      <c r="H170" s="2"/>
      <c r="I170" s="28"/>
      <c r="J170" s="27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spans="2:51" ht="15.75" customHeight="1" x14ac:dyDescent="0.2">
      <c r="B171" s="2"/>
      <c r="C171" s="2"/>
      <c r="D171" s="2"/>
      <c r="E171" s="2"/>
      <c r="F171" s="2"/>
      <c r="G171" s="2"/>
      <c r="H171" s="2"/>
      <c r="I171" s="28"/>
      <c r="J171" s="27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spans="2:51" ht="15.75" customHeight="1" x14ac:dyDescent="0.2">
      <c r="B172" s="2"/>
      <c r="C172" s="2"/>
      <c r="D172" s="2"/>
      <c r="E172" s="2"/>
      <c r="F172" s="2"/>
      <c r="G172" s="2"/>
      <c r="H172" s="2"/>
      <c r="I172" s="28"/>
      <c r="J172" s="27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spans="2:51" ht="15.75" customHeight="1" x14ac:dyDescent="0.2">
      <c r="B173" s="2"/>
      <c r="C173" s="2"/>
      <c r="D173" s="2"/>
      <c r="E173" s="2"/>
      <c r="F173" s="2"/>
      <c r="G173" s="2"/>
      <c r="H173" s="2"/>
      <c r="I173" s="28"/>
      <c r="J173" s="27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spans="2:51" ht="15.75" customHeight="1" x14ac:dyDescent="0.2">
      <c r="B174" s="2"/>
      <c r="C174" s="2"/>
      <c r="D174" s="2"/>
      <c r="E174" s="2"/>
      <c r="F174" s="2"/>
      <c r="G174" s="2"/>
      <c r="H174" s="2"/>
      <c r="I174" s="28"/>
      <c r="J174" s="27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spans="2:51" ht="15.75" customHeight="1" x14ac:dyDescent="0.2">
      <c r="B175" s="2"/>
      <c r="C175" s="2"/>
      <c r="D175" s="2"/>
      <c r="E175" s="2"/>
      <c r="F175" s="2"/>
      <c r="G175" s="2"/>
      <c r="H175" s="2"/>
      <c r="I175" s="28"/>
      <c r="J175" s="27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spans="2:51" ht="15.75" customHeight="1" x14ac:dyDescent="0.2">
      <c r="B176" s="2"/>
      <c r="C176" s="2"/>
      <c r="D176" s="2"/>
      <c r="E176" s="2"/>
      <c r="F176" s="2"/>
      <c r="G176" s="2"/>
      <c r="H176" s="2"/>
      <c r="I176" s="28"/>
      <c r="J176" s="27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spans="2:51" ht="15.75" customHeight="1" x14ac:dyDescent="0.2">
      <c r="B177" s="2"/>
      <c r="C177" s="2"/>
      <c r="D177" s="2"/>
      <c r="E177" s="2"/>
      <c r="F177" s="2"/>
      <c r="G177" s="2"/>
      <c r="H177" s="2"/>
      <c r="I177" s="28"/>
      <c r="J177" s="27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spans="2:51" ht="15.75" customHeight="1" x14ac:dyDescent="0.2">
      <c r="B178" s="2"/>
      <c r="C178" s="2"/>
      <c r="D178" s="2"/>
      <c r="E178" s="2"/>
      <c r="F178" s="2"/>
      <c r="G178" s="2"/>
      <c r="H178" s="2"/>
      <c r="I178" s="28"/>
      <c r="J178" s="27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spans="2:51" ht="15.75" customHeight="1" x14ac:dyDescent="0.2">
      <c r="B179" s="2"/>
      <c r="C179" s="2"/>
      <c r="D179" s="2"/>
      <c r="E179" s="2"/>
      <c r="F179" s="2"/>
      <c r="G179" s="2"/>
      <c r="H179" s="2"/>
      <c r="I179" s="28"/>
      <c r="J179" s="27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spans="2:51" ht="15.75" customHeight="1" x14ac:dyDescent="0.2">
      <c r="B180" s="2"/>
      <c r="C180" s="2"/>
      <c r="D180" s="2"/>
      <c r="E180" s="2"/>
      <c r="F180" s="2"/>
      <c r="G180" s="2"/>
      <c r="H180" s="2"/>
      <c r="I180" s="28"/>
      <c r="J180" s="27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spans="2:51" ht="15.75" customHeight="1" x14ac:dyDescent="0.2">
      <c r="B181" s="2"/>
      <c r="C181" s="2"/>
      <c r="D181" s="2"/>
      <c r="E181" s="2"/>
      <c r="F181" s="2"/>
      <c r="G181" s="2"/>
      <c r="H181" s="2"/>
      <c r="I181" s="28"/>
      <c r="J181" s="27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spans="2:51" ht="15.75" customHeight="1" x14ac:dyDescent="0.2">
      <c r="B182" s="2"/>
      <c r="C182" s="2"/>
      <c r="D182" s="2"/>
      <c r="E182" s="2"/>
      <c r="F182" s="2"/>
      <c r="G182" s="2"/>
      <c r="H182" s="2"/>
      <c r="I182" s="28"/>
      <c r="J182" s="27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spans="2:51" ht="15.75" customHeight="1" x14ac:dyDescent="0.2">
      <c r="B183" s="2"/>
      <c r="C183" s="2"/>
      <c r="D183" s="2"/>
      <c r="E183" s="2"/>
      <c r="F183" s="2"/>
      <c r="G183" s="2"/>
      <c r="H183" s="2"/>
      <c r="I183" s="28"/>
      <c r="J183" s="27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spans="2:51" ht="15.75" customHeight="1" x14ac:dyDescent="0.2">
      <c r="B184" s="2"/>
      <c r="C184" s="2"/>
      <c r="D184" s="2"/>
      <c r="E184" s="2"/>
      <c r="F184" s="2"/>
      <c r="G184" s="2"/>
      <c r="H184" s="2"/>
      <c r="I184" s="28"/>
      <c r="J184" s="27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spans="2:51" ht="15.75" customHeight="1" x14ac:dyDescent="0.2">
      <c r="B185" s="2"/>
      <c r="C185" s="2"/>
      <c r="D185" s="2"/>
      <c r="E185" s="2"/>
      <c r="F185" s="2"/>
      <c r="G185" s="2"/>
      <c r="H185" s="2"/>
      <c r="I185" s="28"/>
      <c r="J185" s="27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spans="2:51" ht="15.75" customHeight="1" x14ac:dyDescent="0.2">
      <c r="B186" s="2"/>
      <c r="C186" s="2"/>
      <c r="D186" s="2"/>
      <c r="E186" s="2"/>
      <c r="F186" s="2"/>
      <c r="G186" s="2"/>
      <c r="H186" s="2"/>
      <c r="I186" s="28"/>
      <c r="J186" s="27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spans="2:51" ht="15.75" customHeight="1" x14ac:dyDescent="0.2">
      <c r="B187" s="2"/>
      <c r="C187" s="2"/>
      <c r="D187" s="2"/>
      <c r="E187" s="2"/>
      <c r="F187" s="2"/>
      <c r="G187" s="2"/>
      <c r="H187" s="2"/>
      <c r="I187" s="28"/>
      <c r="J187" s="27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spans="2:51" ht="15.75" customHeight="1" x14ac:dyDescent="0.2">
      <c r="B188" s="2"/>
      <c r="C188" s="2"/>
      <c r="D188" s="2"/>
      <c r="E188" s="2"/>
      <c r="F188" s="2"/>
      <c r="G188" s="2"/>
      <c r="H188" s="2"/>
      <c r="I188" s="28"/>
      <c r="J188" s="27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spans="2:51" ht="15.75" customHeight="1" x14ac:dyDescent="0.2">
      <c r="B189" s="2"/>
      <c r="C189" s="2"/>
      <c r="D189" s="2"/>
      <c r="E189" s="2"/>
      <c r="F189" s="2"/>
      <c r="G189" s="2"/>
      <c r="H189" s="2"/>
      <c r="I189" s="28"/>
      <c r="J189" s="27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spans="2:51" ht="15.75" customHeight="1" x14ac:dyDescent="0.2">
      <c r="B190" s="2"/>
      <c r="C190" s="2"/>
      <c r="D190" s="2"/>
      <c r="E190" s="2"/>
      <c r="F190" s="2"/>
      <c r="G190" s="2"/>
      <c r="H190" s="2"/>
      <c r="I190" s="28"/>
      <c r="J190" s="27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spans="2:51" ht="15.75" customHeight="1" x14ac:dyDescent="0.2">
      <c r="B191" s="2"/>
      <c r="C191" s="2"/>
      <c r="D191" s="2"/>
      <c r="E191" s="2"/>
      <c r="F191" s="2"/>
      <c r="G191" s="2"/>
      <c r="H191" s="2"/>
      <c r="I191" s="28"/>
      <c r="J191" s="27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spans="2:51" ht="15.75" customHeight="1" x14ac:dyDescent="0.2">
      <c r="B192" s="2"/>
      <c r="C192" s="2"/>
      <c r="D192" s="2"/>
      <c r="E192" s="2"/>
      <c r="F192" s="2"/>
      <c r="G192" s="2"/>
      <c r="H192" s="2"/>
      <c r="I192" s="28"/>
      <c r="J192" s="27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spans="2:51" ht="15.75" customHeight="1" x14ac:dyDescent="0.2">
      <c r="B193" s="2"/>
      <c r="C193" s="2"/>
      <c r="D193" s="2"/>
      <c r="E193" s="2"/>
      <c r="F193" s="2"/>
      <c r="G193" s="2"/>
      <c r="H193" s="2"/>
      <c r="I193" s="28"/>
      <c r="J193" s="27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spans="2:51" ht="15.75" customHeight="1" x14ac:dyDescent="0.2">
      <c r="B194" s="2"/>
      <c r="C194" s="2"/>
      <c r="D194" s="2"/>
      <c r="E194" s="2"/>
      <c r="F194" s="2"/>
      <c r="G194" s="2"/>
      <c r="H194" s="2"/>
      <c r="I194" s="28"/>
      <c r="J194" s="27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spans="2:51" ht="15.75" customHeight="1" x14ac:dyDescent="0.2">
      <c r="B195" s="2"/>
      <c r="C195" s="2"/>
      <c r="D195" s="2"/>
      <c r="E195" s="2"/>
      <c r="F195" s="2"/>
      <c r="G195" s="2"/>
      <c r="H195" s="2"/>
      <c r="I195" s="28"/>
      <c r="J195" s="27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spans="2:51" ht="15.75" customHeight="1" x14ac:dyDescent="0.2">
      <c r="B196" s="2"/>
      <c r="C196" s="2"/>
      <c r="D196" s="2"/>
      <c r="E196" s="2"/>
      <c r="F196" s="2"/>
      <c r="G196" s="2"/>
      <c r="H196" s="2"/>
      <c r="I196" s="28"/>
      <c r="J196" s="27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spans="2:51" ht="15.75" customHeight="1" x14ac:dyDescent="0.2">
      <c r="B197" s="2"/>
      <c r="C197" s="2"/>
      <c r="D197" s="2"/>
      <c r="E197" s="2"/>
      <c r="F197" s="2"/>
      <c r="G197" s="2"/>
      <c r="H197" s="2"/>
      <c r="I197" s="28"/>
      <c r="J197" s="27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spans="2:51" ht="15.75" customHeight="1" x14ac:dyDescent="0.2">
      <c r="B198" s="2"/>
      <c r="C198" s="2"/>
      <c r="D198" s="2"/>
      <c r="E198" s="2"/>
      <c r="F198" s="2"/>
      <c r="G198" s="2"/>
      <c r="H198" s="2"/>
      <c r="I198" s="28"/>
      <c r="J198" s="27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spans="2:51" ht="15.75" customHeight="1" x14ac:dyDescent="0.2">
      <c r="B199" s="2"/>
      <c r="C199" s="2"/>
      <c r="D199" s="2"/>
      <c r="E199" s="2"/>
      <c r="F199" s="2"/>
      <c r="G199" s="2"/>
      <c r="H199" s="2"/>
      <c r="I199" s="28"/>
      <c r="J199" s="27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spans="2:51" ht="15.75" customHeight="1" x14ac:dyDescent="0.2">
      <c r="B200" s="2"/>
      <c r="C200" s="2"/>
      <c r="D200" s="2"/>
      <c r="E200" s="2"/>
      <c r="F200" s="2"/>
      <c r="G200" s="2"/>
      <c r="H200" s="2"/>
      <c r="I200" s="28"/>
      <c r="J200" s="27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spans="2:51" ht="15.75" customHeight="1" x14ac:dyDescent="0.2">
      <c r="B201" s="2"/>
      <c r="C201" s="2"/>
      <c r="D201" s="2"/>
      <c r="E201" s="2"/>
      <c r="F201" s="2"/>
      <c r="G201" s="2"/>
      <c r="H201" s="2"/>
      <c r="I201" s="28"/>
      <c r="J201" s="27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spans="2:51" ht="15.75" customHeight="1" x14ac:dyDescent="0.2">
      <c r="B202" s="2"/>
      <c r="C202" s="2"/>
      <c r="D202" s="2"/>
      <c r="E202" s="2"/>
      <c r="F202" s="2"/>
      <c r="G202" s="2"/>
      <c r="H202" s="2"/>
      <c r="I202" s="28"/>
      <c r="J202" s="27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spans="2:51" ht="15.75" customHeight="1" x14ac:dyDescent="0.2">
      <c r="B203" s="2"/>
      <c r="C203" s="2"/>
      <c r="D203" s="2"/>
      <c r="E203" s="2"/>
      <c r="F203" s="2"/>
      <c r="G203" s="2"/>
      <c r="H203" s="2"/>
      <c r="I203" s="28"/>
      <c r="J203" s="27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spans="2:51" ht="15.75" customHeight="1" x14ac:dyDescent="0.2">
      <c r="B204" s="2"/>
      <c r="C204" s="2"/>
      <c r="D204" s="2"/>
      <c r="E204" s="2"/>
      <c r="F204" s="2"/>
      <c r="G204" s="2"/>
      <c r="H204" s="2"/>
      <c r="I204" s="28"/>
      <c r="J204" s="27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spans="2:51" ht="15.75" customHeight="1" x14ac:dyDescent="0.2">
      <c r="B205" s="2"/>
      <c r="C205" s="2"/>
      <c r="D205" s="2"/>
      <c r="E205" s="2"/>
      <c r="F205" s="2"/>
      <c r="G205" s="2"/>
      <c r="H205" s="2"/>
      <c r="I205" s="28"/>
      <c r="J205" s="27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spans="2:51" ht="15.75" customHeight="1" x14ac:dyDescent="0.2">
      <c r="B206" s="2"/>
      <c r="C206" s="2"/>
      <c r="D206" s="2"/>
      <c r="E206" s="2"/>
      <c r="F206" s="2"/>
      <c r="G206" s="2"/>
      <c r="H206" s="2"/>
      <c r="I206" s="28"/>
      <c r="J206" s="27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spans="2:51" ht="15.75" customHeight="1" x14ac:dyDescent="0.2">
      <c r="B207" s="2"/>
      <c r="C207" s="2"/>
      <c r="D207" s="2"/>
      <c r="E207" s="2"/>
      <c r="F207" s="2"/>
      <c r="G207" s="2"/>
      <c r="H207" s="2"/>
      <c r="I207" s="28"/>
      <c r="J207" s="27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spans="2:51" ht="15.75" customHeight="1" x14ac:dyDescent="0.2">
      <c r="B208" s="2"/>
      <c r="C208" s="2"/>
      <c r="D208" s="2"/>
      <c r="E208" s="2"/>
      <c r="F208" s="2"/>
      <c r="G208" s="2"/>
      <c r="H208" s="2"/>
      <c r="I208" s="28"/>
      <c r="J208" s="27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spans="2:51" ht="15.75" customHeight="1" x14ac:dyDescent="0.2">
      <c r="B209" s="2"/>
      <c r="C209" s="2"/>
      <c r="D209" s="2"/>
      <c r="E209" s="2"/>
      <c r="F209" s="2"/>
      <c r="G209" s="2"/>
      <c r="H209" s="2"/>
      <c r="I209" s="28"/>
      <c r="J209" s="27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2:51" ht="15.75" customHeight="1" x14ac:dyDescent="0.2">
      <c r="B210" s="2"/>
      <c r="C210" s="2"/>
      <c r="D210" s="2"/>
      <c r="E210" s="2"/>
      <c r="F210" s="2"/>
      <c r="G210" s="2"/>
      <c r="H210" s="2"/>
      <c r="I210" s="28"/>
      <c r="J210" s="27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spans="2:51" ht="15.75" customHeight="1" x14ac:dyDescent="0.2">
      <c r="B211" s="2"/>
      <c r="C211" s="2"/>
      <c r="D211" s="2"/>
      <c r="E211" s="2"/>
      <c r="F211" s="2"/>
      <c r="G211" s="2"/>
      <c r="H211" s="2"/>
      <c r="I211" s="28"/>
      <c r="J211" s="27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spans="2:51" ht="15.75" customHeight="1" x14ac:dyDescent="0.2">
      <c r="B212" s="2"/>
      <c r="C212" s="2"/>
      <c r="D212" s="2"/>
      <c r="E212" s="2"/>
      <c r="F212" s="2"/>
      <c r="G212" s="2"/>
      <c r="H212" s="2"/>
      <c r="I212" s="28"/>
      <c r="J212" s="27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spans="2:51" ht="15.75" customHeight="1" x14ac:dyDescent="0.2">
      <c r="B213" s="2"/>
      <c r="C213" s="2"/>
      <c r="D213" s="2"/>
      <c r="E213" s="2"/>
      <c r="F213" s="2"/>
      <c r="G213" s="2"/>
      <c r="H213" s="2"/>
      <c r="I213" s="28"/>
      <c r="J213" s="27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spans="2:51" ht="15.75" customHeight="1" x14ac:dyDescent="0.2">
      <c r="B214" s="2"/>
      <c r="C214" s="2"/>
      <c r="D214" s="2"/>
      <c r="E214" s="2"/>
      <c r="F214" s="2"/>
      <c r="G214" s="2"/>
      <c r="H214" s="2"/>
      <c r="I214" s="28"/>
      <c r="J214" s="27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spans="2:51" ht="15.75" customHeight="1" x14ac:dyDescent="0.2">
      <c r="B215" s="2"/>
      <c r="C215" s="2"/>
      <c r="D215" s="2"/>
      <c r="E215" s="2"/>
      <c r="F215" s="2"/>
      <c r="G215" s="2"/>
      <c r="H215" s="2"/>
      <c r="I215" s="28"/>
      <c r="J215" s="27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spans="2:51" ht="15.75" customHeight="1" x14ac:dyDescent="0.2">
      <c r="B216" s="2"/>
      <c r="C216" s="2"/>
      <c r="D216" s="2"/>
      <c r="E216" s="2"/>
      <c r="F216" s="2"/>
      <c r="G216" s="2"/>
      <c r="H216" s="2"/>
      <c r="I216" s="28"/>
      <c r="J216" s="27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2:51" ht="15.75" customHeight="1" x14ac:dyDescent="0.2">
      <c r="B217" s="2"/>
      <c r="C217" s="2"/>
      <c r="D217" s="2"/>
      <c r="E217" s="2"/>
      <c r="F217" s="2"/>
      <c r="G217" s="2"/>
      <c r="H217" s="2"/>
      <c r="I217" s="28"/>
      <c r="J217" s="27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spans="2:51" ht="15.75" customHeight="1" x14ac:dyDescent="0.2">
      <c r="B218" s="2"/>
      <c r="C218" s="2"/>
      <c r="D218" s="2"/>
      <c r="E218" s="2"/>
      <c r="F218" s="2"/>
      <c r="G218" s="2"/>
      <c r="H218" s="2"/>
      <c r="I218" s="28"/>
      <c r="J218" s="27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spans="2:51" ht="15.75" customHeight="1" x14ac:dyDescent="0.2">
      <c r="B219" s="2"/>
      <c r="C219" s="2"/>
      <c r="D219" s="2"/>
      <c r="E219" s="2"/>
      <c r="F219" s="2"/>
      <c r="G219" s="2"/>
      <c r="H219" s="2"/>
      <c r="I219" s="28"/>
      <c r="J219" s="27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spans="2:51" ht="15.75" customHeight="1" x14ac:dyDescent="0.2">
      <c r="B220" s="2"/>
      <c r="C220" s="2"/>
      <c r="D220" s="2"/>
      <c r="E220" s="2"/>
      <c r="F220" s="2"/>
      <c r="G220" s="2"/>
      <c r="H220" s="2"/>
      <c r="I220" s="28"/>
      <c r="J220" s="27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spans="2:51" ht="15.75" customHeight="1" x14ac:dyDescent="0.2">
      <c r="B221" s="2"/>
      <c r="C221" s="2"/>
      <c r="D221" s="2"/>
      <c r="E221" s="2"/>
      <c r="F221" s="2"/>
      <c r="G221" s="2"/>
      <c r="H221" s="2"/>
      <c r="I221" s="28"/>
      <c r="J221" s="27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spans="2:51" ht="15.75" customHeight="1" x14ac:dyDescent="0.2">
      <c r="B222" s="2"/>
      <c r="C222" s="2"/>
      <c r="D222" s="2"/>
      <c r="E222" s="2"/>
      <c r="F222" s="2"/>
      <c r="G222" s="2"/>
      <c r="H222" s="2"/>
      <c r="I222" s="28"/>
      <c r="J222" s="27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spans="2:51" ht="15.75" customHeight="1" x14ac:dyDescent="0.2">
      <c r="B223" s="2"/>
      <c r="C223" s="2"/>
      <c r="D223" s="2"/>
      <c r="E223" s="2"/>
      <c r="F223" s="2"/>
      <c r="G223" s="2"/>
      <c r="H223" s="2"/>
      <c r="I223" s="28"/>
      <c r="J223" s="27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spans="2:51" ht="15.75" customHeight="1" x14ac:dyDescent="0.2">
      <c r="B224" s="2"/>
      <c r="C224" s="2"/>
      <c r="D224" s="2"/>
      <c r="E224" s="2"/>
      <c r="F224" s="2"/>
      <c r="G224" s="2"/>
      <c r="H224" s="2"/>
      <c r="I224" s="28"/>
      <c r="J224" s="27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2:51" ht="15.75" customHeight="1" x14ac:dyDescent="0.2">
      <c r="B225" s="2"/>
      <c r="C225" s="2"/>
      <c r="D225" s="2"/>
      <c r="E225" s="2"/>
      <c r="F225" s="2"/>
      <c r="G225" s="2"/>
      <c r="H225" s="2"/>
      <c r="I225" s="28"/>
      <c r="J225" s="27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2:51" ht="15.75" customHeight="1" x14ac:dyDescent="0.2">
      <c r="B226" s="2"/>
      <c r="C226" s="2"/>
      <c r="D226" s="2"/>
      <c r="E226" s="2"/>
      <c r="F226" s="2"/>
      <c r="G226" s="2"/>
      <c r="H226" s="2"/>
      <c r="I226" s="28"/>
      <c r="J226" s="27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spans="2:51" ht="15.75" customHeight="1" x14ac:dyDescent="0.2">
      <c r="B227" s="2"/>
      <c r="C227" s="2"/>
      <c r="D227" s="2"/>
      <c r="E227" s="2"/>
      <c r="F227" s="2"/>
      <c r="G227" s="2"/>
      <c r="H227" s="2"/>
      <c r="I227" s="28"/>
      <c r="J227" s="27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2:51" ht="15.75" customHeight="1" x14ac:dyDescent="0.2">
      <c r="B228" s="2"/>
      <c r="C228" s="2"/>
      <c r="D228" s="2"/>
      <c r="E228" s="2"/>
      <c r="F228" s="2"/>
      <c r="G228" s="2"/>
      <c r="H228" s="2"/>
      <c r="I228" s="28"/>
      <c r="J228" s="27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spans="2:51" ht="15.75" customHeight="1" x14ac:dyDescent="0.2">
      <c r="B229" s="2"/>
      <c r="C229" s="2"/>
      <c r="D229" s="2"/>
      <c r="E229" s="2"/>
      <c r="F229" s="2"/>
      <c r="G229" s="2"/>
      <c r="H229" s="2"/>
      <c r="I229" s="28"/>
      <c r="J229" s="27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2:51" ht="15.75" customHeight="1" x14ac:dyDescent="0.2">
      <c r="B230" s="2"/>
      <c r="C230" s="2"/>
      <c r="D230" s="2"/>
      <c r="E230" s="2"/>
      <c r="F230" s="2"/>
      <c r="G230" s="2"/>
      <c r="H230" s="2"/>
      <c r="I230" s="28"/>
      <c r="J230" s="27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spans="2:51" ht="15.75" customHeight="1" x14ac:dyDescent="0.2">
      <c r="B231" s="2"/>
      <c r="C231" s="2"/>
      <c r="D231" s="2"/>
      <c r="E231" s="2"/>
      <c r="F231" s="2"/>
      <c r="G231" s="2"/>
      <c r="H231" s="2"/>
      <c r="I231" s="28"/>
      <c r="J231" s="27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spans="2:51" ht="15.75" customHeight="1" x14ac:dyDescent="0.2">
      <c r="B232" s="2"/>
      <c r="C232" s="2"/>
      <c r="D232" s="2"/>
      <c r="E232" s="2"/>
      <c r="F232" s="2"/>
      <c r="G232" s="2"/>
      <c r="H232" s="2"/>
      <c r="I232" s="28"/>
      <c r="J232" s="27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2:51" ht="15.75" customHeight="1" x14ac:dyDescent="0.2">
      <c r="B233" s="2"/>
      <c r="C233" s="2"/>
      <c r="D233" s="2"/>
      <c r="E233" s="2"/>
      <c r="F233" s="2"/>
      <c r="G233" s="2"/>
      <c r="H233" s="2"/>
      <c r="I233" s="28"/>
      <c r="J233" s="27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spans="2:51" ht="15.75" customHeight="1" x14ac:dyDescent="0.2">
      <c r="B234" s="2"/>
      <c r="C234" s="2"/>
      <c r="D234" s="2"/>
      <c r="E234" s="2"/>
      <c r="F234" s="2"/>
      <c r="G234" s="2"/>
      <c r="H234" s="2"/>
      <c r="I234" s="28"/>
      <c r="J234" s="27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spans="2:51" ht="15.75" customHeight="1" x14ac:dyDescent="0.2">
      <c r="B235" s="2"/>
      <c r="C235" s="2"/>
      <c r="D235" s="2"/>
      <c r="E235" s="2"/>
      <c r="F235" s="2"/>
      <c r="G235" s="2"/>
      <c r="H235" s="2"/>
      <c r="I235" s="28"/>
      <c r="J235" s="27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spans="2:51" ht="15.75" customHeight="1" x14ac:dyDescent="0.2">
      <c r="B236" s="2"/>
      <c r="C236" s="2"/>
      <c r="D236" s="2"/>
      <c r="E236" s="2"/>
      <c r="F236" s="2"/>
      <c r="G236" s="2"/>
      <c r="H236" s="2"/>
      <c r="I236" s="28"/>
      <c r="J236" s="27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spans="2:51" ht="15.75" customHeight="1" x14ac:dyDescent="0.2">
      <c r="B237" s="2"/>
      <c r="C237" s="2"/>
      <c r="D237" s="2"/>
      <c r="E237" s="2"/>
      <c r="F237" s="2"/>
      <c r="G237" s="2"/>
      <c r="H237" s="2"/>
      <c r="I237" s="28"/>
      <c r="J237" s="27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spans="2:51" ht="15.75" customHeight="1" x14ac:dyDescent="0.2">
      <c r="B238" s="2"/>
      <c r="C238" s="2"/>
      <c r="D238" s="2"/>
      <c r="E238" s="2"/>
      <c r="F238" s="2"/>
      <c r="G238" s="2"/>
      <c r="H238" s="2"/>
      <c r="I238" s="28"/>
      <c r="J238" s="27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spans="2:51" ht="15.75" customHeight="1" x14ac:dyDescent="0.2">
      <c r="B239" s="2"/>
      <c r="C239" s="2"/>
      <c r="D239" s="2"/>
      <c r="E239" s="2"/>
      <c r="F239" s="2"/>
      <c r="G239" s="2"/>
      <c r="H239" s="2"/>
      <c r="I239" s="28"/>
      <c r="J239" s="27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spans="2:51" ht="15.75" customHeight="1" x14ac:dyDescent="0.2">
      <c r="B240" s="2"/>
      <c r="C240" s="2"/>
      <c r="D240" s="2"/>
      <c r="E240" s="2"/>
      <c r="F240" s="2"/>
      <c r="G240" s="2"/>
      <c r="H240" s="2"/>
      <c r="I240" s="28"/>
      <c r="J240" s="27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spans="2:51" ht="15.75" customHeight="1" x14ac:dyDescent="0.2">
      <c r="B241" s="2"/>
      <c r="C241" s="2"/>
      <c r="D241" s="2"/>
      <c r="E241" s="2"/>
      <c r="F241" s="2"/>
      <c r="G241" s="2"/>
      <c r="H241" s="2"/>
      <c r="I241" s="28"/>
      <c r="J241" s="27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spans="2:51" ht="15.75" customHeight="1" x14ac:dyDescent="0.2">
      <c r="B242" s="2"/>
      <c r="C242" s="2"/>
      <c r="D242" s="2"/>
      <c r="E242" s="2"/>
      <c r="F242" s="2"/>
      <c r="G242" s="2"/>
      <c r="H242" s="2"/>
      <c r="I242" s="28"/>
      <c r="J242" s="27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spans="2:51" ht="15.75" customHeight="1" x14ac:dyDescent="0.2">
      <c r="B243" s="2"/>
      <c r="C243" s="2"/>
      <c r="D243" s="2"/>
      <c r="E243" s="2"/>
      <c r="F243" s="2"/>
      <c r="G243" s="2"/>
      <c r="H243" s="2"/>
      <c r="I243" s="28"/>
      <c r="J243" s="27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spans="2:51" ht="15.75" customHeight="1" x14ac:dyDescent="0.2">
      <c r="B244" s="2"/>
      <c r="C244" s="2"/>
      <c r="D244" s="2"/>
      <c r="E244" s="2"/>
      <c r="F244" s="2"/>
      <c r="G244" s="2"/>
      <c r="H244" s="2"/>
      <c r="I244" s="28"/>
      <c r="J244" s="27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spans="2:51" ht="15.75" customHeight="1" x14ac:dyDescent="0.2">
      <c r="B245" s="2"/>
      <c r="C245" s="2"/>
      <c r="D245" s="2"/>
      <c r="E245" s="2"/>
      <c r="F245" s="2"/>
      <c r="G245" s="2"/>
      <c r="H245" s="2"/>
      <c r="I245" s="28"/>
      <c r="J245" s="27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2:51" ht="15.75" customHeight="1" x14ac:dyDescent="0.2">
      <c r="B246" s="2"/>
      <c r="C246" s="2"/>
      <c r="D246" s="2"/>
      <c r="E246" s="2"/>
      <c r="F246" s="2"/>
      <c r="G246" s="2"/>
      <c r="H246" s="2"/>
      <c r="I246" s="28"/>
      <c r="J246" s="27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2:51" ht="15.75" customHeight="1" x14ac:dyDescent="0.2">
      <c r="B247" s="2"/>
      <c r="C247" s="2"/>
      <c r="D247" s="2"/>
      <c r="E247" s="2"/>
      <c r="F247" s="2"/>
      <c r="G247" s="2"/>
      <c r="H247" s="2"/>
      <c r="I247" s="28"/>
      <c r="J247" s="27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2:51" ht="15.75" customHeight="1" x14ac:dyDescent="0.2">
      <c r="B248" s="2"/>
      <c r="C248" s="2"/>
      <c r="D248" s="2"/>
      <c r="E248" s="2"/>
      <c r="F248" s="2"/>
      <c r="G248" s="2"/>
      <c r="H248" s="2"/>
      <c r="I248" s="28"/>
      <c r="J248" s="27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2:51" ht="15.75" customHeight="1" x14ac:dyDescent="0.2">
      <c r="B249" s="2"/>
      <c r="C249" s="2"/>
      <c r="D249" s="2"/>
      <c r="E249" s="2"/>
      <c r="F249" s="2"/>
      <c r="G249" s="2"/>
      <c r="H249" s="2"/>
      <c r="I249" s="28"/>
      <c r="J249" s="27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2:51" ht="15.75" customHeight="1" x14ac:dyDescent="0.2">
      <c r="B250" s="2"/>
      <c r="C250" s="2"/>
      <c r="D250" s="2"/>
      <c r="E250" s="2"/>
      <c r="F250" s="2"/>
      <c r="G250" s="2"/>
      <c r="H250" s="2"/>
      <c r="I250" s="28"/>
      <c r="J250" s="27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2:51" ht="15.75" customHeight="1" x14ac:dyDescent="0.2">
      <c r="B251" s="2"/>
      <c r="C251" s="2"/>
      <c r="D251" s="2"/>
      <c r="E251" s="2"/>
      <c r="F251" s="2"/>
      <c r="G251" s="2"/>
      <c r="H251" s="2"/>
      <c r="I251" s="28"/>
      <c r="J251" s="27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2:51" ht="15.75" customHeight="1" x14ac:dyDescent="0.2">
      <c r="B252" s="2"/>
      <c r="C252" s="2"/>
      <c r="D252" s="2"/>
      <c r="E252" s="2"/>
      <c r="F252" s="2"/>
      <c r="G252" s="2"/>
      <c r="H252" s="2"/>
      <c r="I252" s="28"/>
      <c r="J252" s="27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2:51" ht="15.75" customHeight="1" x14ac:dyDescent="0.2">
      <c r="B253" s="2"/>
      <c r="C253" s="2"/>
      <c r="D253" s="2"/>
      <c r="E253" s="2"/>
      <c r="F253" s="2"/>
      <c r="G253" s="2"/>
      <c r="H253" s="2"/>
      <c r="I253" s="28"/>
      <c r="J253" s="27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2:51" ht="15.75" customHeight="1" x14ac:dyDescent="0.2">
      <c r="B254" s="2"/>
      <c r="C254" s="2"/>
      <c r="D254" s="2"/>
      <c r="E254" s="2"/>
      <c r="F254" s="2"/>
      <c r="G254" s="2"/>
      <c r="H254" s="2"/>
      <c r="I254" s="28"/>
      <c r="J254" s="27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2:51" ht="15.75" customHeight="1" x14ac:dyDescent="0.2">
      <c r="B255" s="2"/>
      <c r="C255" s="2"/>
      <c r="D255" s="2"/>
      <c r="E255" s="2"/>
      <c r="F255" s="2"/>
      <c r="G255" s="2"/>
      <c r="H255" s="2"/>
      <c r="I255" s="28"/>
      <c r="J255" s="27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2:51" ht="15.75" customHeight="1" x14ac:dyDescent="0.2">
      <c r="B256" s="2"/>
      <c r="C256" s="2"/>
      <c r="D256" s="2"/>
      <c r="E256" s="2"/>
      <c r="F256" s="2"/>
      <c r="G256" s="2"/>
      <c r="H256" s="2"/>
      <c r="I256" s="28"/>
      <c r="J256" s="27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2:51" ht="15.75" customHeight="1" x14ac:dyDescent="0.2">
      <c r="B257" s="2"/>
      <c r="C257" s="2"/>
      <c r="D257" s="2"/>
      <c r="E257" s="2"/>
      <c r="F257" s="2"/>
      <c r="G257" s="2"/>
      <c r="H257" s="2"/>
      <c r="I257" s="28"/>
      <c r="J257" s="27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2:51" ht="15.75" customHeight="1" x14ac:dyDescent="0.2">
      <c r="B258" s="2"/>
      <c r="C258" s="2"/>
      <c r="D258" s="2"/>
      <c r="E258" s="2"/>
      <c r="F258" s="2"/>
      <c r="G258" s="2"/>
      <c r="H258" s="2"/>
      <c r="I258" s="28"/>
      <c r="J258" s="27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2:51" ht="15.75" customHeight="1" x14ac:dyDescent="0.2">
      <c r="B259" s="2"/>
      <c r="C259" s="2"/>
      <c r="D259" s="2"/>
      <c r="E259" s="2"/>
      <c r="F259" s="2"/>
      <c r="G259" s="2"/>
      <c r="H259" s="2"/>
      <c r="I259" s="28"/>
      <c r="J259" s="27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2:51" ht="15.75" customHeight="1" x14ac:dyDescent="0.2">
      <c r="B260" s="2"/>
      <c r="C260" s="2"/>
      <c r="D260" s="2"/>
      <c r="E260" s="2"/>
      <c r="F260" s="2"/>
      <c r="G260" s="2"/>
      <c r="H260" s="2"/>
      <c r="I260" s="28"/>
      <c r="J260" s="27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2:51" ht="15.75" customHeight="1" x14ac:dyDescent="0.2">
      <c r="B261" s="2"/>
      <c r="C261" s="2"/>
      <c r="D261" s="2"/>
      <c r="E261" s="2"/>
      <c r="F261" s="2"/>
      <c r="G261" s="2"/>
      <c r="H261" s="2"/>
      <c r="I261" s="28"/>
      <c r="J261" s="27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2:51" ht="15.75" customHeight="1" x14ac:dyDescent="0.2">
      <c r="B262" s="2"/>
      <c r="C262" s="2"/>
      <c r="D262" s="2"/>
      <c r="E262" s="2"/>
      <c r="F262" s="2"/>
      <c r="G262" s="2"/>
      <c r="H262" s="2"/>
      <c r="I262" s="28"/>
      <c r="J262" s="27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2:51" ht="15.75" customHeight="1" x14ac:dyDescent="0.2">
      <c r="B263" s="2"/>
      <c r="C263" s="2"/>
      <c r="D263" s="2"/>
      <c r="E263" s="2"/>
      <c r="F263" s="2"/>
      <c r="G263" s="2"/>
      <c r="H263" s="2"/>
      <c r="I263" s="28"/>
      <c r="J263" s="27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2:51" ht="15.75" customHeight="1" x14ac:dyDescent="0.2">
      <c r="B264" s="2"/>
      <c r="C264" s="2"/>
      <c r="D264" s="2"/>
      <c r="E264" s="2"/>
      <c r="F264" s="2"/>
      <c r="G264" s="2"/>
      <c r="H264" s="2"/>
      <c r="I264" s="28"/>
      <c r="J264" s="27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spans="2:51" ht="15.75" customHeight="1" x14ac:dyDescent="0.2">
      <c r="B265" s="2"/>
      <c r="C265" s="2"/>
      <c r="D265" s="2"/>
      <c r="E265" s="2"/>
      <c r="F265" s="2"/>
      <c r="G265" s="2"/>
      <c r="H265" s="2"/>
      <c r="I265" s="28"/>
      <c r="J265" s="27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spans="2:51" ht="15.75" customHeight="1" x14ac:dyDescent="0.2">
      <c r="B266" s="2"/>
      <c r="C266" s="2"/>
      <c r="D266" s="2"/>
      <c r="E266" s="2"/>
      <c r="F266" s="2"/>
      <c r="G266" s="2"/>
      <c r="H266" s="2"/>
      <c r="I266" s="28"/>
      <c r="J266" s="27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spans="2:51" ht="15.75" customHeight="1" x14ac:dyDescent="0.2">
      <c r="B267" s="2"/>
      <c r="C267" s="2"/>
      <c r="D267" s="2"/>
      <c r="E267" s="2"/>
      <c r="F267" s="2"/>
      <c r="G267" s="2"/>
      <c r="H267" s="2"/>
      <c r="I267" s="28"/>
      <c r="J267" s="27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spans="2:51" ht="15.75" customHeight="1" x14ac:dyDescent="0.2">
      <c r="B268" s="2"/>
      <c r="C268" s="2"/>
      <c r="D268" s="2"/>
      <c r="E268" s="2"/>
      <c r="F268" s="2"/>
      <c r="G268" s="2"/>
      <c r="H268" s="2"/>
      <c r="I268" s="28"/>
      <c r="J268" s="27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spans="2:51" ht="15.75" customHeight="1" x14ac:dyDescent="0.2">
      <c r="B269" s="2"/>
      <c r="C269" s="2"/>
      <c r="D269" s="2"/>
      <c r="E269" s="2"/>
      <c r="F269" s="2"/>
      <c r="G269" s="2"/>
      <c r="H269" s="2"/>
      <c r="I269" s="28"/>
      <c r="J269" s="27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spans="2:51" ht="15.75" customHeight="1" x14ac:dyDescent="0.2">
      <c r="B270" s="2"/>
      <c r="C270" s="2"/>
      <c r="D270" s="2"/>
      <c r="E270" s="2"/>
      <c r="F270" s="2"/>
      <c r="G270" s="2"/>
      <c r="H270" s="2"/>
      <c r="I270" s="28"/>
      <c r="J270" s="27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spans="2:51" ht="15.75" customHeight="1" x14ac:dyDescent="0.2">
      <c r="B271" s="2"/>
      <c r="C271" s="2"/>
      <c r="D271" s="2"/>
      <c r="E271" s="2"/>
      <c r="F271" s="2"/>
      <c r="G271" s="2"/>
      <c r="H271" s="2"/>
      <c r="I271" s="28"/>
      <c r="J271" s="27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spans="2:51" ht="15.75" customHeight="1" x14ac:dyDescent="0.2">
      <c r="B272" s="2"/>
      <c r="C272" s="2"/>
      <c r="D272" s="2"/>
      <c r="E272" s="2"/>
      <c r="F272" s="2"/>
      <c r="G272" s="2"/>
      <c r="H272" s="2"/>
      <c r="I272" s="28"/>
      <c r="J272" s="27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spans="2:51" ht="15.75" customHeight="1" x14ac:dyDescent="0.2">
      <c r="B273" s="2"/>
      <c r="C273" s="2"/>
      <c r="D273" s="2"/>
      <c r="E273" s="2"/>
      <c r="F273" s="2"/>
      <c r="G273" s="2"/>
      <c r="H273" s="2"/>
      <c r="I273" s="28"/>
      <c r="J273" s="27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spans="2:51" ht="15.75" customHeight="1" x14ac:dyDescent="0.2">
      <c r="B274" s="2"/>
      <c r="C274" s="2"/>
      <c r="D274" s="2"/>
      <c r="E274" s="2"/>
      <c r="F274" s="2"/>
      <c r="G274" s="2"/>
      <c r="H274" s="2"/>
      <c r="I274" s="28"/>
      <c r="J274" s="27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spans="2:51" ht="15.75" customHeight="1" x14ac:dyDescent="0.2">
      <c r="B275" s="2"/>
      <c r="C275" s="2"/>
      <c r="D275" s="2"/>
      <c r="E275" s="2"/>
      <c r="F275" s="2"/>
      <c r="G275" s="2"/>
      <c r="H275" s="2"/>
      <c r="I275" s="28"/>
      <c r="J275" s="27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spans="2:51" ht="15.75" customHeight="1" x14ac:dyDescent="0.2">
      <c r="B276" s="2"/>
      <c r="C276" s="2"/>
      <c r="D276" s="2"/>
      <c r="E276" s="2"/>
      <c r="F276" s="2"/>
      <c r="G276" s="2"/>
      <c r="H276" s="2"/>
      <c r="I276" s="28"/>
      <c r="J276" s="27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spans="2:51" ht="15.75" customHeight="1" x14ac:dyDescent="0.2">
      <c r="B277" s="2"/>
      <c r="C277" s="2"/>
      <c r="D277" s="2"/>
      <c r="E277" s="2"/>
      <c r="F277" s="2"/>
      <c r="G277" s="2"/>
      <c r="H277" s="2"/>
      <c r="I277" s="28"/>
      <c r="J277" s="27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spans="2:51" ht="15.75" customHeight="1" x14ac:dyDescent="0.2">
      <c r="B278" s="2"/>
      <c r="C278" s="2"/>
      <c r="D278" s="2"/>
      <c r="E278" s="2"/>
      <c r="F278" s="2"/>
      <c r="G278" s="2"/>
      <c r="H278" s="2"/>
      <c r="I278" s="28"/>
      <c r="J278" s="27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spans="2:51" ht="15.75" customHeight="1" x14ac:dyDescent="0.2">
      <c r="B279" s="2"/>
      <c r="C279" s="2"/>
      <c r="D279" s="2"/>
      <c r="E279" s="2"/>
      <c r="F279" s="2"/>
      <c r="G279" s="2"/>
      <c r="H279" s="2"/>
      <c r="I279" s="28"/>
      <c r="J279" s="27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spans="2:51" ht="15.75" customHeight="1" x14ac:dyDescent="0.2">
      <c r="B280" s="2"/>
      <c r="C280" s="2"/>
      <c r="D280" s="2"/>
      <c r="E280" s="2"/>
      <c r="F280" s="2"/>
      <c r="G280" s="2"/>
      <c r="H280" s="2"/>
      <c r="I280" s="28"/>
      <c r="J280" s="27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spans="2:51" ht="15.75" customHeight="1" x14ac:dyDescent="0.2">
      <c r="B281" s="2"/>
      <c r="C281" s="2"/>
      <c r="D281" s="2"/>
      <c r="E281" s="2"/>
      <c r="F281" s="2"/>
      <c r="G281" s="2"/>
      <c r="H281" s="2"/>
      <c r="I281" s="28"/>
      <c r="J281" s="27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spans="2:51" ht="15.75" customHeight="1" x14ac:dyDescent="0.2">
      <c r="B282" s="2"/>
      <c r="C282" s="2"/>
      <c r="D282" s="2"/>
      <c r="E282" s="2"/>
      <c r="F282" s="2"/>
      <c r="G282" s="2"/>
      <c r="H282" s="2"/>
      <c r="I282" s="28"/>
      <c r="J282" s="27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spans="2:51" ht="15.75" customHeight="1" x14ac:dyDescent="0.2">
      <c r="B283" s="2"/>
      <c r="C283" s="2"/>
      <c r="D283" s="2"/>
      <c r="E283" s="2"/>
      <c r="F283" s="2"/>
      <c r="G283" s="2"/>
      <c r="H283" s="2"/>
      <c r="I283" s="28"/>
      <c r="J283" s="27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spans="2:51" ht="15.75" customHeight="1" x14ac:dyDescent="0.2">
      <c r="B284" s="2"/>
      <c r="C284" s="2"/>
      <c r="D284" s="2"/>
      <c r="E284" s="2"/>
      <c r="F284" s="2"/>
      <c r="G284" s="2"/>
      <c r="H284" s="2"/>
      <c r="I284" s="28"/>
      <c r="J284" s="27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spans="2:51" ht="15.75" customHeight="1" x14ac:dyDescent="0.2">
      <c r="B285" s="2"/>
      <c r="C285" s="2"/>
      <c r="D285" s="2"/>
      <c r="E285" s="2"/>
      <c r="F285" s="2"/>
      <c r="G285" s="2"/>
      <c r="H285" s="2"/>
      <c r="I285" s="28"/>
      <c r="J285" s="27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spans="2:51" ht="15.75" customHeight="1" x14ac:dyDescent="0.2">
      <c r="B286" s="2"/>
      <c r="C286" s="2"/>
      <c r="D286" s="2"/>
      <c r="E286" s="2"/>
      <c r="F286" s="2"/>
      <c r="G286" s="2"/>
      <c r="H286" s="2"/>
      <c r="I286" s="28"/>
      <c r="J286" s="2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2:51" ht="15.75" customHeight="1" x14ac:dyDescent="0.2">
      <c r="B287" s="2"/>
      <c r="C287" s="2"/>
      <c r="D287" s="2"/>
      <c r="E287" s="2"/>
      <c r="F287" s="2"/>
      <c r="G287" s="2"/>
      <c r="H287" s="2"/>
      <c r="I287" s="28"/>
      <c r="J287" s="2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spans="2:51" ht="15.75" customHeight="1" x14ac:dyDescent="0.2">
      <c r="B288" s="2"/>
      <c r="C288" s="2"/>
      <c r="D288" s="2"/>
      <c r="E288" s="2"/>
      <c r="F288" s="2"/>
      <c r="G288" s="2"/>
      <c r="H288" s="2"/>
      <c r="I288" s="28"/>
      <c r="J288" s="2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spans="2:51" ht="15.75" customHeight="1" x14ac:dyDescent="0.2">
      <c r="B289" s="2"/>
      <c r="C289" s="2"/>
      <c r="D289" s="2"/>
      <c r="E289" s="2"/>
      <c r="F289" s="2"/>
      <c r="G289" s="2"/>
      <c r="H289" s="2"/>
      <c r="I289" s="28"/>
      <c r="J289" s="2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spans="2:51" ht="15.75" customHeight="1" x14ac:dyDescent="0.2">
      <c r="B290" s="2"/>
      <c r="C290" s="2"/>
      <c r="D290" s="2"/>
      <c r="E290" s="2"/>
      <c r="F290" s="2"/>
      <c r="G290" s="2"/>
      <c r="H290" s="2"/>
      <c r="I290" s="28"/>
      <c r="J290" s="2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spans="2:51" ht="15.75" customHeight="1" x14ac:dyDescent="0.2">
      <c r="B291" s="2"/>
      <c r="C291" s="2"/>
      <c r="D291" s="2"/>
      <c r="E291" s="2"/>
      <c r="F291" s="2"/>
      <c r="G291" s="2"/>
      <c r="H291" s="2"/>
      <c r="I291" s="28"/>
      <c r="J291" s="2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spans="2:51" ht="15.75" customHeight="1" x14ac:dyDescent="0.2">
      <c r="B292" s="2"/>
      <c r="C292" s="2"/>
      <c r="D292" s="2"/>
      <c r="E292" s="2"/>
      <c r="F292" s="2"/>
      <c r="G292" s="2"/>
      <c r="H292" s="2"/>
      <c r="I292" s="28"/>
      <c r="J292" s="2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spans="2:51" ht="15.75" customHeight="1" x14ac:dyDescent="0.2">
      <c r="B293" s="2"/>
      <c r="C293" s="2"/>
      <c r="D293" s="2"/>
      <c r="E293" s="2"/>
      <c r="F293" s="2"/>
      <c r="G293" s="2"/>
      <c r="H293" s="2"/>
      <c r="I293" s="28"/>
      <c r="J293" s="2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spans="2:51" ht="15.75" customHeight="1" x14ac:dyDescent="0.2">
      <c r="B294" s="2"/>
      <c r="C294" s="2"/>
      <c r="D294" s="2"/>
      <c r="E294" s="2"/>
      <c r="F294" s="2"/>
      <c r="G294" s="2"/>
      <c r="H294" s="2"/>
      <c r="I294" s="28"/>
      <c r="J294" s="2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spans="2:51" ht="15.75" customHeight="1" x14ac:dyDescent="0.2">
      <c r="B295" s="2"/>
      <c r="C295" s="2"/>
      <c r="D295" s="2"/>
      <c r="E295" s="2"/>
      <c r="F295" s="2"/>
      <c r="G295" s="2"/>
      <c r="H295" s="2"/>
      <c r="I295" s="28"/>
      <c r="J295" s="2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spans="2:51" ht="15.75" customHeight="1" x14ac:dyDescent="0.2">
      <c r="B296" s="2"/>
      <c r="C296" s="2"/>
      <c r="D296" s="2"/>
      <c r="E296" s="2"/>
      <c r="F296" s="2"/>
      <c r="G296" s="2"/>
      <c r="H296" s="2"/>
      <c r="I296" s="28"/>
      <c r="J296" s="2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spans="2:51" ht="15.75" customHeight="1" x14ac:dyDescent="0.2">
      <c r="B297" s="2"/>
      <c r="C297" s="2"/>
      <c r="D297" s="2"/>
      <c r="E297" s="2"/>
      <c r="F297" s="2"/>
      <c r="G297" s="2"/>
      <c r="H297" s="2"/>
      <c r="I297" s="28"/>
      <c r="J297" s="2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spans="2:51" ht="15.75" customHeight="1" x14ac:dyDescent="0.2">
      <c r="B298" s="2"/>
      <c r="C298" s="2"/>
      <c r="D298" s="2"/>
      <c r="E298" s="2"/>
      <c r="F298" s="2"/>
      <c r="G298" s="2"/>
      <c r="H298" s="2"/>
      <c r="I298" s="28"/>
      <c r="J298" s="2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spans="2:51" ht="15.75" customHeight="1" x14ac:dyDescent="0.2">
      <c r="B299" s="2"/>
      <c r="C299" s="2"/>
      <c r="D299" s="2"/>
      <c r="E299" s="2"/>
      <c r="F299" s="2"/>
      <c r="G299" s="2"/>
      <c r="H299" s="2"/>
      <c r="I299" s="28"/>
      <c r="J299" s="2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spans="2:51" ht="15.75" customHeight="1" x14ac:dyDescent="0.2">
      <c r="B300" s="2"/>
      <c r="C300" s="2"/>
      <c r="D300" s="2"/>
      <c r="E300" s="2"/>
      <c r="F300" s="2"/>
      <c r="G300" s="2"/>
      <c r="H300" s="2"/>
      <c r="I300" s="28"/>
      <c r="J300" s="2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spans="2:51" ht="15.75" customHeight="1" x14ac:dyDescent="0.2">
      <c r="B301" s="2"/>
      <c r="C301" s="2"/>
      <c r="D301" s="2"/>
      <c r="E301" s="2"/>
      <c r="F301" s="2"/>
      <c r="G301" s="2"/>
      <c r="H301" s="2"/>
      <c r="I301" s="28"/>
      <c r="J301" s="2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spans="2:51" ht="15.75" customHeight="1" x14ac:dyDescent="0.2">
      <c r="B302" s="2"/>
      <c r="C302" s="2"/>
      <c r="D302" s="2"/>
      <c r="E302" s="2"/>
      <c r="F302" s="2"/>
      <c r="G302" s="2"/>
      <c r="H302" s="2"/>
      <c r="I302" s="28"/>
      <c r="J302" s="2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spans="2:51" ht="15.75" customHeight="1" x14ac:dyDescent="0.2">
      <c r="B303" s="2"/>
      <c r="C303" s="2"/>
      <c r="D303" s="2"/>
      <c r="E303" s="2"/>
      <c r="F303" s="2"/>
      <c r="G303" s="2"/>
      <c r="H303" s="2"/>
      <c r="I303" s="28"/>
      <c r="J303" s="2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spans="2:51" ht="15.75" customHeight="1" x14ac:dyDescent="0.2">
      <c r="B304" s="2"/>
      <c r="C304" s="2"/>
      <c r="D304" s="2"/>
      <c r="E304" s="2"/>
      <c r="F304" s="2"/>
      <c r="G304" s="2"/>
      <c r="H304" s="2"/>
      <c r="I304" s="28"/>
      <c r="J304" s="2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2:51" ht="15.75" customHeight="1" x14ac:dyDescent="0.2">
      <c r="B305" s="2"/>
      <c r="C305" s="2"/>
      <c r="D305" s="2"/>
      <c r="E305" s="2"/>
      <c r="F305" s="2"/>
      <c r="G305" s="2"/>
      <c r="H305" s="2"/>
      <c r="I305" s="28"/>
      <c r="J305" s="2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spans="2:51" ht="15.75" customHeight="1" x14ac:dyDescent="0.2">
      <c r="B306" s="2"/>
      <c r="C306" s="2"/>
      <c r="D306" s="2"/>
      <c r="E306" s="2"/>
      <c r="F306" s="2"/>
      <c r="G306" s="2"/>
      <c r="H306" s="2"/>
      <c r="I306" s="28"/>
      <c r="J306" s="2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spans="2:51" ht="15.75" customHeight="1" x14ac:dyDescent="0.2">
      <c r="B307" s="2"/>
      <c r="C307" s="2"/>
      <c r="D307" s="2"/>
      <c r="E307" s="2"/>
      <c r="F307" s="2"/>
      <c r="G307" s="2"/>
      <c r="H307" s="2"/>
      <c r="I307" s="28"/>
      <c r="J307" s="2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spans="2:51" ht="15.75" customHeight="1" x14ac:dyDescent="0.2">
      <c r="B308" s="2"/>
      <c r="C308" s="2"/>
      <c r="D308" s="2"/>
      <c r="E308" s="2"/>
      <c r="F308" s="2"/>
      <c r="G308" s="2"/>
      <c r="H308" s="2"/>
      <c r="I308" s="28"/>
      <c r="J308" s="27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spans="2:51" ht="15.75" customHeight="1" x14ac:dyDescent="0.2">
      <c r="B309" s="2"/>
      <c r="C309" s="2"/>
      <c r="D309" s="2"/>
      <c r="E309" s="2"/>
      <c r="F309" s="2"/>
      <c r="G309" s="2"/>
      <c r="H309" s="2"/>
      <c r="I309" s="28"/>
      <c r="J309" s="27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spans="2:51" ht="15.75" customHeight="1" x14ac:dyDescent="0.2">
      <c r="B310" s="2"/>
      <c r="C310" s="2"/>
      <c r="D310" s="2"/>
      <c r="E310" s="2"/>
      <c r="F310" s="2"/>
      <c r="G310" s="2"/>
      <c r="H310" s="2"/>
      <c r="I310" s="28"/>
      <c r="J310" s="27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spans="2:51" ht="15.75" customHeight="1" x14ac:dyDescent="0.2">
      <c r="B311" s="2"/>
      <c r="C311" s="2"/>
      <c r="D311" s="2"/>
      <c r="E311" s="2"/>
      <c r="F311" s="2"/>
      <c r="G311" s="2"/>
      <c r="H311" s="2"/>
      <c r="I311" s="28"/>
      <c r="J311" s="27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spans="2:51" ht="15.75" customHeight="1" x14ac:dyDescent="0.2">
      <c r="B312" s="2"/>
      <c r="C312" s="2"/>
      <c r="D312" s="2"/>
      <c r="E312" s="2"/>
      <c r="F312" s="2"/>
      <c r="G312" s="2"/>
      <c r="H312" s="2"/>
      <c r="I312" s="28"/>
      <c r="J312" s="27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spans="2:51" ht="15.75" customHeight="1" x14ac:dyDescent="0.2">
      <c r="B313" s="2"/>
      <c r="C313" s="2"/>
      <c r="D313" s="2"/>
      <c r="E313" s="2"/>
      <c r="F313" s="2"/>
      <c r="G313" s="2"/>
      <c r="H313" s="2"/>
      <c r="I313" s="28"/>
      <c r="J313" s="27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spans="2:51" ht="15.75" customHeight="1" x14ac:dyDescent="0.2">
      <c r="B314" s="2"/>
      <c r="C314" s="2"/>
      <c r="D314" s="2"/>
      <c r="E314" s="2"/>
      <c r="F314" s="2"/>
      <c r="G314" s="2"/>
      <c r="H314" s="2"/>
      <c r="I314" s="28"/>
      <c r="J314" s="27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spans="2:51" ht="15.75" customHeight="1" x14ac:dyDescent="0.2">
      <c r="B315" s="2"/>
      <c r="C315" s="2"/>
      <c r="D315" s="2"/>
      <c r="E315" s="2"/>
      <c r="F315" s="2"/>
      <c r="G315" s="2"/>
      <c r="H315" s="2"/>
      <c r="I315" s="28"/>
      <c r="J315" s="27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spans="2:51" ht="15.75" customHeight="1" x14ac:dyDescent="0.2">
      <c r="B316" s="2"/>
      <c r="C316" s="2"/>
      <c r="D316" s="2"/>
      <c r="E316" s="2"/>
      <c r="F316" s="2"/>
      <c r="G316" s="2"/>
      <c r="H316" s="2"/>
      <c r="I316" s="28"/>
      <c r="J316" s="27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spans="2:51" ht="15.75" customHeight="1" x14ac:dyDescent="0.2">
      <c r="B317" s="2"/>
      <c r="C317" s="2"/>
      <c r="D317" s="2"/>
      <c r="E317" s="2"/>
      <c r="F317" s="2"/>
      <c r="G317" s="2"/>
      <c r="H317" s="2"/>
      <c r="I317" s="28"/>
      <c r="J317" s="27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spans="2:51" ht="15.75" customHeight="1" x14ac:dyDescent="0.2">
      <c r="B318" s="2"/>
      <c r="C318" s="2"/>
      <c r="D318" s="2"/>
      <c r="E318" s="2"/>
      <c r="F318" s="2"/>
      <c r="G318" s="2"/>
      <c r="H318" s="2"/>
      <c r="I318" s="28"/>
      <c r="J318" s="27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spans="2:51" ht="15.75" customHeight="1" x14ac:dyDescent="0.2">
      <c r="B319" s="2"/>
      <c r="C319" s="2"/>
      <c r="D319" s="2"/>
      <c r="E319" s="2"/>
      <c r="F319" s="2"/>
      <c r="G319" s="2"/>
      <c r="H319" s="2"/>
      <c r="I319" s="28"/>
      <c r="J319" s="27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spans="2:51" ht="15.75" customHeight="1" x14ac:dyDescent="0.2">
      <c r="B320" s="2"/>
      <c r="C320" s="2"/>
      <c r="D320" s="2"/>
      <c r="E320" s="2"/>
      <c r="F320" s="2"/>
      <c r="G320" s="2"/>
      <c r="H320" s="2"/>
      <c r="I320" s="28"/>
      <c r="J320" s="27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2:51" ht="15.75" customHeight="1" x14ac:dyDescent="0.2">
      <c r="B321" s="2"/>
      <c r="C321" s="2"/>
      <c r="D321" s="2"/>
      <c r="E321" s="2"/>
      <c r="F321" s="2"/>
      <c r="G321" s="2"/>
      <c r="H321" s="2"/>
      <c r="I321" s="28"/>
      <c r="J321" s="27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spans="2:51" ht="15.75" customHeight="1" x14ac:dyDescent="0.2">
      <c r="B322" s="2"/>
      <c r="C322" s="2"/>
      <c r="D322" s="2"/>
      <c r="E322" s="2"/>
      <c r="F322" s="2"/>
      <c r="G322" s="2"/>
      <c r="H322" s="2"/>
      <c r="I322" s="28"/>
      <c r="J322" s="27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2:51" ht="15.75" customHeight="1" x14ac:dyDescent="0.2">
      <c r="B323" s="2"/>
      <c r="C323" s="2"/>
      <c r="D323" s="2"/>
      <c r="E323" s="2"/>
      <c r="F323" s="2"/>
      <c r="G323" s="2"/>
      <c r="H323" s="2"/>
      <c r="I323" s="28"/>
      <c r="J323" s="27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spans="2:51" ht="15.75" customHeight="1" x14ac:dyDescent="0.2">
      <c r="B324" s="2"/>
      <c r="C324" s="2"/>
      <c r="D324" s="2"/>
      <c r="E324" s="2"/>
      <c r="F324" s="2"/>
      <c r="G324" s="2"/>
      <c r="H324" s="2"/>
      <c r="I324" s="28"/>
      <c r="J324" s="27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spans="2:51" ht="15.75" customHeight="1" x14ac:dyDescent="0.2">
      <c r="B325" s="2"/>
      <c r="C325" s="2"/>
      <c r="D325" s="2"/>
      <c r="E325" s="2"/>
      <c r="F325" s="2"/>
      <c r="G325" s="2"/>
      <c r="H325" s="2"/>
      <c r="I325" s="28"/>
      <c r="J325" s="27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spans="2:51" ht="15.75" customHeight="1" x14ac:dyDescent="0.2">
      <c r="B326" s="2"/>
      <c r="C326" s="2"/>
      <c r="D326" s="2"/>
      <c r="E326" s="2"/>
      <c r="F326" s="2"/>
      <c r="G326" s="2"/>
      <c r="H326" s="2"/>
      <c r="I326" s="28"/>
      <c r="J326" s="27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spans="2:51" ht="15.75" customHeight="1" x14ac:dyDescent="0.2">
      <c r="B327" s="2"/>
      <c r="C327" s="2"/>
      <c r="D327" s="2"/>
      <c r="E327" s="2"/>
      <c r="F327" s="2"/>
      <c r="G327" s="2"/>
      <c r="H327" s="2"/>
      <c r="I327" s="28"/>
      <c r="J327" s="27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spans="2:51" ht="15.75" customHeight="1" x14ac:dyDescent="0.2">
      <c r="B328" s="2"/>
      <c r="C328" s="2"/>
      <c r="D328" s="2"/>
      <c r="E328" s="2"/>
      <c r="F328" s="2"/>
      <c r="G328" s="2"/>
      <c r="H328" s="2"/>
      <c r="I328" s="28"/>
      <c r="J328" s="27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spans="2:51" ht="15.75" customHeight="1" x14ac:dyDescent="0.2">
      <c r="B329" s="2"/>
      <c r="C329" s="2"/>
      <c r="D329" s="2"/>
      <c r="E329" s="2"/>
      <c r="F329" s="2"/>
      <c r="G329" s="2"/>
      <c r="H329" s="2"/>
      <c r="I329" s="28"/>
      <c r="J329" s="27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spans="2:51" ht="15.75" customHeight="1" x14ac:dyDescent="0.2">
      <c r="B330" s="2"/>
      <c r="C330" s="2"/>
      <c r="D330" s="2"/>
      <c r="E330" s="2"/>
      <c r="F330" s="2"/>
      <c r="G330" s="2"/>
      <c r="H330" s="2"/>
      <c r="I330" s="28"/>
      <c r="J330" s="27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spans="2:51" ht="15.75" customHeight="1" x14ac:dyDescent="0.2">
      <c r="B331" s="2"/>
      <c r="C331" s="2"/>
      <c r="D331" s="2"/>
      <c r="E331" s="2"/>
      <c r="F331" s="2"/>
      <c r="G331" s="2"/>
      <c r="H331" s="2"/>
      <c r="I331" s="28"/>
      <c r="J331" s="27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spans="2:51" ht="15.75" customHeight="1" x14ac:dyDescent="0.2">
      <c r="B332" s="2"/>
      <c r="C332" s="2"/>
      <c r="D332" s="2"/>
      <c r="E332" s="2"/>
      <c r="F332" s="2"/>
      <c r="G332" s="2"/>
      <c r="H332" s="2"/>
      <c r="I332" s="28"/>
      <c r="J332" s="27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spans="2:51" ht="15.75" customHeight="1" x14ac:dyDescent="0.2">
      <c r="B333" s="2"/>
      <c r="C333" s="2"/>
      <c r="D333" s="2"/>
      <c r="E333" s="2"/>
      <c r="F333" s="2"/>
      <c r="G333" s="2"/>
      <c r="H333" s="2"/>
      <c r="I333" s="28"/>
      <c r="J333" s="27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spans="2:51" ht="15.75" customHeight="1" x14ac:dyDescent="0.2">
      <c r="B334" s="2"/>
      <c r="C334" s="2"/>
      <c r="D334" s="2"/>
      <c r="E334" s="2"/>
      <c r="F334" s="2"/>
      <c r="G334" s="2"/>
      <c r="H334" s="2"/>
      <c r="I334" s="28"/>
      <c r="J334" s="27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spans="2:51" ht="15.75" customHeight="1" x14ac:dyDescent="0.2">
      <c r="B335" s="2"/>
      <c r="C335" s="2"/>
      <c r="D335" s="2"/>
      <c r="E335" s="2"/>
      <c r="F335" s="2"/>
      <c r="G335" s="2"/>
      <c r="H335" s="2"/>
      <c r="I335" s="28"/>
      <c r="J335" s="27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spans="2:51" ht="15.75" customHeight="1" x14ac:dyDescent="0.2">
      <c r="B336" s="2"/>
      <c r="C336" s="2"/>
      <c r="D336" s="2"/>
      <c r="E336" s="2"/>
      <c r="F336" s="2"/>
      <c r="G336" s="2"/>
      <c r="H336" s="2"/>
      <c r="I336" s="28"/>
      <c r="J336" s="27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spans="2:51" ht="15.75" customHeight="1" x14ac:dyDescent="0.2">
      <c r="B337" s="2"/>
      <c r="C337" s="2"/>
      <c r="D337" s="2"/>
      <c r="E337" s="2"/>
      <c r="F337" s="2"/>
      <c r="G337" s="2"/>
      <c r="H337" s="2"/>
      <c r="I337" s="28"/>
      <c r="J337" s="27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spans="2:51" ht="15.75" customHeight="1" x14ac:dyDescent="0.2">
      <c r="B338" s="2"/>
      <c r="C338" s="2"/>
      <c r="D338" s="2"/>
      <c r="E338" s="2"/>
      <c r="F338" s="2"/>
      <c r="G338" s="2"/>
      <c r="H338" s="2"/>
      <c r="I338" s="28"/>
      <c r="J338" s="27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spans="2:51" ht="15.75" customHeight="1" x14ac:dyDescent="0.2">
      <c r="B339" s="2"/>
      <c r="C339" s="2"/>
      <c r="D339" s="2"/>
      <c r="E339" s="2"/>
      <c r="F339" s="2"/>
      <c r="G339" s="2"/>
      <c r="H339" s="2"/>
      <c r="I339" s="28"/>
      <c r="J339" s="27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spans="2:51" ht="15.75" customHeight="1" x14ac:dyDescent="0.2">
      <c r="B340" s="2"/>
      <c r="C340" s="2"/>
      <c r="D340" s="2"/>
      <c r="E340" s="2"/>
      <c r="F340" s="2"/>
      <c r="G340" s="2"/>
      <c r="H340" s="2"/>
      <c r="I340" s="28"/>
      <c r="J340" s="27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spans="2:51" ht="15.75" customHeight="1" x14ac:dyDescent="0.2">
      <c r="B341" s="2"/>
      <c r="C341" s="2"/>
      <c r="D341" s="2"/>
      <c r="E341" s="2"/>
      <c r="F341" s="2"/>
      <c r="G341" s="2"/>
      <c r="H341" s="2"/>
      <c r="I341" s="28"/>
      <c r="J341" s="27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spans="2:51" ht="15.75" customHeight="1" x14ac:dyDescent="0.2">
      <c r="B342" s="2"/>
      <c r="C342" s="2"/>
      <c r="D342" s="2"/>
      <c r="E342" s="2"/>
      <c r="F342" s="2"/>
      <c r="G342" s="2"/>
      <c r="H342" s="2"/>
      <c r="I342" s="28"/>
      <c r="J342" s="27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spans="2:51" ht="15.75" customHeight="1" x14ac:dyDescent="0.2">
      <c r="B343" s="2"/>
      <c r="C343" s="2"/>
      <c r="D343" s="2"/>
      <c r="E343" s="2"/>
      <c r="F343" s="2"/>
      <c r="G343" s="2"/>
      <c r="H343" s="2"/>
      <c r="I343" s="28"/>
      <c r="J343" s="27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spans="2:51" ht="15.75" customHeight="1" x14ac:dyDescent="0.2">
      <c r="B344" s="2"/>
      <c r="C344" s="2"/>
      <c r="D344" s="2"/>
      <c r="E344" s="2"/>
      <c r="F344" s="2"/>
      <c r="G344" s="2"/>
      <c r="H344" s="2"/>
      <c r="I344" s="28"/>
      <c r="J344" s="27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spans="2:51" ht="15.75" customHeight="1" x14ac:dyDescent="0.2">
      <c r="B345" s="2"/>
      <c r="C345" s="2"/>
      <c r="D345" s="2"/>
      <c r="E345" s="2"/>
      <c r="F345" s="2"/>
      <c r="G345" s="2"/>
      <c r="H345" s="2"/>
      <c r="I345" s="28"/>
      <c r="J345" s="27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spans="2:51" ht="15.75" customHeight="1" x14ac:dyDescent="0.2">
      <c r="B346" s="2"/>
      <c r="C346" s="2"/>
      <c r="D346" s="2"/>
      <c r="E346" s="2"/>
      <c r="F346" s="2"/>
      <c r="G346" s="2"/>
      <c r="H346" s="2"/>
      <c r="I346" s="28"/>
      <c r="J346" s="27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spans="2:51" ht="15.75" customHeight="1" x14ac:dyDescent="0.2">
      <c r="B347" s="2"/>
      <c r="C347" s="2"/>
      <c r="D347" s="2"/>
      <c r="E347" s="2"/>
      <c r="F347" s="2"/>
      <c r="G347" s="2"/>
      <c r="H347" s="2"/>
      <c r="I347" s="28"/>
      <c r="J347" s="2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spans="2:51" ht="15.75" customHeight="1" x14ac:dyDescent="0.2">
      <c r="B348" s="2"/>
      <c r="C348" s="2"/>
      <c r="D348" s="2"/>
      <c r="E348" s="2"/>
      <c r="F348" s="2"/>
      <c r="G348" s="2"/>
      <c r="H348" s="2"/>
      <c r="I348" s="28"/>
      <c r="J348" s="2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spans="2:51" ht="15.75" customHeight="1" x14ac:dyDescent="0.2">
      <c r="B349" s="2"/>
      <c r="C349" s="2"/>
      <c r="D349" s="2"/>
      <c r="E349" s="2"/>
      <c r="F349" s="2"/>
      <c r="G349" s="2"/>
      <c r="H349" s="2"/>
      <c r="I349" s="28"/>
      <c r="J349" s="2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spans="2:51" ht="15.75" customHeight="1" x14ac:dyDescent="0.2">
      <c r="B350" s="2"/>
      <c r="C350" s="2"/>
      <c r="D350" s="2"/>
      <c r="E350" s="2"/>
      <c r="F350" s="2"/>
      <c r="G350" s="2"/>
      <c r="H350" s="2"/>
      <c r="I350" s="28"/>
      <c r="J350" s="2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spans="2:51" ht="15.75" customHeight="1" x14ac:dyDescent="0.2">
      <c r="B351" s="2"/>
      <c r="C351" s="2"/>
      <c r="D351" s="2"/>
      <c r="E351" s="2"/>
      <c r="F351" s="2"/>
      <c r="G351" s="2"/>
      <c r="H351" s="2"/>
      <c r="I351" s="28"/>
      <c r="J351" s="2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spans="2:51" ht="15.75" customHeight="1" x14ac:dyDescent="0.2">
      <c r="B352" s="2"/>
      <c r="C352" s="2"/>
      <c r="D352" s="2"/>
      <c r="E352" s="2"/>
      <c r="F352" s="2"/>
      <c r="G352" s="2"/>
      <c r="H352" s="2"/>
      <c r="I352" s="28"/>
      <c r="J352" s="2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spans="2:51" ht="15.75" customHeight="1" x14ac:dyDescent="0.2">
      <c r="B353" s="2"/>
      <c r="C353" s="2"/>
      <c r="D353" s="2"/>
      <c r="E353" s="2"/>
      <c r="F353" s="2"/>
      <c r="G353" s="2"/>
      <c r="H353" s="2"/>
      <c r="I353" s="28"/>
      <c r="J353" s="2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2:51" ht="15.75" customHeight="1" x14ac:dyDescent="0.2">
      <c r="B354" s="2"/>
      <c r="C354" s="2"/>
      <c r="D354" s="2"/>
      <c r="E354" s="2"/>
      <c r="F354" s="2"/>
      <c r="G354" s="2"/>
      <c r="H354" s="2"/>
      <c r="I354" s="28"/>
      <c r="J354" s="2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spans="2:51" ht="15.75" customHeight="1" x14ac:dyDescent="0.2">
      <c r="B355" s="2"/>
      <c r="C355" s="2"/>
      <c r="D355" s="2"/>
      <c r="E355" s="2"/>
      <c r="F355" s="2"/>
      <c r="G355" s="2"/>
      <c r="H355" s="2"/>
      <c r="I355" s="28"/>
      <c r="J355" s="2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spans="2:51" ht="15.75" customHeight="1" x14ac:dyDescent="0.2">
      <c r="B356" s="2"/>
      <c r="C356" s="2"/>
      <c r="D356" s="2"/>
      <c r="E356" s="2"/>
      <c r="F356" s="2"/>
      <c r="G356" s="2"/>
      <c r="H356" s="2"/>
      <c r="I356" s="28"/>
      <c r="J356" s="2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spans="2:51" ht="15.75" customHeight="1" x14ac:dyDescent="0.2">
      <c r="B357" s="2"/>
      <c r="C357" s="2"/>
      <c r="D357" s="2"/>
      <c r="E357" s="2"/>
      <c r="F357" s="2"/>
      <c r="G357" s="2"/>
      <c r="H357" s="2"/>
      <c r="I357" s="28"/>
      <c r="J357" s="2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spans="2:51" ht="15.75" customHeight="1" x14ac:dyDescent="0.2">
      <c r="B358" s="2"/>
      <c r="C358" s="2"/>
      <c r="D358" s="2"/>
      <c r="E358" s="2"/>
      <c r="F358" s="2"/>
      <c r="G358" s="2"/>
      <c r="H358" s="2"/>
      <c r="I358" s="28"/>
      <c r="J358" s="2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2:51" ht="15.75" customHeight="1" x14ac:dyDescent="0.2">
      <c r="B359" s="2"/>
      <c r="C359" s="2"/>
      <c r="D359" s="2"/>
      <c r="E359" s="2"/>
      <c r="F359" s="2"/>
      <c r="G359" s="2"/>
      <c r="H359" s="2"/>
      <c r="I359" s="28"/>
      <c r="J359" s="2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spans="2:51" ht="15.75" customHeight="1" x14ac:dyDescent="0.2">
      <c r="B360" s="2"/>
      <c r="C360" s="2"/>
      <c r="D360" s="2"/>
      <c r="E360" s="2"/>
      <c r="F360" s="2"/>
      <c r="G360" s="2"/>
      <c r="H360" s="2"/>
      <c r="I360" s="28"/>
      <c r="J360" s="27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spans="2:51" ht="15.75" customHeight="1" x14ac:dyDescent="0.2">
      <c r="B361" s="2"/>
      <c r="C361" s="2"/>
      <c r="D361" s="2"/>
      <c r="E361" s="2"/>
      <c r="F361" s="2"/>
      <c r="G361" s="2"/>
      <c r="H361" s="2"/>
      <c r="I361" s="28"/>
      <c r="J361" s="27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spans="2:51" ht="15.75" customHeight="1" x14ac:dyDescent="0.2">
      <c r="B362" s="2"/>
      <c r="C362" s="2"/>
      <c r="D362" s="2"/>
      <c r="E362" s="2"/>
      <c r="F362" s="2"/>
      <c r="G362" s="2"/>
      <c r="H362" s="2"/>
      <c r="I362" s="28"/>
      <c r="J362" s="27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spans="2:51" ht="15.75" customHeight="1" x14ac:dyDescent="0.2">
      <c r="B363" s="2"/>
      <c r="C363" s="2"/>
      <c r="D363" s="2"/>
      <c r="E363" s="2"/>
      <c r="F363" s="2"/>
      <c r="G363" s="2"/>
      <c r="H363" s="2"/>
      <c r="I363" s="28"/>
      <c r="J363" s="27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spans="2:51" ht="15.75" customHeight="1" x14ac:dyDescent="0.2">
      <c r="B364" s="2"/>
      <c r="C364" s="2"/>
      <c r="D364" s="2"/>
      <c r="E364" s="2"/>
      <c r="F364" s="2"/>
      <c r="G364" s="2"/>
      <c r="H364" s="2"/>
      <c r="I364" s="28"/>
      <c r="J364" s="27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spans="2:51" ht="15.75" customHeight="1" x14ac:dyDescent="0.2">
      <c r="B365" s="2"/>
      <c r="C365" s="2"/>
      <c r="D365" s="2"/>
      <c r="E365" s="2"/>
      <c r="F365" s="2"/>
      <c r="G365" s="2"/>
      <c r="H365" s="2"/>
      <c r="I365" s="28"/>
      <c r="J365" s="27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spans="2:51" ht="15.75" customHeight="1" x14ac:dyDescent="0.2">
      <c r="B366" s="2"/>
      <c r="C366" s="2"/>
      <c r="D366" s="2"/>
      <c r="E366" s="2"/>
      <c r="F366" s="2"/>
      <c r="G366" s="2"/>
      <c r="H366" s="2"/>
      <c r="I366" s="28"/>
      <c r="J366" s="27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spans="2:51" ht="15.75" customHeight="1" x14ac:dyDescent="0.2">
      <c r="B367" s="2"/>
      <c r="C367" s="2"/>
      <c r="D367" s="2"/>
      <c r="E367" s="2"/>
      <c r="F367" s="2"/>
      <c r="G367" s="2"/>
      <c r="H367" s="2"/>
      <c r="I367" s="28"/>
      <c r="J367" s="27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spans="2:51" ht="15.75" customHeight="1" x14ac:dyDescent="0.2">
      <c r="B368" s="2"/>
      <c r="C368" s="2"/>
      <c r="D368" s="2"/>
      <c r="E368" s="2"/>
      <c r="F368" s="2"/>
      <c r="G368" s="2"/>
      <c r="H368" s="2"/>
      <c r="I368" s="28"/>
      <c r="J368" s="27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spans="2:51" ht="15.75" customHeight="1" x14ac:dyDescent="0.2">
      <c r="B369" s="2"/>
      <c r="C369" s="2"/>
      <c r="D369" s="2"/>
      <c r="E369" s="2"/>
      <c r="F369" s="2"/>
      <c r="G369" s="2"/>
      <c r="H369" s="2"/>
      <c r="I369" s="28"/>
      <c r="J369" s="27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spans="2:51" ht="15.75" customHeight="1" x14ac:dyDescent="0.2">
      <c r="B370" s="2"/>
      <c r="C370" s="2"/>
      <c r="D370" s="2"/>
      <c r="E370" s="2"/>
      <c r="F370" s="2"/>
      <c r="G370" s="2"/>
      <c r="H370" s="2"/>
      <c r="I370" s="28"/>
      <c r="J370" s="27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spans="2:51" ht="15.75" customHeight="1" x14ac:dyDescent="0.2">
      <c r="B371" s="2"/>
      <c r="C371" s="2"/>
      <c r="D371" s="2"/>
      <c r="E371" s="2"/>
      <c r="F371" s="2"/>
      <c r="G371" s="2"/>
      <c r="H371" s="2"/>
      <c r="I371" s="28"/>
      <c r="J371" s="27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spans="2:51" ht="15.75" customHeight="1" x14ac:dyDescent="0.2">
      <c r="B372" s="2"/>
      <c r="C372" s="2"/>
      <c r="D372" s="2"/>
      <c r="E372" s="2"/>
      <c r="F372" s="2"/>
      <c r="G372" s="2"/>
      <c r="H372" s="2"/>
      <c r="I372" s="28"/>
      <c r="J372" s="27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spans="2:51" ht="15.75" customHeight="1" x14ac:dyDescent="0.2">
      <c r="B373" s="2"/>
      <c r="C373" s="2"/>
      <c r="D373" s="2"/>
      <c r="E373" s="2"/>
      <c r="F373" s="2"/>
      <c r="G373" s="2"/>
      <c r="H373" s="2"/>
      <c r="I373" s="28"/>
      <c r="J373" s="27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spans="2:51" ht="15.75" customHeight="1" x14ac:dyDescent="0.2">
      <c r="B374" s="2"/>
      <c r="C374" s="2"/>
      <c r="D374" s="2"/>
      <c r="E374" s="2"/>
      <c r="F374" s="2"/>
      <c r="G374" s="2"/>
      <c r="H374" s="2"/>
      <c r="I374" s="28"/>
      <c r="J374" s="27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spans="2:51" ht="15.75" customHeight="1" x14ac:dyDescent="0.2">
      <c r="B375" s="2"/>
      <c r="C375" s="2"/>
      <c r="D375" s="2"/>
      <c r="E375" s="2"/>
      <c r="F375" s="2"/>
      <c r="G375" s="2"/>
      <c r="H375" s="2"/>
      <c r="I375" s="28"/>
      <c r="J375" s="27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  <row r="376" spans="2:51" ht="15.75" customHeight="1" x14ac:dyDescent="0.2">
      <c r="B376" s="2"/>
      <c r="C376" s="2"/>
      <c r="D376" s="2"/>
      <c r="E376" s="2"/>
      <c r="F376" s="2"/>
      <c r="G376" s="2"/>
      <c r="H376" s="2"/>
      <c r="I376" s="28"/>
      <c r="J376" s="2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</row>
    <row r="377" spans="2:51" ht="15.75" customHeight="1" x14ac:dyDescent="0.2">
      <c r="B377" s="2"/>
      <c r="C377" s="2"/>
      <c r="D377" s="2"/>
      <c r="E377" s="2"/>
      <c r="F377" s="2"/>
      <c r="G377" s="2"/>
      <c r="H377" s="2"/>
      <c r="I377" s="28"/>
      <c r="J377" s="2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</row>
    <row r="378" spans="2:51" ht="15.75" customHeight="1" x14ac:dyDescent="0.2">
      <c r="B378" s="2"/>
      <c r="C378" s="2"/>
      <c r="D378" s="2"/>
      <c r="E378" s="2"/>
      <c r="F378" s="2"/>
      <c r="G378" s="2"/>
      <c r="H378" s="2"/>
      <c r="I378" s="28"/>
      <c r="J378" s="27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</row>
    <row r="379" spans="2:51" ht="15.75" customHeight="1" x14ac:dyDescent="0.2">
      <c r="B379" s="2"/>
      <c r="C379" s="2"/>
      <c r="D379" s="2"/>
      <c r="E379" s="2"/>
      <c r="F379" s="2"/>
      <c r="G379" s="2"/>
      <c r="H379" s="2"/>
      <c r="I379" s="28"/>
      <c r="J379" s="27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</row>
    <row r="380" spans="2:51" ht="15.75" customHeight="1" x14ac:dyDescent="0.2">
      <c r="B380" s="2"/>
      <c r="C380" s="2"/>
      <c r="D380" s="2"/>
      <c r="E380" s="2"/>
      <c r="F380" s="2"/>
      <c r="G380" s="2"/>
      <c r="H380" s="2"/>
      <c r="I380" s="28"/>
      <c r="J380" s="27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</row>
    <row r="381" spans="2:51" ht="15.75" customHeight="1" x14ac:dyDescent="0.2">
      <c r="B381" s="2"/>
      <c r="C381" s="2"/>
      <c r="D381" s="2"/>
      <c r="E381" s="2"/>
      <c r="F381" s="2"/>
      <c r="G381" s="2"/>
      <c r="H381" s="2"/>
      <c r="I381" s="28"/>
      <c r="J381" s="27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</row>
    <row r="382" spans="2:51" ht="15.75" customHeight="1" x14ac:dyDescent="0.2">
      <c r="B382" s="2"/>
      <c r="C382" s="2"/>
      <c r="D382" s="2"/>
      <c r="E382" s="2"/>
      <c r="F382" s="2"/>
      <c r="G382" s="2"/>
      <c r="H382" s="2"/>
      <c r="I382" s="28"/>
      <c r="J382" s="27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</row>
    <row r="383" spans="2:51" ht="15.75" customHeight="1" x14ac:dyDescent="0.2">
      <c r="B383" s="2"/>
      <c r="C383" s="2"/>
      <c r="D383" s="2"/>
      <c r="E383" s="2"/>
      <c r="F383" s="2"/>
      <c r="G383" s="2"/>
      <c r="H383" s="2"/>
      <c r="I383" s="28"/>
      <c r="J383" s="27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</row>
    <row r="384" spans="2:51" ht="15.75" customHeight="1" x14ac:dyDescent="0.2">
      <c r="B384" s="2"/>
      <c r="C384" s="2"/>
      <c r="D384" s="2"/>
      <c r="E384" s="2"/>
      <c r="F384" s="2"/>
      <c r="G384" s="2"/>
      <c r="H384" s="2"/>
      <c r="I384" s="28"/>
      <c r="J384" s="27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</row>
    <row r="385" spans="2:51" ht="15.75" customHeight="1" x14ac:dyDescent="0.2">
      <c r="B385" s="2"/>
      <c r="C385" s="2"/>
      <c r="D385" s="2"/>
      <c r="E385" s="2"/>
      <c r="F385" s="2"/>
      <c r="G385" s="2"/>
      <c r="H385" s="2"/>
      <c r="I385" s="28"/>
      <c r="J385" s="27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</row>
    <row r="386" spans="2:51" ht="15.75" customHeight="1" x14ac:dyDescent="0.2">
      <c r="B386" s="2"/>
      <c r="C386" s="2"/>
      <c r="D386" s="2"/>
      <c r="E386" s="2"/>
      <c r="F386" s="2"/>
      <c r="G386" s="2"/>
      <c r="H386" s="2"/>
      <c r="I386" s="28"/>
      <c r="J386" s="2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</row>
    <row r="387" spans="2:51" ht="15.75" customHeight="1" x14ac:dyDescent="0.2">
      <c r="B387" s="2"/>
      <c r="C387" s="2"/>
      <c r="D387" s="2"/>
      <c r="E387" s="2"/>
      <c r="F387" s="2"/>
      <c r="G387" s="2"/>
      <c r="H387" s="2"/>
      <c r="I387" s="28"/>
      <c r="J387" s="2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</row>
    <row r="388" spans="2:51" ht="15.75" customHeight="1" x14ac:dyDescent="0.2">
      <c r="B388" s="2"/>
      <c r="C388" s="2"/>
      <c r="D388" s="2"/>
      <c r="E388" s="2"/>
      <c r="F388" s="2"/>
      <c r="G388" s="2"/>
      <c r="H388" s="2"/>
      <c r="I388" s="28"/>
      <c r="J388" s="27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</row>
    <row r="389" spans="2:51" ht="15.75" customHeight="1" x14ac:dyDescent="0.2">
      <c r="B389" s="2"/>
      <c r="C389" s="2"/>
      <c r="D389" s="2"/>
      <c r="E389" s="2"/>
      <c r="F389" s="2"/>
      <c r="G389" s="2"/>
      <c r="H389" s="2"/>
      <c r="I389" s="28"/>
      <c r="J389" s="2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</row>
    <row r="390" spans="2:51" ht="15.75" customHeight="1" x14ac:dyDescent="0.2">
      <c r="B390" s="2"/>
      <c r="C390" s="2"/>
      <c r="D390" s="2"/>
      <c r="E390" s="2"/>
      <c r="F390" s="2"/>
      <c r="G390" s="2"/>
      <c r="H390" s="2"/>
      <c r="I390" s="28"/>
      <c r="J390" s="2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</row>
    <row r="391" spans="2:51" ht="15.75" customHeight="1" x14ac:dyDescent="0.2">
      <c r="B391" s="2"/>
      <c r="C391" s="2"/>
      <c r="D391" s="2"/>
      <c r="E391" s="2"/>
      <c r="F391" s="2"/>
      <c r="G391" s="2"/>
      <c r="H391" s="2"/>
      <c r="I391" s="28"/>
      <c r="J391" s="2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</row>
    <row r="392" spans="2:51" ht="15.75" customHeight="1" x14ac:dyDescent="0.2">
      <c r="B392" s="2"/>
      <c r="C392" s="2"/>
      <c r="D392" s="2"/>
      <c r="E392" s="2"/>
      <c r="F392" s="2"/>
      <c r="G392" s="2"/>
      <c r="H392" s="2"/>
      <c r="I392" s="28"/>
      <c r="J392" s="27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</row>
    <row r="393" spans="2:51" ht="15.75" customHeight="1" x14ac:dyDescent="0.2">
      <c r="B393" s="2"/>
      <c r="C393" s="2"/>
      <c r="D393" s="2"/>
      <c r="E393" s="2"/>
      <c r="F393" s="2"/>
      <c r="G393" s="2"/>
      <c r="H393" s="2"/>
      <c r="I393" s="28"/>
      <c r="J393" s="27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spans="2:51" ht="15.75" customHeight="1" x14ac:dyDescent="0.2">
      <c r="B394" s="2"/>
      <c r="C394" s="2"/>
      <c r="D394" s="2"/>
      <c r="E394" s="2"/>
      <c r="F394" s="2"/>
      <c r="G394" s="2"/>
      <c r="H394" s="2"/>
      <c r="I394" s="28"/>
      <c r="J394" s="27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</row>
    <row r="395" spans="2:51" ht="15.75" customHeight="1" x14ac:dyDescent="0.2">
      <c r="B395" s="2"/>
      <c r="C395" s="2"/>
      <c r="D395" s="2"/>
      <c r="E395" s="2"/>
      <c r="F395" s="2"/>
      <c r="G395" s="2"/>
      <c r="H395" s="2"/>
      <c r="I395" s="28"/>
      <c r="J395" s="27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</row>
    <row r="396" spans="2:51" ht="15.75" customHeight="1" x14ac:dyDescent="0.2">
      <c r="B396" s="2"/>
      <c r="C396" s="2"/>
      <c r="D396" s="2"/>
      <c r="E396" s="2"/>
      <c r="F396" s="2"/>
      <c r="G396" s="2"/>
      <c r="H396" s="2"/>
      <c r="I396" s="28"/>
      <c r="J396" s="27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</row>
    <row r="397" spans="2:51" ht="15.75" customHeight="1" x14ac:dyDescent="0.2">
      <c r="B397" s="2"/>
      <c r="C397" s="2"/>
      <c r="D397" s="2"/>
      <c r="E397" s="2"/>
      <c r="F397" s="2"/>
      <c r="G397" s="2"/>
      <c r="H397" s="2"/>
      <c r="I397" s="28"/>
      <c r="J397" s="27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</row>
    <row r="398" spans="2:51" ht="15.75" customHeight="1" x14ac:dyDescent="0.2">
      <c r="B398" s="2"/>
      <c r="C398" s="2"/>
      <c r="D398" s="2"/>
      <c r="E398" s="2"/>
      <c r="F398" s="2"/>
      <c r="G398" s="2"/>
      <c r="H398" s="2"/>
      <c r="I398" s="28"/>
      <c r="J398" s="27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</row>
    <row r="399" spans="2:51" ht="15.75" customHeight="1" x14ac:dyDescent="0.2">
      <c r="B399" s="2"/>
      <c r="C399" s="2"/>
      <c r="D399" s="2"/>
      <c r="E399" s="2"/>
      <c r="F399" s="2"/>
      <c r="G399" s="2"/>
      <c r="H399" s="2"/>
      <c r="I399" s="28"/>
      <c r="J399" s="27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</row>
    <row r="400" spans="2:51" ht="15.75" customHeight="1" x14ac:dyDescent="0.2">
      <c r="B400" s="2"/>
      <c r="C400" s="2"/>
      <c r="D400" s="2"/>
      <c r="E400" s="2"/>
      <c r="F400" s="2"/>
      <c r="G400" s="2"/>
      <c r="H400" s="2"/>
      <c r="I400" s="28"/>
      <c r="J400" s="27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</row>
    <row r="401" spans="2:51" ht="15.75" customHeight="1" x14ac:dyDescent="0.2">
      <c r="B401" s="2"/>
      <c r="C401" s="2"/>
      <c r="D401" s="2"/>
      <c r="E401" s="2"/>
      <c r="F401" s="2"/>
      <c r="G401" s="2"/>
      <c r="H401" s="2"/>
      <c r="I401" s="28"/>
      <c r="J401" s="27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</row>
    <row r="402" spans="2:51" ht="15.75" customHeight="1" x14ac:dyDescent="0.2">
      <c r="B402" s="2"/>
      <c r="C402" s="2"/>
      <c r="D402" s="2"/>
      <c r="E402" s="2"/>
      <c r="F402" s="2"/>
      <c r="G402" s="2"/>
      <c r="H402" s="2"/>
      <c r="I402" s="28"/>
      <c r="J402" s="27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</row>
    <row r="403" spans="2:51" ht="15.75" customHeight="1" x14ac:dyDescent="0.2">
      <c r="B403" s="2"/>
      <c r="C403" s="2"/>
      <c r="D403" s="2"/>
      <c r="E403" s="2"/>
      <c r="F403" s="2"/>
      <c r="G403" s="2"/>
      <c r="H403" s="2"/>
      <c r="I403" s="28"/>
      <c r="J403" s="27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</row>
    <row r="404" spans="2:51" ht="15.75" customHeight="1" x14ac:dyDescent="0.2">
      <c r="B404" s="2"/>
      <c r="C404" s="2"/>
      <c r="D404" s="2"/>
      <c r="E404" s="2"/>
      <c r="F404" s="2"/>
      <c r="G404" s="2"/>
      <c r="H404" s="2"/>
      <c r="I404" s="28"/>
      <c r="J404" s="27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</row>
    <row r="405" spans="2:51" ht="15.75" customHeight="1" x14ac:dyDescent="0.2">
      <c r="B405" s="2"/>
      <c r="C405" s="2"/>
      <c r="D405" s="2"/>
      <c r="E405" s="2"/>
      <c r="F405" s="2"/>
      <c r="G405" s="2"/>
      <c r="H405" s="2"/>
      <c r="I405" s="28"/>
      <c r="J405" s="27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</row>
    <row r="406" spans="2:51" ht="15.75" customHeight="1" x14ac:dyDescent="0.2">
      <c r="B406" s="2"/>
      <c r="C406" s="2"/>
      <c r="D406" s="2"/>
      <c r="E406" s="2"/>
      <c r="F406" s="2"/>
      <c r="G406" s="2"/>
      <c r="H406" s="2"/>
      <c r="I406" s="28"/>
      <c r="J406" s="27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</row>
    <row r="407" spans="2:51" ht="15.75" customHeight="1" x14ac:dyDescent="0.2">
      <c r="B407" s="2"/>
      <c r="C407" s="2"/>
      <c r="D407" s="2"/>
      <c r="E407" s="2"/>
      <c r="F407" s="2"/>
      <c r="G407" s="2"/>
      <c r="H407" s="2"/>
      <c r="I407" s="28"/>
      <c r="J407" s="27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</row>
    <row r="408" spans="2:51" ht="15.75" customHeight="1" x14ac:dyDescent="0.2">
      <c r="B408" s="2"/>
      <c r="C408" s="2"/>
      <c r="D408" s="2"/>
      <c r="E408" s="2"/>
      <c r="F408" s="2"/>
      <c r="G408" s="2"/>
      <c r="H408" s="2"/>
      <c r="I408" s="28"/>
      <c r="J408" s="27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</row>
    <row r="409" spans="2:51" ht="15.75" customHeight="1" x14ac:dyDescent="0.2">
      <c r="B409" s="2"/>
      <c r="C409" s="2"/>
      <c r="D409" s="2"/>
      <c r="E409" s="2"/>
      <c r="F409" s="2"/>
      <c r="G409" s="2"/>
      <c r="H409" s="2"/>
      <c r="I409" s="28"/>
      <c r="J409" s="2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</row>
    <row r="410" spans="2:51" ht="15.75" customHeight="1" x14ac:dyDescent="0.2">
      <c r="B410" s="2"/>
      <c r="C410" s="2"/>
      <c r="D410" s="2"/>
      <c r="E410" s="2"/>
      <c r="F410" s="2"/>
      <c r="G410" s="2"/>
      <c r="H410" s="2"/>
      <c r="I410" s="28"/>
      <c r="J410" s="27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</row>
    <row r="411" spans="2:51" ht="15.75" customHeight="1" x14ac:dyDescent="0.2">
      <c r="B411" s="2"/>
      <c r="C411" s="2"/>
      <c r="D411" s="2"/>
      <c r="E411" s="2"/>
      <c r="F411" s="2"/>
      <c r="G411" s="2"/>
      <c r="H411" s="2"/>
      <c r="I411" s="28"/>
      <c r="J411" s="27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</row>
    <row r="412" spans="2:51" ht="15.75" customHeight="1" x14ac:dyDescent="0.2">
      <c r="B412" s="2"/>
      <c r="C412" s="2"/>
      <c r="D412" s="2"/>
      <c r="E412" s="2"/>
      <c r="F412" s="2"/>
      <c r="G412" s="2"/>
      <c r="H412" s="2"/>
      <c r="I412" s="28"/>
      <c r="J412" s="27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</row>
    <row r="413" spans="2:51" ht="15.75" customHeight="1" x14ac:dyDescent="0.2">
      <c r="B413" s="2"/>
      <c r="C413" s="2"/>
      <c r="D413" s="2"/>
      <c r="E413" s="2"/>
      <c r="F413" s="2"/>
      <c r="G413" s="2"/>
      <c r="H413" s="2"/>
      <c r="I413" s="28"/>
      <c r="J413" s="27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</row>
    <row r="414" spans="2:51" ht="15.75" customHeight="1" x14ac:dyDescent="0.2">
      <c r="B414" s="2"/>
      <c r="C414" s="2"/>
      <c r="D414" s="2"/>
      <c r="E414" s="2"/>
      <c r="F414" s="2"/>
      <c r="G414" s="2"/>
      <c r="H414" s="2"/>
      <c r="I414" s="28"/>
      <c r="J414" s="27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</row>
    <row r="415" spans="2:51" ht="15.75" customHeight="1" x14ac:dyDescent="0.2">
      <c r="B415" s="2"/>
      <c r="C415" s="2"/>
      <c r="D415" s="2"/>
      <c r="E415" s="2"/>
      <c r="F415" s="2"/>
      <c r="G415" s="2"/>
      <c r="H415" s="2"/>
      <c r="I415" s="28"/>
      <c r="J415" s="27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</row>
    <row r="416" spans="2:51" ht="15.75" customHeight="1" x14ac:dyDescent="0.2">
      <c r="B416" s="2"/>
      <c r="C416" s="2"/>
      <c r="D416" s="2"/>
      <c r="E416" s="2"/>
      <c r="F416" s="2"/>
      <c r="G416" s="2"/>
      <c r="H416" s="2"/>
      <c r="I416" s="28"/>
      <c r="J416" s="2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</row>
    <row r="417" spans="2:51" ht="15.75" customHeight="1" x14ac:dyDescent="0.2">
      <c r="B417" s="2"/>
      <c r="C417" s="2"/>
      <c r="D417" s="2"/>
      <c r="E417" s="2"/>
      <c r="F417" s="2"/>
      <c r="G417" s="2"/>
      <c r="H417" s="2"/>
      <c r="I417" s="28"/>
      <c r="J417" s="27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</row>
    <row r="418" spans="2:51" ht="15.75" customHeight="1" x14ac:dyDescent="0.2">
      <c r="B418" s="2"/>
      <c r="C418" s="2"/>
      <c r="D418" s="2"/>
      <c r="E418" s="2"/>
      <c r="F418" s="2"/>
      <c r="G418" s="2"/>
      <c r="H418" s="2"/>
      <c r="I418" s="28"/>
      <c r="J418" s="2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</row>
    <row r="419" spans="2:51" ht="15.75" customHeight="1" x14ac:dyDescent="0.2">
      <c r="B419" s="2"/>
      <c r="C419" s="2"/>
      <c r="D419" s="2"/>
      <c r="E419" s="2"/>
      <c r="F419" s="2"/>
      <c r="G419" s="2"/>
      <c r="H419" s="2"/>
      <c r="I419" s="28"/>
      <c r="J419" s="27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</row>
    <row r="420" spans="2:51" ht="15.75" customHeight="1" x14ac:dyDescent="0.2">
      <c r="B420" s="2"/>
      <c r="C420" s="2"/>
      <c r="D420" s="2"/>
      <c r="E420" s="2"/>
      <c r="F420" s="2"/>
      <c r="G420" s="2"/>
      <c r="H420" s="2"/>
      <c r="I420" s="28"/>
      <c r="J420" s="27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  <row r="421" spans="2:51" ht="15.75" customHeight="1" x14ac:dyDescent="0.2">
      <c r="B421" s="2"/>
      <c r="C421" s="2"/>
      <c r="D421" s="2"/>
      <c r="E421" s="2"/>
      <c r="F421" s="2"/>
      <c r="G421" s="2"/>
      <c r="H421" s="2"/>
      <c r="I421" s="28"/>
      <c r="J421" s="27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</row>
    <row r="422" spans="2:51" ht="15.75" customHeight="1" x14ac:dyDescent="0.2">
      <c r="B422" s="2"/>
      <c r="C422" s="2"/>
      <c r="D422" s="2"/>
      <c r="E422" s="2"/>
      <c r="F422" s="2"/>
      <c r="G422" s="2"/>
      <c r="H422" s="2"/>
      <c r="I422" s="28"/>
      <c r="J422" s="27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</row>
    <row r="423" spans="2:51" ht="15.75" customHeight="1" x14ac:dyDescent="0.2">
      <c r="B423" s="2"/>
      <c r="C423" s="2"/>
      <c r="D423" s="2"/>
      <c r="E423" s="2"/>
      <c r="F423" s="2"/>
      <c r="G423" s="2"/>
      <c r="H423" s="2"/>
      <c r="I423" s="28"/>
      <c r="J423" s="27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</row>
    <row r="424" spans="2:51" ht="15.75" customHeight="1" x14ac:dyDescent="0.2">
      <c r="B424" s="2"/>
      <c r="C424" s="2"/>
      <c r="D424" s="2"/>
      <c r="E424" s="2"/>
      <c r="F424" s="2"/>
      <c r="G424" s="2"/>
      <c r="H424" s="2"/>
      <c r="I424" s="28"/>
      <c r="J424" s="27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</row>
    <row r="425" spans="2:51" ht="15.75" customHeight="1" x14ac:dyDescent="0.2">
      <c r="B425" s="2"/>
      <c r="C425" s="2"/>
      <c r="D425" s="2"/>
      <c r="E425" s="2"/>
      <c r="F425" s="2"/>
      <c r="G425" s="2"/>
      <c r="H425" s="2"/>
      <c r="I425" s="28"/>
      <c r="J425" s="27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</row>
    <row r="426" spans="2:51" ht="15.75" customHeight="1" x14ac:dyDescent="0.2">
      <c r="B426" s="2"/>
      <c r="C426" s="2"/>
      <c r="D426" s="2"/>
      <c r="E426" s="2"/>
      <c r="F426" s="2"/>
      <c r="G426" s="2"/>
      <c r="H426" s="2"/>
      <c r="I426" s="28"/>
      <c r="J426" s="27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</row>
    <row r="427" spans="2:51" ht="15.75" customHeight="1" x14ac:dyDescent="0.2">
      <c r="B427" s="2"/>
      <c r="C427" s="2"/>
      <c r="D427" s="2"/>
      <c r="E427" s="2"/>
      <c r="F427" s="2"/>
      <c r="G427" s="2"/>
      <c r="H427" s="2"/>
      <c r="I427" s="28"/>
      <c r="J427" s="27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</row>
    <row r="428" spans="2:51" ht="15.75" customHeight="1" x14ac:dyDescent="0.2">
      <c r="B428" s="2"/>
      <c r="C428" s="2"/>
      <c r="D428" s="2"/>
      <c r="E428" s="2"/>
      <c r="F428" s="2"/>
      <c r="G428" s="2"/>
      <c r="H428" s="2"/>
      <c r="I428" s="28"/>
      <c r="J428" s="27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</row>
    <row r="429" spans="2:51" ht="15.75" customHeight="1" x14ac:dyDescent="0.2">
      <c r="B429" s="2"/>
      <c r="C429" s="2"/>
      <c r="D429" s="2"/>
      <c r="E429" s="2"/>
      <c r="F429" s="2"/>
      <c r="G429" s="2"/>
      <c r="H429" s="2"/>
      <c r="I429" s="28"/>
      <c r="J429" s="27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</row>
    <row r="430" spans="2:51" ht="15.75" customHeight="1" x14ac:dyDescent="0.2">
      <c r="B430" s="2"/>
      <c r="C430" s="2"/>
      <c r="D430" s="2"/>
      <c r="E430" s="2"/>
      <c r="F430" s="2"/>
      <c r="G430" s="2"/>
      <c r="H430" s="2"/>
      <c r="I430" s="28"/>
      <c r="J430" s="27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</row>
    <row r="431" spans="2:51" ht="15.75" customHeight="1" x14ac:dyDescent="0.2">
      <c r="B431" s="2"/>
      <c r="C431" s="2"/>
      <c r="D431" s="2"/>
      <c r="E431" s="2"/>
      <c r="F431" s="2"/>
      <c r="G431" s="2"/>
      <c r="H431" s="2"/>
      <c r="I431" s="28"/>
      <c r="J431" s="27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</row>
    <row r="432" spans="2:51" ht="15.75" customHeight="1" x14ac:dyDescent="0.2">
      <c r="B432" s="2"/>
      <c r="C432" s="2"/>
      <c r="D432" s="2"/>
      <c r="E432" s="2"/>
      <c r="F432" s="2"/>
      <c r="G432" s="2"/>
      <c r="H432" s="2"/>
      <c r="I432" s="28"/>
      <c r="J432" s="27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spans="2:51" ht="15.75" customHeight="1" x14ac:dyDescent="0.2">
      <c r="B433" s="2"/>
      <c r="C433" s="2"/>
      <c r="D433" s="2"/>
      <c r="E433" s="2"/>
      <c r="F433" s="2"/>
      <c r="G433" s="2"/>
      <c r="H433" s="2"/>
      <c r="I433" s="28"/>
      <c r="J433" s="27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</row>
    <row r="434" spans="2:51" ht="15.75" customHeight="1" x14ac:dyDescent="0.2">
      <c r="B434" s="2"/>
      <c r="C434" s="2"/>
      <c r="D434" s="2"/>
      <c r="E434" s="2"/>
      <c r="F434" s="2"/>
      <c r="G434" s="2"/>
      <c r="H434" s="2"/>
      <c r="I434" s="28"/>
      <c r="J434" s="27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spans="2:51" ht="15.75" customHeight="1" x14ac:dyDescent="0.2">
      <c r="B435" s="2"/>
      <c r="C435" s="2"/>
      <c r="D435" s="2"/>
      <c r="E435" s="2"/>
      <c r="F435" s="2"/>
      <c r="G435" s="2"/>
      <c r="H435" s="2"/>
      <c r="I435" s="28"/>
      <c r="J435" s="27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spans="2:51" ht="15.75" customHeight="1" x14ac:dyDescent="0.2">
      <c r="B436" s="2"/>
      <c r="C436" s="2"/>
      <c r="D436" s="2"/>
      <c r="E436" s="2"/>
      <c r="F436" s="2"/>
      <c r="G436" s="2"/>
      <c r="H436" s="2"/>
      <c r="I436" s="28"/>
      <c r="J436" s="27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spans="2:51" ht="15.75" customHeight="1" x14ac:dyDescent="0.2">
      <c r="B437" s="2"/>
      <c r="C437" s="2"/>
      <c r="D437" s="2"/>
      <c r="E437" s="2"/>
      <c r="F437" s="2"/>
      <c r="G437" s="2"/>
      <c r="H437" s="2"/>
      <c r="I437" s="28"/>
      <c r="J437" s="27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spans="2:51" ht="15.75" customHeight="1" x14ac:dyDescent="0.2">
      <c r="B438" s="2"/>
      <c r="C438" s="2"/>
      <c r="D438" s="2"/>
      <c r="E438" s="2"/>
      <c r="F438" s="2"/>
      <c r="G438" s="2"/>
      <c r="H438" s="2"/>
      <c r="I438" s="28"/>
      <c r="J438" s="27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spans="2:51" ht="15.75" customHeight="1" x14ac:dyDescent="0.2">
      <c r="B439" s="2"/>
      <c r="C439" s="2"/>
      <c r="D439" s="2"/>
      <c r="E439" s="2"/>
      <c r="F439" s="2"/>
      <c r="G439" s="2"/>
      <c r="H439" s="2"/>
      <c r="I439" s="28"/>
      <c r="J439" s="27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</row>
    <row r="440" spans="2:51" ht="15.75" customHeight="1" x14ac:dyDescent="0.2">
      <c r="B440" s="2"/>
      <c r="C440" s="2"/>
      <c r="D440" s="2"/>
      <c r="E440" s="2"/>
      <c r="F440" s="2"/>
      <c r="G440" s="2"/>
      <c r="H440" s="2"/>
      <c r="I440" s="28"/>
      <c r="J440" s="27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spans="2:51" ht="15.75" customHeight="1" x14ac:dyDescent="0.2">
      <c r="B441" s="2"/>
      <c r="C441" s="2"/>
      <c r="D441" s="2"/>
      <c r="E441" s="2"/>
      <c r="F441" s="2"/>
      <c r="G441" s="2"/>
      <c r="H441" s="2"/>
      <c r="I441" s="28"/>
      <c r="J441" s="27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</row>
    <row r="442" spans="2:51" ht="15.75" customHeight="1" x14ac:dyDescent="0.2">
      <c r="B442" s="2"/>
      <c r="C442" s="2"/>
      <c r="D442" s="2"/>
      <c r="E442" s="2"/>
      <c r="F442" s="2"/>
      <c r="G442" s="2"/>
      <c r="H442" s="2"/>
      <c r="I442" s="28"/>
      <c r="J442" s="27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</row>
    <row r="443" spans="2:51" ht="15.75" customHeight="1" x14ac:dyDescent="0.2">
      <c r="B443" s="2"/>
      <c r="C443" s="2"/>
      <c r="D443" s="2"/>
      <c r="E443" s="2"/>
      <c r="F443" s="2"/>
      <c r="G443" s="2"/>
      <c r="H443" s="2"/>
      <c r="I443" s="28"/>
      <c r="J443" s="27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</row>
    <row r="444" spans="2:51" ht="15.75" customHeight="1" x14ac:dyDescent="0.2">
      <c r="B444" s="2"/>
      <c r="C444" s="2"/>
      <c r="D444" s="2"/>
      <c r="E444" s="2"/>
      <c r="F444" s="2"/>
      <c r="G444" s="2"/>
      <c r="H444" s="2"/>
      <c r="I444" s="28"/>
      <c r="J444" s="27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spans="2:51" ht="15.75" customHeight="1" x14ac:dyDescent="0.2">
      <c r="B445" s="2"/>
      <c r="C445" s="2"/>
      <c r="D445" s="2"/>
      <c r="E445" s="2"/>
      <c r="F445" s="2"/>
      <c r="G445" s="2"/>
      <c r="H445" s="2"/>
      <c r="I445" s="28"/>
      <c r="J445" s="27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</row>
    <row r="446" spans="2:51" ht="15.75" customHeight="1" x14ac:dyDescent="0.2">
      <c r="B446" s="2"/>
      <c r="C446" s="2"/>
      <c r="D446" s="2"/>
      <c r="E446" s="2"/>
      <c r="F446" s="2"/>
      <c r="G446" s="2"/>
      <c r="H446" s="2"/>
      <c r="I446" s="28"/>
      <c r="J446" s="27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</row>
    <row r="447" spans="2:51" ht="15.75" customHeight="1" x14ac:dyDescent="0.2">
      <c r="B447" s="2"/>
      <c r="C447" s="2"/>
      <c r="D447" s="2"/>
      <c r="E447" s="2"/>
      <c r="F447" s="2"/>
      <c r="G447" s="2"/>
      <c r="H447" s="2"/>
      <c r="I447" s="28"/>
      <c r="J447" s="27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spans="2:51" ht="15.75" customHeight="1" x14ac:dyDescent="0.2">
      <c r="B448" s="2"/>
      <c r="C448" s="2"/>
      <c r="D448" s="2"/>
      <c r="E448" s="2"/>
      <c r="F448" s="2"/>
      <c r="G448" s="2"/>
      <c r="H448" s="2"/>
      <c r="I448" s="28"/>
      <c r="J448" s="2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spans="2:51" ht="15.75" customHeight="1" x14ac:dyDescent="0.2">
      <c r="B449" s="2"/>
      <c r="C449" s="2"/>
      <c r="D449" s="2"/>
      <c r="E449" s="2"/>
      <c r="F449" s="2"/>
      <c r="G449" s="2"/>
      <c r="H449" s="2"/>
      <c r="I449" s="28"/>
      <c r="J449" s="2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spans="2:51" ht="15.75" customHeight="1" x14ac:dyDescent="0.2">
      <c r="B450" s="2"/>
      <c r="C450" s="2"/>
      <c r="D450" s="2"/>
      <c r="E450" s="2"/>
      <c r="F450" s="2"/>
      <c r="G450" s="2"/>
      <c r="H450" s="2"/>
      <c r="I450" s="28"/>
      <c r="J450" s="2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spans="2:51" ht="15.75" customHeight="1" x14ac:dyDescent="0.2">
      <c r="B451" s="2"/>
      <c r="C451" s="2"/>
      <c r="D451" s="2"/>
      <c r="E451" s="2"/>
      <c r="F451" s="2"/>
      <c r="G451" s="2"/>
      <c r="H451" s="2"/>
      <c r="I451" s="28"/>
      <c r="J451" s="2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spans="2:51" ht="15.75" customHeight="1" x14ac:dyDescent="0.2">
      <c r="B452" s="2"/>
      <c r="C452" s="2"/>
      <c r="D452" s="2"/>
      <c r="E452" s="2"/>
      <c r="F452" s="2"/>
      <c r="G452" s="2"/>
      <c r="H452" s="2"/>
      <c r="I452" s="28"/>
      <c r="J452" s="27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</row>
    <row r="453" spans="2:51" ht="15.75" customHeight="1" x14ac:dyDescent="0.2">
      <c r="B453" s="2"/>
      <c r="C453" s="2"/>
      <c r="D453" s="2"/>
      <c r="E453" s="2"/>
      <c r="F453" s="2"/>
      <c r="G453" s="2"/>
      <c r="H453" s="2"/>
      <c r="I453" s="28"/>
      <c r="J453" s="27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</row>
    <row r="454" spans="2:51" ht="15.75" customHeight="1" x14ac:dyDescent="0.2">
      <c r="B454" s="2"/>
      <c r="C454" s="2"/>
      <c r="D454" s="2"/>
      <c r="E454" s="2"/>
      <c r="F454" s="2"/>
      <c r="G454" s="2"/>
      <c r="H454" s="2"/>
      <c r="I454" s="28"/>
      <c r="J454" s="27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spans="2:51" ht="15.75" customHeight="1" x14ac:dyDescent="0.2">
      <c r="B455" s="2"/>
      <c r="C455" s="2"/>
      <c r="D455" s="2"/>
      <c r="E455" s="2"/>
      <c r="F455" s="2"/>
      <c r="G455" s="2"/>
      <c r="H455" s="2"/>
      <c r="I455" s="28"/>
      <c r="J455" s="27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spans="2:51" ht="15.75" customHeight="1" x14ac:dyDescent="0.2">
      <c r="B456" s="2"/>
      <c r="C456" s="2"/>
      <c r="D456" s="2"/>
      <c r="E456" s="2"/>
      <c r="F456" s="2"/>
      <c r="G456" s="2"/>
      <c r="H456" s="2"/>
      <c r="I456" s="28"/>
      <c r="J456" s="27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spans="2:51" ht="15.75" customHeight="1" x14ac:dyDescent="0.2">
      <c r="B457" s="2"/>
      <c r="C457" s="2"/>
      <c r="D457" s="2"/>
      <c r="E457" s="2"/>
      <c r="F457" s="2"/>
      <c r="G457" s="2"/>
      <c r="H457" s="2"/>
      <c r="I457" s="28"/>
      <c r="J457" s="27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spans="2:51" ht="15.75" customHeight="1" x14ac:dyDescent="0.2">
      <c r="B458" s="2"/>
      <c r="C458" s="2"/>
      <c r="D458" s="2"/>
      <c r="E458" s="2"/>
      <c r="F458" s="2"/>
      <c r="G458" s="2"/>
      <c r="H458" s="2"/>
      <c r="I458" s="28"/>
      <c r="J458" s="27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</row>
    <row r="459" spans="2:51" ht="15.75" customHeight="1" x14ac:dyDescent="0.2">
      <c r="B459" s="2"/>
      <c r="C459" s="2"/>
      <c r="D459" s="2"/>
      <c r="E459" s="2"/>
      <c r="F459" s="2"/>
      <c r="G459" s="2"/>
      <c r="H459" s="2"/>
      <c r="I459" s="28"/>
      <c r="J459" s="27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spans="2:51" ht="15.75" customHeight="1" x14ac:dyDescent="0.2">
      <c r="B460" s="2"/>
      <c r="C460" s="2"/>
      <c r="D460" s="2"/>
      <c r="E460" s="2"/>
      <c r="F460" s="2"/>
      <c r="G460" s="2"/>
      <c r="H460" s="2"/>
      <c r="I460" s="28"/>
      <c r="J460" s="27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spans="2:51" ht="15.75" customHeight="1" x14ac:dyDescent="0.2">
      <c r="B461" s="2"/>
      <c r="C461" s="2"/>
      <c r="D461" s="2"/>
      <c r="E461" s="2"/>
      <c r="F461" s="2"/>
      <c r="G461" s="2"/>
      <c r="H461" s="2"/>
      <c r="I461" s="28"/>
      <c r="J461" s="2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</row>
    <row r="462" spans="2:51" ht="15.75" customHeight="1" x14ac:dyDescent="0.2">
      <c r="B462" s="2"/>
      <c r="C462" s="2"/>
      <c r="D462" s="2"/>
      <c r="E462" s="2"/>
      <c r="F462" s="2"/>
      <c r="G462" s="2"/>
      <c r="H462" s="2"/>
      <c r="I462" s="28"/>
      <c r="J462" s="2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spans="2:51" ht="15.75" customHeight="1" x14ac:dyDescent="0.2">
      <c r="B463" s="2"/>
      <c r="C463" s="2"/>
      <c r="D463" s="2"/>
      <c r="E463" s="2"/>
      <c r="F463" s="2"/>
      <c r="G463" s="2"/>
      <c r="H463" s="2"/>
      <c r="I463" s="28"/>
      <c r="J463" s="2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</row>
    <row r="464" spans="2:51" ht="15.75" customHeight="1" x14ac:dyDescent="0.2">
      <c r="B464" s="2"/>
      <c r="C464" s="2"/>
      <c r="D464" s="2"/>
      <c r="E464" s="2"/>
      <c r="F464" s="2"/>
      <c r="G464" s="2"/>
      <c r="H464" s="2"/>
      <c r="I464" s="28"/>
      <c r="J464" s="27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</row>
    <row r="465" spans="2:51" ht="15.75" customHeight="1" x14ac:dyDescent="0.2">
      <c r="B465" s="2"/>
      <c r="C465" s="2"/>
      <c r="D465" s="2"/>
      <c r="E465" s="2"/>
      <c r="F465" s="2"/>
      <c r="G465" s="2"/>
      <c r="H465" s="2"/>
      <c r="I465" s="28"/>
      <c r="J465" s="27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spans="2:51" ht="15.75" customHeight="1" x14ac:dyDescent="0.2">
      <c r="B466" s="2"/>
      <c r="C466" s="2"/>
      <c r="D466" s="2"/>
      <c r="E466" s="2"/>
      <c r="F466" s="2"/>
      <c r="G466" s="2"/>
      <c r="H466" s="2"/>
      <c r="I466" s="28"/>
      <c r="J466" s="27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spans="2:51" ht="15.75" customHeight="1" x14ac:dyDescent="0.2">
      <c r="B467" s="2"/>
      <c r="C467" s="2"/>
      <c r="D467" s="2"/>
      <c r="E467" s="2"/>
      <c r="F467" s="2"/>
      <c r="G467" s="2"/>
      <c r="H467" s="2"/>
      <c r="I467" s="28"/>
      <c r="J467" s="27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</row>
    <row r="468" spans="2:51" ht="15.75" customHeight="1" x14ac:dyDescent="0.2">
      <c r="B468" s="2"/>
      <c r="C468" s="2"/>
      <c r="D468" s="2"/>
      <c r="E468" s="2"/>
      <c r="F468" s="2"/>
      <c r="G468" s="2"/>
      <c r="H468" s="2"/>
      <c r="I468" s="28"/>
      <c r="J468" s="27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</row>
    <row r="469" spans="2:51" ht="15.75" customHeight="1" x14ac:dyDescent="0.2">
      <c r="B469" s="2"/>
      <c r="C469" s="2"/>
      <c r="D469" s="2"/>
      <c r="E469" s="2"/>
      <c r="F469" s="2"/>
      <c r="G469" s="2"/>
      <c r="H469" s="2"/>
      <c r="I469" s="28"/>
      <c r="J469" s="27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spans="2:51" ht="15.75" customHeight="1" x14ac:dyDescent="0.2">
      <c r="B470" s="2"/>
      <c r="C470" s="2"/>
      <c r="D470" s="2"/>
      <c r="E470" s="2"/>
      <c r="F470" s="2"/>
      <c r="G470" s="2"/>
      <c r="H470" s="2"/>
      <c r="I470" s="28"/>
      <c r="J470" s="27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</row>
    <row r="471" spans="2:51" ht="15.75" customHeight="1" x14ac:dyDescent="0.2">
      <c r="B471" s="2"/>
      <c r="C471" s="2"/>
      <c r="D471" s="2"/>
      <c r="E471" s="2"/>
      <c r="F471" s="2"/>
      <c r="G471" s="2"/>
      <c r="H471" s="2"/>
      <c r="I471" s="28"/>
      <c r="J471" s="27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spans="2:51" ht="15.75" customHeight="1" x14ac:dyDescent="0.2">
      <c r="B472" s="2"/>
      <c r="C472" s="2"/>
      <c r="D472" s="2"/>
      <c r="E472" s="2"/>
      <c r="F472" s="2"/>
      <c r="G472" s="2"/>
      <c r="H472" s="2"/>
      <c r="I472" s="28"/>
      <c r="J472" s="27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spans="2:51" ht="15.75" customHeight="1" x14ac:dyDescent="0.2">
      <c r="B473" s="2"/>
      <c r="C473" s="2"/>
      <c r="D473" s="2"/>
      <c r="E473" s="2"/>
      <c r="F473" s="2"/>
      <c r="G473" s="2"/>
      <c r="H473" s="2"/>
      <c r="I473" s="28"/>
      <c r="J473" s="2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spans="2:51" ht="15.75" customHeight="1" x14ac:dyDescent="0.2">
      <c r="B474" s="2"/>
      <c r="C474" s="2"/>
      <c r="D474" s="2"/>
      <c r="E474" s="2"/>
      <c r="F474" s="2"/>
      <c r="G474" s="2"/>
      <c r="H474" s="2"/>
      <c r="I474" s="28"/>
      <c r="J474" s="2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spans="2:51" ht="15.75" customHeight="1" x14ac:dyDescent="0.2">
      <c r="B475" s="2"/>
      <c r="C475" s="2"/>
      <c r="D475" s="2"/>
      <c r="E475" s="2"/>
      <c r="F475" s="2"/>
      <c r="G475" s="2"/>
      <c r="H475" s="2"/>
      <c r="I475" s="28"/>
      <c r="J475" s="2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spans="2:51" ht="15.75" customHeight="1" x14ac:dyDescent="0.2">
      <c r="B476" s="2"/>
      <c r="C476" s="2"/>
      <c r="D476" s="2"/>
      <c r="E476" s="2"/>
      <c r="F476" s="2"/>
      <c r="G476" s="2"/>
      <c r="H476" s="2"/>
      <c r="I476" s="28"/>
      <c r="J476" s="27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spans="2:51" ht="15.75" customHeight="1" x14ac:dyDescent="0.2">
      <c r="B477" s="2"/>
      <c r="C477" s="2"/>
      <c r="D477" s="2"/>
      <c r="E477" s="2"/>
      <c r="F477" s="2"/>
      <c r="G477" s="2"/>
      <c r="H477" s="2"/>
      <c r="I477" s="28"/>
      <c r="J477" s="27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spans="2:51" ht="15.75" customHeight="1" x14ac:dyDescent="0.2">
      <c r="B478" s="2"/>
      <c r="C478" s="2"/>
      <c r="D478" s="2"/>
      <c r="E478" s="2"/>
      <c r="F478" s="2"/>
      <c r="G478" s="2"/>
      <c r="H478" s="2"/>
      <c r="I478" s="28"/>
      <c r="J478" s="27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spans="2:51" ht="15.75" customHeight="1" x14ac:dyDescent="0.2">
      <c r="B479" s="2"/>
      <c r="C479" s="2"/>
      <c r="D479" s="2"/>
      <c r="E479" s="2"/>
      <c r="F479" s="2"/>
      <c r="G479" s="2"/>
      <c r="H479" s="2"/>
      <c r="I479" s="28"/>
      <c r="J479" s="27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</row>
    <row r="480" spans="2:51" ht="15.75" customHeight="1" x14ac:dyDescent="0.2">
      <c r="B480" s="2"/>
      <c r="C480" s="2"/>
      <c r="D480" s="2"/>
      <c r="E480" s="2"/>
      <c r="F480" s="2"/>
      <c r="G480" s="2"/>
      <c r="H480" s="2"/>
      <c r="I480" s="28"/>
      <c r="J480" s="27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</row>
    <row r="481" spans="2:51" ht="15.75" customHeight="1" x14ac:dyDescent="0.2">
      <c r="B481" s="2"/>
      <c r="C481" s="2"/>
      <c r="D481" s="2"/>
      <c r="E481" s="2"/>
      <c r="F481" s="2"/>
      <c r="G481" s="2"/>
      <c r="H481" s="2"/>
      <c r="I481" s="28"/>
      <c r="J481" s="27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spans="2:51" ht="15.75" customHeight="1" x14ac:dyDescent="0.2">
      <c r="B482" s="2"/>
      <c r="C482" s="2"/>
      <c r="D482" s="2"/>
      <c r="E482" s="2"/>
      <c r="F482" s="2"/>
      <c r="G482" s="2"/>
      <c r="H482" s="2"/>
      <c r="I482" s="28"/>
      <c r="J482" s="27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spans="2:51" ht="15.75" customHeight="1" x14ac:dyDescent="0.2">
      <c r="B483" s="2"/>
      <c r="C483" s="2"/>
      <c r="D483" s="2"/>
      <c r="E483" s="2"/>
      <c r="F483" s="2"/>
      <c r="G483" s="2"/>
      <c r="H483" s="2"/>
      <c r="I483" s="28"/>
      <c r="J483" s="27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spans="2:51" ht="15.75" customHeight="1" x14ac:dyDescent="0.2">
      <c r="B484" s="2"/>
      <c r="C484" s="2"/>
      <c r="D484" s="2"/>
      <c r="E484" s="2"/>
      <c r="F484" s="2"/>
      <c r="G484" s="2"/>
      <c r="H484" s="2"/>
      <c r="I484" s="28"/>
      <c r="J484" s="27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spans="2:51" ht="15.75" customHeight="1" x14ac:dyDescent="0.2">
      <c r="B485" s="2"/>
      <c r="C485" s="2"/>
      <c r="D485" s="2"/>
      <c r="E485" s="2"/>
      <c r="F485" s="2"/>
      <c r="G485" s="2"/>
      <c r="H485" s="2"/>
      <c r="I485" s="28"/>
      <c r="J485" s="27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</row>
    <row r="486" spans="2:51" ht="15.75" customHeight="1" x14ac:dyDescent="0.2">
      <c r="B486" s="2"/>
      <c r="C486" s="2"/>
      <c r="D486" s="2"/>
      <c r="E486" s="2"/>
      <c r="F486" s="2"/>
      <c r="G486" s="2"/>
      <c r="H486" s="2"/>
      <c r="I486" s="28"/>
      <c r="J486" s="27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</row>
    <row r="487" spans="2:51" ht="15.75" customHeight="1" x14ac:dyDescent="0.2">
      <c r="B487" s="2"/>
      <c r="C487" s="2"/>
      <c r="D487" s="2"/>
      <c r="E487" s="2"/>
      <c r="F487" s="2"/>
      <c r="G487" s="2"/>
      <c r="H487" s="2"/>
      <c r="I487" s="28"/>
      <c r="J487" s="27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spans="2:51" ht="15.75" customHeight="1" x14ac:dyDescent="0.2">
      <c r="B488" s="2"/>
      <c r="C488" s="2"/>
      <c r="D488" s="2"/>
      <c r="E488" s="2"/>
      <c r="F488" s="2"/>
      <c r="G488" s="2"/>
      <c r="H488" s="2"/>
      <c r="I488" s="28"/>
      <c r="J488" s="27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spans="2:51" ht="15.75" customHeight="1" x14ac:dyDescent="0.2">
      <c r="B489" s="2"/>
      <c r="C489" s="2"/>
      <c r="D489" s="2"/>
      <c r="E489" s="2"/>
      <c r="F489" s="2"/>
      <c r="G489" s="2"/>
      <c r="H489" s="2"/>
      <c r="I489" s="28"/>
      <c r="J489" s="27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spans="2:51" ht="15.75" customHeight="1" x14ac:dyDescent="0.2">
      <c r="B490" s="2"/>
      <c r="C490" s="2"/>
      <c r="D490" s="2"/>
      <c r="E490" s="2"/>
      <c r="F490" s="2"/>
      <c r="G490" s="2"/>
      <c r="H490" s="2"/>
      <c r="I490" s="28"/>
      <c r="J490" s="27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</row>
    <row r="491" spans="2:51" ht="15.75" customHeight="1" x14ac:dyDescent="0.2">
      <c r="B491" s="2"/>
      <c r="C491" s="2"/>
      <c r="D491" s="2"/>
      <c r="E491" s="2"/>
      <c r="F491" s="2"/>
      <c r="G491" s="2"/>
      <c r="H491" s="2"/>
      <c r="I491" s="28"/>
      <c r="J491" s="27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</row>
    <row r="492" spans="2:51" ht="15.75" customHeight="1" x14ac:dyDescent="0.2">
      <c r="B492" s="2"/>
      <c r="C492" s="2"/>
      <c r="D492" s="2"/>
      <c r="E492" s="2"/>
      <c r="F492" s="2"/>
      <c r="G492" s="2"/>
      <c r="H492" s="2"/>
      <c r="I492" s="28"/>
      <c r="J492" s="27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spans="2:51" ht="15.75" customHeight="1" x14ac:dyDescent="0.2">
      <c r="B493" s="2"/>
      <c r="C493" s="2"/>
      <c r="D493" s="2"/>
      <c r="E493" s="2"/>
      <c r="F493" s="2"/>
      <c r="G493" s="2"/>
      <c r="H493" s="2"/>
      <c r="I493" s="28"/>
      <c r="J493" s="27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</row>
    <row r="494" spans="2:51" ht="15.75" customHeight="1" x14ac:dyDescent="0.2">
      <c r="B494" s="2"/>
      <c r="C494" s="2"/>
      <c r="D494" s="2"/>
      <c r="E494" s="2"/>
      <c r="F494" s="2"/>
      <c r="G494" s="2"/>
      <c r="H494" s="2"/>
      <c r="I494" s="28"/>
      <c r="J494" s="27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spans="2:51" ht="15.75" customHeight="1" x14ac:dyDescent="0.2">
      <c r="B495" s="2"/>
      <c r="C495" s="2"/>
      <c r="D495" s="2"/>
      <c r="E495" s="2"/>
      <c r="F495" s="2"/>
      <c r="G495" s="2"/>
      <c r="H495" s="2"/>
      <c r="I495" s="28"/>
      <c r="J495" s="27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spans="2:51" ht="15.75" customHeight="1" x14ac:dyDescent="0.2">
      <c r="B496" s="2"/>
      <c r="C496" s="2"/>
      <c r="D496" s="2"/>
      <c r="E496" s="2"/>
      <c r="F496" s="2"/>
      <c r="G496" s="2"/>
      <c r="H496" s="2"/>
      <c r="I496" s="28"/>
      <c r="J496" s="27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spans="2:51" ht="15.75" customHeight="1" x14ac:dyDescent="0.2">
      <c r="B497" s="2"/>
      <c r="C497" s="2"/>
      <c r="D497" s="2"/>
      <c r="E497" s="2"/>
      <c r="F497" s="2"/>
      <c r="G497" s="2"/>
      <c r="H497" s="2"/>
      <c r="I497" s="28"/>
      <c r="J497" s="27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spans="2:51" ht="15.75" customHeight="1" x14ac:dyDescent="0.2">
      <c r="B498" s="2"/>
      <c r="C498" s="2"/>
      <c r="D498" s="2"/>
      <c r="E498" s="2"/>
      <c r="F498" s="2"/>
      <c r="G498" s="2"/>
      <c r="H498" s="2"/>
      <c r="I498" s="28"/>
      <c r="J498" s="27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spans="2:51" ht="15.75" customHeight="1" x14ac:dyDescent="0.2">
      <c r="B499" s="2"/>
      <c r="C499" s="2"/>
      <c r="D499" s="2"/>
      <c r="E499" s="2"/>
      <c r="F499" s="2"/>
      <c r="G499" s="2"/>
      <c r="H499" s="2"/>
      <c r="I499" s="28"/>
      <c r="J499" s="27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spans="2:51" ht="15.75" customHeight="1" x14ac:dyDescent="0.2">
      <c r="B500" s="2"/>
      <c r="C500" s="2"/>
      <c r="D500" s="2"/>
      <c r="E500" s="2"/>
      <c r="F500" s="2"/>
      <c r="G500" s="2"/>
      <c r="H500" s="2"/>
      <c r="I500" s="28"/>
      <c r="J500" s="27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</row>
    <row r="501" spans="2:51" ht="15.75" customHeight="1" x14ac:dyDescent="0.2">
      <c r="B501" s="2"/>
      <c r="C501" s="2"/>
      <c r="D501" s="2"/>
      <c r="E501" s="2"/>
      <c r="F501" s="2"/>
      <c r="G501" s="2"/>
      <c r="H501" s="2"/>
      <c r="I501" s="28"/>
      <c r="J501" s="27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spans="2:51" ht="15.75" customHeight="1" x14ac:dyDescent="0.2">
      <c r="B502" s="2"/>
      <c r="C502" s="2"/>
      <c r="D502" s="2"/>
      <c r="E502" s="2"/>
      <c r="F502" s="2"/>
      <c r="G502" s="2"/>
      <c r="H502" s="2"/>
      <c r="I502" s="28"/>
      <c r="J502" s="27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spans="2:51" ht="15.75" customHeight="1" x14ac:dyDescent="0.2">
      <c r="B503" s="2"/>
      <c r="C503" s="2"/>
      <c r="D503" s="2"/>
      <c r="E503" s="2"/>
      <c r="F503" s="2"/>
      <c r="G503" s="2"/>
      <c r="H503" s="2"/>
      <c r="I503" s="28"/>
      <c r="J503" s="27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spans="2:51" ht="15.75" customHeight="1" x14ac:dyDescent="0.2">
      <c r="B504" s="2"/>
      <c r="C504" s="2"/>
      <c r="D504" s="2"/>
      <c r="E504" s="2"/>
      <c r="F504" s="2"/>
      <c r="G504" s="2"/>
      <c r="H504" s="2"/>
      <c r="I504" s="28"/>
      <c r="J504" s="27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</row>
    <row r="505" spans="2:51" ht="15.75" customHeight="1" x14ac:dyDescent="0.2">
      <c r="B505" s="2"/>
      <c r="C505" s="2"/>
      <c r="D505" s="2"/>
      <c r="E505" s="2"/>
      <c r="F505" s="2"/>
      <c r="G505" s="2"/>
      <c r="H505" s="2"/>
      <c r="I505" s="28"/>
      <c r="J505" s="27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spans="2:51" ht="15.75" customHeight="1" x14ac:dyDescent="0.2">
      <c r="B506" s="2"/>
      <c r="C506" s="2"/>
      <c r="D506" s="2"/>
      <c r="E506" s="2"/>
      <c r="F506" s="2"/>
      <c r="G506" s="2"/>
      <c r="H506" s="2"/>
      <c r="I506" s="28"/>
      <c r="J506" s="2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spans="2:51" ht="15.75" customHeight="1" x14ac:dyDescent="0.2">
      <c r="B507" s="2"/>
      <c r="C507" s="2"/>
      <c r="D507" s="2"/>
      <c r="E507" s="2"/>
      <c r="F507" s="2"/>
      <c r="G507" s="2"/>
      <c r="H507" s="2"/>
      <c r="I507" s="28"/>
      <c r="J507" s="2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spans="2:51" ht="15.75" customHeight="1" x14ac:dyDescent="0.2">
      <c r="B508" s="2"/>
      <c r="C508" s="2"/>
      <c r="D508" s="2"/>
      <c r="E508" s="2"/>
      <c r="F508" s="2"/>
      <c r="G508" s="2"/>
      <c r="H508" s="2"/>
      <c r="I508" s="28"/>
      <c r="J508" s="27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spans="2:51" ht="15.75" customHeight="1" x14ac:dyDescent="0.2">
      <c r="B509" s="2"/>
      <c r="C509" s="2"/>
      <c r="D509" s="2"/>
      <c r="E509" s="2"/>
      <c r="F509" s="2"/>
      <c r="G509" s="2"/>
      <c r="H509" s="2"/>
      <c r="I509" s="28"/>
      <c r="J509" s="27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</row>
    <row r="510" spans="2:51" ht="15.75" customHeight="1" x14ac:dyDescent="0.2">
      <c r="B510" s="2"/>
      <c r="C510" s="2"/>
      <c r="D510" s="2"/>
      <c r="E510" s="2"/>
      <c r="F510" s="2"/>
      <c r="G510" s="2"/>
      <c r="H510" s="2"/>
      <c r="I510" s="28"/>
      <c r="J510" s="27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spans="2:51" ht="15.75" customHeight="1" x14ac:dyDescent="0.2">
      <c r="B511" s="2"/>
      <c r="C511" s="2"/>
      <c r="D511" s="2"/>
      <c r="E511" s="2"/>
      <c r="F511" s="2"/>
      <c r="G511" s="2"/>
      <c r="H511" s="2"/>
      <c r="I511" s="28"/>
      <c r="J511" s="27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spans="2:51" ht="15.75" customHeight="1" x14ac:dyDescent="0.2">
      <c r="B512" s="2"/>
      <c r="C512" s="2"/>
      <c r="D512" s="2"/>
      <c r="E512" s="2"/>
      <c r="F512" s="2"/>
      <c r="G512" s="2"/>
      <c r="H512" s="2"/>
      <c r="I512" s="28"/>
      <c r="J512" s="27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spans="2:51" ht="15.75" customHeight="1" x14ac:dyDescent="0.2">
      <c r="B513" s="2"/>
      <c r="C513" s="2"/>
      <c r="D513" s="2"/>
      <c r="E513" s="2"/>
      <c r="F513" s="2"/>
      <c r="G513" s="2"/>
      <c r="H513" s="2"/>
      <c r="I513" s="28"/>
      <c r="J513" s="27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</row>
    <row r="514" spans="2:51" ht="15.75" customHeight="1" x14ac:dyDescent="0.2">
      <c r="B514" s="2"/>
      <c r="C514" s="2"/>
      <c r="D514" s="2"/>
      <c r="E514" s="2"/>
      <c r="F514" s="2"/>
      <c r="G514" s="2"/>
      <c r="H514" s="2"/>
      <c r="I514" s="28"/>
      <c r="J514" s="27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</row>
    <row r="515" spans="2:51" ht="15.75" customHeight="1" x14ac:dyDescent="0.2">
      <c r="B515" s="2"/>
      <c r="C515" s="2"/>
      <c r="D515" s="2"/>
      <c r="E515" s="2"/>
      <c r="F515" s="2"/>
      <c r="G515" s="2"/>
      <c r="H515" s="2"/>
      <c r="I515" s="28"/>
      <c r="J515" s="27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</row>
    <row r="516" spans="2:51" ht="15.75" customHeight="1" x14ac:dyDescent="0.2">
      <c r="B516" s="2"/>
      <c r="C516" s="2"/>
      <c r="D516" s="2"/>
      <c r="E516" s="2"/>
      <c r="F516" s="2"/>
      <c r="G516" s="2"/>
      <c r="H516" s="2"/>
      <c r="I516" s="28"/>
      <c r="J516" s="27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spans="2:51" ht="15.75" customHeight="1" x14ac:dyDescent="0.2">
      <c r="B517" s="2"/>
      <c r="C517" s="2"/>
      <c r="D517" s="2"/>
      <c r="E517" s="2"/>
      <c r="F517" s="2"/>
      <c r="G517" s="2"/>
      <c r="H517" s="2"/>
      <c r="I517" s="28"/>
      <c r="J517" s="27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spans="2:51" ht="15.75" customHeight="1" x14ac:dyDescent="0.2">
      <c r="B518" s="2"/>
      <c r="C518" s="2"/>
      <c r="D518" s="2"/>
      <c r="E518" s="2"/>
      <c r="F518" s="2"/>
      <c r="G518" s="2"/>
      <c r="H518" s="2"/>
      <c r="I518" s="28"/>
      <c r="J518" s="27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</row>
    <row r="519" spans="2:51" ht="15.75" customHeight="1" x14ac:dyDescent="0.2">
      <c r="B519" s="2"/>
      <c r="C519" s="2"/>
      <c r="D519" s="2"/>
      <c r="E519" s="2"/>
      <c r="F519" s="2"/>
      <c r="G519" s="2"/>
      <c r="H519" s="2"/>
      <c r="I519" s="28"/>
      <c r="J519" s="27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spans="2:51" ht="15.75" customHeight="1" x14ac:dyDescent="0.2">
      <c r="B520" s="2"/>
      <c r="C520" s="2"/>
      <c r="D520" s="2"/>
      <c r="E520" s="2"/>
      <c r="F520" s="2"/>
      <c r="G520" s="2"/>
      <c r="H520" s="2"/>
      <c r="I520" s="28"/>
      <c r="J520" s="27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spans="2:51" ht="15.75" customHeight="1" x14ac:dyDescent="0.2">
      <c r="B521" s="2"/>
      <c r="C521" s="2"/>
      <c r="D521" s="2"/>
      <c r="E521" s="2"/>
      <c r="F521" s="2"/>
      <c r="G521" s="2"/>
      <c r="H521" s="2"/>
      <c r="I521" s="28"/>
      <c r="J521" s="27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spans="2:51" ht="15.75" customHeight="1" x14ac:dyDescent="0.2">
      <c r="B522" s="2"/>
      <c r="C522" s="2"/>
      <c r="D522" s="2"/>
      <c r="E522" s="2"/>
      <c r="F522" s="2"/>
      <c r="G522" s="2"/>
      <c r="H522" s="2"/>
      <c r="I522" s="28"/>
      <c r="J522" s="27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spans="2:51" ht="15.75" customHeight="1" x14ac:dyDescent="0.2">
      <c r="B523" s="2"/>
      <c r="C523" s="2"/>
      <c r="D523" s="2"/>
      <c r="E523" s="2"/>
      <c r="F523" s="2"/>
      <c r="G523" s="2"/>
      <c r="H523" s="2"/>
      <c r="I523" s="28"/>
      <c r="J523" s="27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</row>
    <row r="524" spans="2:51" ht="15.75" customHeight="1" x14ac:dyDescent="0.2">
      <c r="B524" s="2"/>
      <c r="C524" s="2"/>
      <c r="D524" s="2"/>
      <c r="E524" s="2"/>
      <c r="F524" s="2"/>
      <c r="G524" s="2"/>
      <c r="H524" s="2"/>
      <c r="I524" s="28"/>
      <c r="J524" s="27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</row>
    <row r="525" spans="2:51" ht="15.75" customHeight="1" x14ac:dyDescent="0.2">
      <c r="B525" s="2"/>
      <c r="C525" s="2"/>
      <c r="D525" s="2"/>
      <c r="E525" s="2"/>
      <c r="F525" s="2"/>
      <c r="G525" s="2"/>
      <c r="H525" s="2"/>
      <c r="I525" s="28"/>
      <c r="J525" s="27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</row>
    <row r="526" spans="2:51" ht="15.75" customHeight="1" x14ac:dyDescent="0.2">
      <c r="B526" s="2"/>
      <c r="C526" s="2"/>
      <c r="D526" s="2"/>
      <c r="E526" s="2"/>
      <c r="F526" s="2"/>
      <c r="G526" s="2"/>
      <c r="H526" s="2"/>
      <c r="I526" s="28"/>
      <c r="J526" s="27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spans="2:51" ht="15.75" customHeight="1" x14ac:dyDescent="0.2">
      <c r="B527" s="2"/>
      <c r="C527" s="2"/>
      <c r="D527" s="2"/>
      <c r="E527" s="2"/>
      <c r="F527" s="2"/>
      <c r="G527" s="2"/>
      <c r="H527" s="2"/>
      <c r="I527" s="28"/>
      <c r="J527" s="27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spans="2:51" ht="15.75" customHeight="1" x14ac:dyDescent="0.2">
      <c r="B528" s="2"/>
      <c r="C528" s="2"/>
      <c r="D528" s="2"/>
      <c r="E528" s="2"/>
      <c r="F528" s="2"/>
      <c r="G528" s="2"/>
      <c r="H528" s="2"/>
      <c r="I528" s="28"/>
      <c r="J528" s="27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spans="2:51" ht="15.75" customHeight="1" x14ac:dyDescent="0.2">
      <c r="B529" s="2"/>
      <c r="C529" s="2"/>
      <c r="D529" s="2"/>
      <c r="E529" s="2"/>
      <c r="F529" s="2"/>
      <c r="G529" s="2"/>
      <c r="H529" s="2"/>
      <c r="I529" s="28"/>
      <c r="J529" s="27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spans="2:51" ht="15.75" customHeight="1" x14ac:dyDescent="0.2">
      <c r="B530" s="2"/>
      <c r="C530" s="2"/>
      <c r="D530" s="2"/>
      <c r="E530" s="2"/>
      <c r="F530" s="2"/>
      <c r="G530" s="2"/>
      <c r="H530" s="2"/>
      <c r="I530" s="28"/>
      <c r="J530" s="27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</row>
    <row r="531" spans="2:51" ht="15.75" customHeight="1" x14ac:dyDescent="0.2">
      <c r="B531" s="2"/>
      <c r="C531" s="2"/>
      <c r="D531" s="2"/>
      <c r="E531" s="2"/>
      <c r="F531" s="2"/>
      <c r="G531" s="2"/>
      <c r="H531" s="2"/>
      <c r="I531" s="28"/>
      <c r="J531" s="27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spans="2:51" ht="15.75" customHeight="1" x14ac:dyDescent="0.2">
      <c r="B532" s="2"/>
      <c r="C532" s="2"/>
      <c r="D532" s="2"/>
      <c r="E532" s="2"/>
      <c r="F532" s="2"/>
      <c r="G532" s="2"/>
      <c r="H532" s="2"/>
      <c r="I532" s="28"/>
      <c r="J532" s="27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spans="2:51" ht="15.75" customHeight="1" x14ac:dyDescent="0.2">
      <c r="B533" s="2"/>
      <c r="C533" s="2"/>
      <c r="D533" s="2"/>
      <c r="E533" s="2"/>
      <c r="F533" s="2"/>
      <c r="G533" s="2"/>
      <c r="H533" s="2"/>
      <c r="I533" s="28"/>
      <c r="J533" s="27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spans="2:51" ht="15.75" customHeight="1" x14ac:dyDescent="0.2">
      <c r="B534" s="2"/>
      <c r="C534" s="2"/>
      <c r="D534" s="2"/>
      <c r="E534" s="2"/>
      <c r="F534" s="2"/>
      <c r="G534" s="2"/>
      <c r="H534" s="2"/>
      <c r="I534" s="28"/>
      <c r="J534" s="27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</row>
    <row r="535" spans="2:51" ht="15.75" customHeight="1" x14ac:dyDescent="0.2">
      <c r="B535" s="2"/>
      <c r="C535" s="2"/>
      <c r="D535" s="2"/>
      <c r="E535" s="2"/>
      <c r="F535" s="2"/>
      <c r="G535" s="2"/>
      <c r="H535" s="2"/>
      <c r="I535" s="28"/>
      <c r="J535" s="27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spans="2:51" ht="15.75" customHeight="1" x14ac:dyDescent="0.2">
      <c r="B536" s="2"/>
      <c r="C536" s="2"/>
      <c r="D536" s="2"/>
      <c r="E536" s="2"/>
      <c r="F536" s="2"/>
      <c r="G536" s="2"/>
      <c r="H536" s="2"/>
      <c r="I536" s="28"/>
      <c r="J536" s="27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</row>
    <row r="537" spans="2:51" ht="15.75" customHeight="1" x14ac:dyDescent="0.2">
      <c r="B537" s="2"/>
      <c r="C537" s="2"/>
      <c r="D537" s="2"/>
      <c r="E537" s="2"/>
      <c r="F537" s="2"/>
      <c r="G537" s="2"/>
      <c r="H537" s="2"/>
      <c r="I537" s="28"/>
      <c r="J537" s="27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</row>
    <row r="538" spans="2:51" ht="15.75" customHeight="1" x14ac:dyDescent="0.2">
      <c r="B538" s="2"/>
      <c r="C538" s="2"/>
      <c r="D538" s="2"/>
      <c r="E538" s="2"/>
      <c r="F538" s="2"/>
      <c r="G538" s="2"/>
      <c r="H538" s="2"/>
      <c r="I538" s="28"/>
      <c r="J538" s="27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spans="2:51" ht="15.75" customHeight="1" x14ac:dyDescent="0.2">
      <c r="B539" s="2"/>
      <c r="C539" s="2"/>
      <c r="D539" s="2"/>
      <c r="E539" s="2"/>
      <c r="F539" s="2"/>
      <c r="G539" s="2"/>
      <c r="H539" s="2"/>
      <c r="I539" s="28"/>
      <c r="J539" s="27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spans="2:51" ht="15.75" customHeight="1" x14ac:dyDescent="0.2">
      <c r="B540" s="2"/>
      <c r="C540" s="2"/>
      <c r="D540" s="2"/>
      <c r="E540" s="2"/>
      <c r="F540" s="2"/>
      <c r="G540" s="2"/>
      <c r="H540" s="2"/>
      <c r="I540" s="28"/>
      <c r="J540" s="27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</row>
    <row r="541" spans="2:51" ht="15.75" customHeight="1" x14ac:dyDescent="0.2">
      <c r="B541" s="2"/>
      <c r="C541" s="2"/>
      <c r="D541" s="2"/>
      <c r="E541" s="2"/>
      <c r="F541" s="2"/>
      <c r="G541" s="2"/>
      <c r="H541" s="2"/>
      <c r="I541" s="28"/>
      <c r="J541" s="27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spans="2:51" ht="15.75" customHeight="1" x14ac:dyDescent="0.2">
      <c r="B542" s="2"/>
      <c r="C542" s="2"/>
      <c r="D542" s="2"/>
      <c r="E542" s="2"/>
      <c r="F542" s="2"/>
      <c r="G542" s="2"/>
      <c r="H542" s="2"/>
      <c r="I542" s="28"/>
      <c r="J542" s="27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spans="2:51" ht="15.75" customHeight="1" x14ac:dyDescent="0.2">
      <c r="B543" s="2"/>
      <c r="C543" s="2"/>
      <c r="D543" s="2"/>
      <c r="E543" s="2"/>
      <c r="F543" s="2"/>
      <c r="G543" s="2"/>
      <c r="H543" s="2"/>
      <c r="I543" s="28"/>
      <c r="J543" s="27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spans="2:51" ht="15.75" customHeight="1" x14ac:dyDescent="0.2">
      <c r="B544" s="2"/>
      <c r="C544" s="2"/>
      <c r="D544" s="2"/>
      <c r="E544" s="2"/>
      <c r="F544" s="2"/>
      <c r="G544" s="2"/>
      <c r="H544" s="2"/>
      <c r="I544" s="28"/>
      <c r="J544" s="27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</row>
    <row r="545" spans="2:51" ht="15.75" customHeight="1" x14ac:dyDescent="0.2">
      <c r="B545" s="2"/>
      <c r="C545" s="2"/>
      <c r="D545" s="2"/>
      <c r="E545" s="2"/>
      <c r="F545" s="2"/>
      <c r="G545" s="2"/>
      <c r="H545" s="2"/>
      <c r="I545" s="28"/>
      <c r="J545" s="27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spans="2:51" ht="15.75" customHeight="1" x14ac:dyDescent="0.2">
      <c r="B546" s="2"/>
      <c r="C546" s="2"/>
      <c r="D546" s="2"/>
      <c r="E546" s="2"/>
      <c r="F546" s="2"/>
      <c r="G546" s="2"/>
      <c r="H546" s="2"/>
      <c r="I546" s="28"/>
      <c r="J546" s="27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spans="2:51" ht="15.75" customHeight="1" x14ac:dyDescent="0.2">
      <c r="B547" s="2"/>
      <c r="C547" s="2"/>
      <c r="D547" s="2"/>
      <c r="E547" s="2"/>
      <c r="F547" s="2"/>
      <c r="G547" s="2"/>
      <c r="H547" s="2"/>
      <c r="I547" s="28"/>
      <c r="J547" s="27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spans="2:51" ht="15.75" customHeight="1" x14ac:dyDescent="0.2">
      <c r="B548" s="2"/>
      <c r="C548" s="2"/>
      <c r="D548" s="2"/>
      <c r="E548" s="2"/>
      <c r="F548" s="2"/>
      <c r="G548" s="2"/>
      <c r="H548" s="2"/>
      <c r="I548" s="28"/>
      <c r="J548" s="27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</row>
    <row r="549" spans="2:51" ht="15.75" customHeight="1" x14ac:dyDescent="0.2">
      <c r="B549" s="2"/>
      <c r="C549" s="2"/>
      <c r="D549" s="2"/>
      <c r="E549" s="2"/>
      <c r="F549" s="2"/>
      <c r="G549" s="2"/>
      <c r="H549" s="2"/>
      <c r="I549" s="28"/>
      <c r="J549" s="27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</row>
    <row r="550" spans="2:51" ht="15.75" customHeight="1" x14ac:dyDescent="0.2">
      <c r="B550" s="2"/>
      <c r="C550" s="2"/>
      <c r="D550" s="2"/>
      <c r="E550" s="2"/>
      <c r="F550" s="2"/>
      <c r="G550" s="2"/>
      <c r="H550" s="2"/>
      <c r="I550" s="28"/>
      <c r="J550" s="27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spans="2:51" ht="15.75" customHeight="1" x14ac:dyDescent="0.2">
      <c r="B551" s="2"/>
      <c r="C551" s="2"/>
      <c r="D551" s="2"/>
      <c r="E551" s="2"/>
      <c r="F551" s="2"/>
      <c r="G551" s="2"/>
      <c r="H551" s="2"/>
      <c r="I551" s="28"/>
      <c r="J551" s="27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</row>
    <row r="552" spans="2:51" ht="15.75" customHeight="1" x14ac:dyDescent="0.2">
      <c r="B552" s="2"/>
      <c r="C552" s="2"/>
      <c r="D552" s="2"/>
      <c r="E552" s="2"/>
      <c r="F552" s="2"/>
      <c r="G552" s="2"/>
      <c r="H552" s="2"/>
      <c r="I552" s="28"/>
      <c r="J552" s="27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spans="2:51" ht="15.75" customHeight="1" x14ac:dyDescent="0.2">
      <c r="B553" s="2"/>
      <c r="C553" s="2"/>
      <c r="D553" s="2"/>
      <c r="E553" s="2"/>
      <c r="F553" s="2"/>
      <c r="G553" s="2"/>
      <c r="H553" s="2"/>
      <c r="I553" s="28"/>
      <c r="J553" s="27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</row>
    <row r="554" spans="2:51" ht="15.75" customHeight="1" x14ac:dyDescent="0.2">
      <c r="B554" s="2"/>
      <c r="C554" s="2"/>
      <c r="D554" s="2"/>
      <c r="E554" s="2"/>
      <c r="F554" s="2"/>
      <c r="G554" s="2"/>
      <c r="H554" s="2"/>
      <c r="I554" s="28"/>
      <c r="J554" s="27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spans="2:51" ht="15.75" customHeight="1" x14ac:dyDescent="0.2">
      <c r="B555" s="2"/>
      <c r="C555" s="2"/>
      <c r="D555" s="2"/>
      <c r="E555" s="2"/>
      <c r="F555" s="2"/>
      <c r="G555" s="2"/>
      <c r="H555" s="2"/>
      <c r="I555" s="28"/>
      <c r="J555" s="27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spans="2:51" ht="15.75" customHeight="1" x14ac:dyDescent="0.2">
      <c r="B556" s="2"/>
      <c r="C556" s="2"/>
      <c r="D556" s="2"/>
      <c r="E556" s="2"/>
      <c r="F556" s="2"/>
      <c r="G556" s="2"/>
      <c r="H556" s="2"/>
      <c r="I556" s="28"/>
      <c r="J556" s="27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</row>
    <row r="557" spans="2:51" ht="15.75" customHeight="1" x14ac:dyDescent="0.2">
      <c r="B557" s="2"/>
      <c r="C557" s="2"/>
      <c r="D557" s="2"/>
      <c r="E557" s="2"/>
      <c r="F557" s="2"/>
      <c r="G557" s="2"/>
      <c r="H557" s="2"/>
      <c r="I557" s="28"/>
      <c r="J557" s="27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spans="2:51" ht="15.75" customHeight="1" x14ac:dyDescent="0.2">
      <c r="B558" s="2"/>
      <c r="C558" s="2"/>
      <c r="D558" s="2"/>
      <c r="E558" s="2"/>
      <c r="F558" s="2"/>
      <c r="G558" s="2"/>
      <c r="H558" s="2"/>
      <c r="I558" s="28"/>
      <c r="J558" s="27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</row>
    <row r="559" spans="2:51" ht="15.75" customHeight="1" x14ac:dyDescent="0.2">
      <c r="B559" s="2"/>
      <c r="C559" s="2"/>
      <c r="D559" s="2"/>
      <c r="E559" s="2"/>
      <c r="F559" s="2"/>
      <c r="G559" s="2"/>
      <c r="H559" s="2"/>
      <c r="I559" s="28"/>
      <c r="J559" s="27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spans="2:51" ht="15.75" customHeight="1" x14ac:dyDescent="0.2">
      <c r="B560" s="2"/>
      <c r="C560" s="2"/>
      <c r="D560" s="2"/>
      <c r="E560" s="2"/>
      <c r="F560" s="2"/>
      <c r="G560" s="2"/>
      <c r="H560" s="2"/>
      <c r="I560" s="28"/>
      <c r="J560" s="27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spans="2:51" ht="15.75" customHeight="1" x14ac:dyDescent="0.2">
      <c r="B561" s="2"/>
      <c r="C561" s="2"/>
      <c r="D561" s="2"/>
      <c r="E561" s="2"/>
      <c r="F561" s="2"/>
      <c r="G561" s="2"/>
      <c r="H561" s="2"/>
      <c r="I561" s="28"/>
      <c r="J561" s="27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spans="2:51" ht="15.75" customHeight="1" x14ac:dyDescent="0.2">
      <c r="B562" s="2"/>
      <c r="C562" s="2"/>
      <c r="D562" s="2"/>
      <c r="E562" s="2"/>
      <c r="F562" s="2"/>
      <c r="G562" s="2"/>
      <c r="H562" s="2"/>
      <c r="I562" s="28"/>
      <c r="J562" s="27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</row>
    <row r="563" spans="2:51" ht="15.75" customHeight="1" x14ac:dyDescent="0.2">
      <c r="B563" s="2"/>
      <c r="C563" s="2"/>
      <c r="D563" s="2"/>
      <c r="E563" s="2"/>
      <c r="F563" s="2"/>
      <c r="G563" s="2"/>
      <c r="H563" s="2"/>
      <c r="I563" s="28"/>
      <c r="J563" s="27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</row>
    <row r="564" spans="2:51" ht="15.75" customHeight="1" x14ac:dyDescent="0.2">
      <c r="B564" s="2"/>
      <c r="C564" s="2"/>
      <c r="D564" s="2"/>
      <c r="E564" s="2"/>
      <c r="F564" s="2"/>
      <c r="G564" s="2"/>
      <c r="H564" s="2"/>
      <c r="I564" s="28"/>
      <c r="J564" s="27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spans="2:51" ht="15.75" customHeight="1" x14ac:dyDescent="0.2">
      <c r="B565" s="2"/>
      <c r="C565" s="2"/>
      <c r="D565" s="2"/>
      <c r="E565" s="2"/>
      <c r="F565" s="2"/>
      <c r="G565" s="2"/>
      <c r="H565" s="2"/>
      <c r="I565" s="28"/>
      <c r="J565" s="2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spans="2:51" ht="15.75" customHeight="1" x14ac:dyDescent="0.2">
      <c r="B566" s="2"/>
      <c r="C566" s="2"/>
      <c r="D566" s="2"/>
      <c r="E566" s="2"/>
      <c r="F566" s="2"/>
      <c r="G566" s="2"/>
      <c r="H566" s="2"/>
      <c r="I566" s="28"/>
      <c r="J566" s="2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spans="2:51" ht="15.75" customHeight="1" x14ac:dyDescent="0.2">
      <c r="B567" s="2"/>
      <c r="C567" s="2"/>
      <c r="D567" s="2"/>
      <c r="E567" s="2"/>
      <c r="F567" s="2"/>
      <c r="G567" s="2"/>
      <c r="H567" s="2"/>
      <c r="I567" s="28"/>
      <c r="J567" s="27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</row>
    <row r="568" spans="2:51" ht="15.75" customHeight="1" x14ac:dyDescent="0.2">
      <c r="B568" s="2"/>
      <c r="C568" s="2"/>
      <c r="D568" s="2"/>
      <c r="E568" s="2"/>
      <c r="F568" s="2"/>
      <c r="G568" s="2"/>
      <c r="H568" s="2"/>
      <c r="I568" s="28"/>
      <c r="J568" s="27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spans="2:51" ht="15.75" customHeight="1" x14ac:dyDescent="0.2">
      <c r="B569" s="2"/>
      <c r="C569" s="2"/>
      <c r="D569" s="2"/>
      <c r="E569" s="2"/>
      <c r="F569" s="2"/>
      <c r="G569" s="2"/>
      <c r="H569" s="2"/>
      <c r="I569" s="28"/>
      <c r="J569" s="27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spans="2:51" ht="15.75" customHeight="1" x14ac:dyDescent="0.2">
      <c r="B570" s="2"/>
      <c r="C570" s="2"/>
      <c r="D570" s="2"/>
      <c r="E570" s="2"/>
      <c r="F570" s="2"/>
      <c r="G570" s="2"/>
      <c r="H570" s="2"/>
      <c r="I570" s="28"/>
      <c r="J570" s="27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spans="2:51" ht="15.75" customHeight="1" x14ac:dyDescent="0.2">
      <c r="B571" s="2"/>
      <c r="C571" s="2"/>
      <c r="D571" s="2"/>
      <c r="E571" s="2"/>
      <c r="F571" s="2"/>
      <c r="G571" s="2"/>
      <c r="H571" s="2"/>
      <c r="I571" s="28"/>
      <c r="J571" s="27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spans="2:51" ht="15.75" customHeight="1" x14ac:dyDescent="0.2">
      <c r="B572" s="2"/>
      <c r="C572" s="2"/>
      <c r="D572" s="2"/>
      <c r="E572" s="2"/>
      <c r="F572" s="2"/>
      <c r="G572" s="2"/>
      <c r="H572" s="2"/>
      <c r="I572" s="28"/>
      <c r="J572" s="27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spans="2:51" ht="15.75" customHeight="1" x14ac:dyDescent="0.2">
      <c r="B573" s="2"/>
      <c r="C573" s="2"/>
      <c r="D573" s="2"/>
      <c r="E573" s="2"/>
      <c r="F573" s="2"/>
      <c r="G573" s="2"/>
      <c r="H573" s="2"/>
      <c r="I573" s="28"/>
      <c r="J573" s="27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spans="2:51" ht="15.75" customHeight="1" x14ac:dyDescent="0.2">
      <c r="B574" s="2"/>
      <c r="C574" s="2"/>
      <c r="D574" s="2"/>
      <c r="E574" s="2"/>
      <c r="F574" s="2"/>
      <c r="G574" s="2"/>
      <c r="H574" s="2"/>
      <c r="I574" s="28"/>
      <c r="J574" s="27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spans="2:51" ht="15.75" customHeight="1" x14ac:dyDescent="0.2">
      <c r="B575" s="2"/>
      <c r="C575" s="2"/>
      <c r="D575" s="2"/>
      <c r="E575" s="2"/>
      <c r="F575" s="2"/>
      <c r="G575" s="2"/>
      <c r="H575" s="2"/>
      <c r="I575" s="28"/>
      <c r="J575" s="27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</row>
    <row r="576" spans="2:51" ht="15.75" customHeight="1" x14ac:dyDescent="0.2">
      <c r="B576" s="2"/>
      <c r="C576" s="2"/>
      <c r="D576" s="2"/>
      <c r="E576" s="2"/>
      <c r="F576" s="2"/>
      <c r="G576" s="2"/>
      <c r="H576" s="2"/>
      <c r="I576" s="28"/>
      <c r="J576" s="27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spans="2:51" ht="15.75" customHeight="1" x14ac:dyDescent="0.2">
      <c r="B577" s="2"/>
      <c r="C577" s="2"/>
      <c r="D577" s="2"/>
      <c r="E577" s="2"/>
      <c r="F577" s="2"/>
      <c r="G577" s="2"/>
      <c r="H577" s="2"/>
      <c r="I577" s="28"/>
      <c r="J577" s="27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</row>
    <row r="578" spans="2:51" ht="15.75" customHeight="1" x14ac:dyDescent="0.2">
      <c r="B578" s="2"/>
      <c r="C578" s="2"/>
      <c r="D578" s="2"/>
      <c r="E578" s="2"/>
      <c r="F578" s="2"/>
      <c r="G578" s="2"/>
      <c r="H578" s="2"/>
      <c r="I578" s="28"/>
      <c r="J578" s="27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spans="2:51" ht="15.75" customHeight="1" x14ac:dyDescent="0.2">
      <c r="B579" s="2"/>
      <c r="C579" s="2"/>
      <c r="D579" s="2"/>
      <c r="E579" s="2"/>
      <c r="F579" s="2"/>
      <c r="G579" s="2"/>
      <c r="H579" s="2"/>
      <c r="I579" s="28"/>
      <c r="J579" s="27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</row>
    <row r="580" spans="2:51" ht="15.75" customHeight="1" x14ac:dyDescent="0.2">
      <c r="B580" s="2"/>
      <c r="C580" s="2"/>
      <c r="D580" s="2"/>
      <c r="E580" s="2"/>
      <c r="F580" s="2"/>
      <c r="G580" s="2"/>
      <c r="H580" s="2"/>
      <c r="I580" s="28"/>
      <c r="J580" s="27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spans="2:51" ht="15.75" customHeight="1" x14ac:dyDescent="0.2">
      <c r="B581" s="2"/>
      <c r="C581" s="2"/>
      <c r="D581" s="2"/>
      <c r="E581" s="2"/>
      <c r="F581" s="2"/>
      <c r="G581" s="2"/>
      <c r="H581" s="2"/>
      <c r="I581" s="28"/>
      <c r="J581" s="27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spans="2:51" ht="15.75" customHeight="1" x14ac:dyDescent="0.2">
      <c r="B582" s="2"/>
      <c r="C582" s="2"/>
      <c r="D582" s="2"/>
      <c r="E582" s="2"/>
      <c r="F582" s="2"/>
      <c r="G582" s="2"/>
      <c r="H582" s="2"/>
      <c r="I582" s="28"/>
      <c r="J582" s="27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spans="2:51" ht="15.75" customHeight="1" x14ac:dyDescent="0.2">
      <c r="B583" s="2"/>
      <c r="C583" s="2"/>
      <c r="D583" s="2"/>
      <c r="E583" s="2"/>
      <c r="F583" s="2"/>
      <c r="G583" s="2"/>
      <c r="H583" s="2"/>
      <c r="I583" s="28"/>
      <c r="J583" s="27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</row>
    <row r="584" spans="2:51" ht="15.75" customHeight="1" x14ac:dyDescent="0.2">
      <c r="B584" s="2"/>
      <c r="C584" s="2"/>
      <c r="D584" s="2"/>
      <c r="E584" s="2"/>
      <c r="F584" s="2"/>
      <c r="G584" s="2"/>
      <c r="H584" s="2"/>
      <c r="I584" s="28"/>
      <c r="J584" s="27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spans="2:51" ht="15.75" customHeight="1" x14ac:dyDescent="0.2">
      <c r="B585" s="2"/>
      <c r="C585" s="2"/>
      <c r="D585" s="2"/>
      <c r="E585" s="2"/>
      <c r="F585" s="2"/>
      <c r="G585" s="2"/>
      <c r="H585" s="2"/>
      <c r="I585" s="28"/>
      <c r="J585" s="27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spans="2:51" ht="15.75" customHeight="1" x14ac:dyDescent="0.2">
      <c r="B586" s="2"/>
      <c r="C586" s="2"/>
      <c r="D586" s="2"/>
      <c r="E586" s="2"/>
      <c r="F586" s="2"/>
      <c r="G586" s="2"/>
      <c r="H586" s="2"/>
      <c r="I586" s="28"/>
      <c r="J586" s="27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spans="2:51" ht="15.75" customHeight="1" x14ac:dyDescent="0.2">
      <c r="B587" s="2"/>
      <c r="C587" s="2"/>
      <c r="D587" s="2"/>
      <c r="E587" s="2"/>
      <c r="F587" s="2"/>
      <c r="G587" s="2"/>
      <c r="H587" s="2"/>
      <c r="I587" s="28"/>
      <c r="J587" s="27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spans="2:51" ht="15.75" customHeight="1" x14ac:dyDescent="0.2">
      <c r="B588" s="2"/>
      <c r="C588" s="2"/>
      <c r="D588" s="2"/>
      <c r="E588" s="2"/>
      <c r="F588" s="2"/>
      <c r="G588" s="2"/>
      <c r="H588" s="2"/>
      <c r="I588" s="28"/>
      <c r="J588" s="27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spans="2:51" ht="15.75" customHeight="1" x14ac:dyDescent="0.2">
      <c r="B589" s="2"/>
      <c r="C589" s="2"/>
      <c r="D589" s="2"/>
      <c r="E589" s="2"/>
      <c r="F589" s="2"/>
      <c r="G589" s="2"/>
      <c r="H589" s="2"/>
      <c r="I589" s="28"/>
      <c r="J589" s="27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spans="2:51" ht="15.75" customHeight="1" x14ac:dyDescent="0.2">
      <c r="B590" s="2"/>
      <c r="C590" s="2"/>
      <c r="D590" s="2"/>
      <c r="E590" s="2"/>
      <c r="F590" s="2"/>
      <c r="G590" s="2"/>
      <c r="H590" s="2"/>
      <c r="I590" s="28"/>
      <c r="J590" s="27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</row>
    <row r="591" spans="2:51" ht="15.75" customHeight="1" x14ac:dyDescent="0.2">
      <c r="B591" s="2"/>
      <c r="C591" s="2"/>
      <c r="D591" s="2"/>
      <c r="E591" s="2"/>
      <c r="F591" s="2"/>
      <c r="G591" s="2"/>
      <c r="H591" s="2"/>
      <c r="I591" s="28"/>
      <c r="J591" s="27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</row>
    <row r="592" spans="2:51" ht="15.75" customHeight="1" x14ac:dyDescent="0.2">
      <c r="B592" s="2"/>
      <c r="C592" s="2"/>
      <c r="D592" s="2"/>
      <c r="E592" s="2"/>
      <c r="F592" s="2"/>
      <c r="G592" s="2"/>
      <c r="H592" s="2"/>
      <c r="I592" s="28"/>
      <c r="J592" s="27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spans="2:51" ht="15.75" customHeight="1" x14ac:dyDescent="0.2">
      <c r="B593" s="2"/>
      <c r="C593" s="2"/>
      <c r="D593" s="2"/>
      <c r="E593" s="2"/>
      <c r="F593" s="2"/>
      <c r="G593" s="2"/>
      <c r="H593" s="2"/>
      <c r="I593" s="28"/>
      <c r="J593" s="27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spans="2:51" ht="15.75" customHeight="1" x14ac:dyDescent="0.2">
      <c r="B594" s="2"/>
      <c r="C594" s="2"/>
      <c r="D594" s="2"/>
      <c r="E594" s="2"/>
      <c r="F594" s="2"/>
      <c r="G594" s="2"/>
      <c r="H594" s="2"/>
      <c r="I594" s="28"/>
      <c r="J594" s="27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spans="2:51" ht="15.75" customHeight="1" x14ac:dyDescent="0.2">
      <c r="B595" s="2"/>
      <c r="C595" s="2"/>
      <c r="D595" s="2"/>
      <c r="E595" s="2"/>
      <c r="F595" s="2"/>
      <c r="G595" s="2"/>
      <c r="H595" s="2"/>
      <c r="I595" s="28"/>
      <c r="J595" s="27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spans="2:51" ht="15.75" customHeight="1" x14ac:dyDescent="0.2">
      <c r="B596" s="2"/>
      <c r="C596" s="2"/>
      <c r="D596" s="2"/>
      <c r="E596" s="2"/>
      <c r="F596" s="2"/>
      <c r="G596" s="2"/>
      <c r="H596" s="2"/>
      <c r="I596" s="28"/>
      <c r="J596" s="27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spans="2:51" ht="15.75" customHeight="1" x14ac:dyDescent="0.2">
      <c r="B597" s="2"/>
      <c r="C597" s="2"/>
      <c r="D597" s="2"/>
      <c r="E597" s="2"/>
      <c r="F597" s="2"/>
      <c r="G597" s="2"/>
      <c r="H597" s="2"/>
      <c r="I597" s="28"/>
      <c r="J597" s="27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spans="2:51" ht="15.75" customHeight="1" x14ac:dyDescent="0.2">
      <c r="B598" s="2"/>
      <c r="C598" s="2"/>
      <c r="D598" s="2"/>
      <c r="E598" s="2"/>
      <c r="F598" s="2"/>
      <c r="G598" s="2"/>
      <c r="H598" s="2"/>
      <c r="I598" s="28"/>
      <c r="J598" s="27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spans="2:51" ht="15.75" customHeight="1" x14ac:dyDescent="0.2">
      <c r="B599" s="2"/>
      <c r="C599" s="2"/>
      <c r="D599" s="2"/>
      <c r="E599" s="2"/>
      <c r="F599" s="2"/>
      <c r="G599" s="2"/>
      <c r="H599" s="2"/>
      <c r="I599" s="28"/>
      <c r="J599" s="27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spans="2:51" ht="15.75" customHeight="1" x14ac:dyDescent="0.2">
      <c r="B600" s="2"/>
      <c r="C600" s="2"/>
      <c r="D600" s="2"/>
      <c r="E600" s="2"/>
      <c r="F600" s="2"/>
      <c r="G600" s="2"/>
      <c r="H600" s="2"/>
      <c r="I600" s="28"/>
      <c r="J600" s="27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</row>
    <row r="601" spans="2:51" ht="15.75" customHeight="1" x14ac:dyDescent="0.2">
      <c r="B601" s="2"/>
      <c r="C601" s="2"/>
      <c r="D601" s="2"/>
      <c r="E601" s="2"/>
      <c r="F601" s="2"/>
      <c r="G601" s="2"/>
      <c r="H601" s="2"/>
      <c r="I601" s="28"/>
      <c r="J601" s="27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spans="2:51" ht="15.75" customHeight="1" x14ac:dyDescent="0.2">
      <c r="B602" s="2"/>
      <c r="C602" s="2"/>
      <c r="D602" s="2"/>
      <c r="E602" s="2"/>
      <c r="F602" s="2"/>
      <c r="G602" s="2"/>
      <c r="H602" s="2"/>
      <c r="I602" s="28"/>
      <c r="J602" s="27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spans="2:51" ht="15.75" customHeight="1" x14ac:dyDescent="0.2">
      <c r="B603" s="2"/>
      <c r="C603" s="2"/>
      <c r="D603" s="2"/>
      <c r="E603" s="2"/>
      <c r="F603" s="2"/>
      <c r="G603" s="2"/>
      <c r="H603" s="2"/>
      <c r="I603" s="28"/>
      <c r="J603" s="27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spans="2:51" ht="15.75" customHeight="1" x14ac:dyDescent="0.2">
      <c r="B604" s="2"/>
      <c r="C604" s="2"/>
      <c r="D604" s="2"/>
      <c r="E604" s="2"/>
      <c r="F604" s="2"/>
      <c r="G604" s="2"/>
      <c r="H604" s="2"/>
      <c r="I604" s="28"/>
      <c r="J604" s="27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spans="2:51" ht="15.75" customHeight="1" x14ac:dyDescent="0.2">
      <c r="B605" s="2"/>
      <c r="C605" s="2"/>
      <c r="D605" s="2"/>
      <c r="E605" s="2"/>
      <c r="F605" s="2"/>
      <c r="G605" s="2"/>
      <c r="H605" s="2"/>
      <c r="I605" s="28"/>
      <c r="J605" s="27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spans="2:51" ht="15.75" customHeight="1" x14ac:dyDescent="0.2">
      <c r="B606" s="2"/>
      <c r="C606" s="2"/>
      <c r="D606" s="2"/>
      <c r="E606" s="2"/>
      <c r="F606" s="2"/>
      <c r="G606" s="2"/>
      <c r="H606" s="2"/>
      <c r="I606" s="28"/>
      <c r="J606" s="27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</row>
    <row r="607" spans="2:51" ht="15.75" customHeight="1" x14ac:dyDescent="0.2">
      <c r="B607" s="2"/>
      <c r="C607" s="2"/>
      <c r="D607" s="2"/>
      <c r="E607" s="2"/>
      <c r="F607" s="2"/>
      <c r="G607" s="2"/>
      <c r="H607" s="2"/>
      <c r="I607" s="28"/>
      <c r="J607" s="27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spans="2:51" ht="15.75" customHeight="1" x14ac:dyDescent="0.2">
      <c r="B608" s="2"/>
      <c r="C608" s="2"/>
      <c r="D608" s="2"/>
      <c r="E608" s="2"/>
      <c r="F608" s="2"/>
      <c r="G608" s="2"/>
      <c r="H608" s="2"/>
      <c r="I608" s="28"/>
      <c r="J608" s="27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spans="2:51" ht="15.75" customHeight="1" x14ac:dyDescent="0.2">
      <c r="B609" s="2"/>
      <c r="C609" s="2"/>
      <c r="D609" s="2"/>
      <c r="E609" s="2"/>
      <c r="F609" s="2"/>
      <c r="G609" s="2"/>
      <c r="H609" s="2"/>
      <c r="I609" s="28"/>
      <c r="J609" s="27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spans="2:51" ht="15.75" customHeight="1" x14ac:dyDescent="0.2">
      <c r="B610" s="2"/>
      <c r="C610" s="2"/>
      <c r="D610" s="2"/>
      <c r="E610" s="2"/>
      <c r="F610" s="2"/>
      <c r="G610" s="2"/>
      <c r="H610" s="2"/>
      <c r="I610" s="28"/>
      <c r="J610" s="27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spans="2:51" ht="15.75" customHeight="1" x14ac:dyDescent="0.2">
      <c r="B611" s="2"/>
      <c r="C611" s="2"/>
      <c r="D611" s="2"/>
      <c r="E611" s="2"/>
      <c r="F611" s="2"/>
      <c r="G611" s="2"/>
      <c r="H611" s="2"/>
      <c r="I611" s="28"/>
      <c r="J611" s="27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</row>
    <row r="612" spans="2:51" ht="15.75" customHeight="1" x14ac:dyDescent="0.2">
      <c r="B612" s="2"/>
      <c r="C612" s="2"/>
      <c r="D612" s="2"/>
      <c r="E612" s="2"/>
      <c r="F612" s="2"/>
      <c r="G612" s="2"/>
      <c r="H612" s="2"/>
      <c r="I612" s="28"/>
      <c r="J612" s="27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spans="2:51" ht="15.75" customHeight="1" x14ac:dyDescent="0.2">
      <c r="B613" s="2"/>
      <c r="C613" s="2"/>
      <c r="D613" s="2"/>
      <c r="E613" s="2"/>
      <c r="F613" s="2"/>
      <c r="G613" s="2"/>
      <c r="H613" s="2"/>
      <c r="I613" s="28"/>
      <c r="J613" s="27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</row>
    <row r="614" spans="2:51" ht="15.75" customHeight="1" x14ac:dyDescent="0.2">
      <c r="B614" s="2"/>
      <c r="C614" s="2"/>
      <c r="D614" s="2"/>
      <c r="E614" s="2"/>
      <c r="F614" s="2"/>
      <c r="G614" s="2"/>
      <c r="H614" s="2"/>
      <c r="I614" s="28"/>
      <c r="J614" s="27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spans="2:51" ht="15.75" customHeight="1" x14ac:dyDescent="0.2">
      <c r="B615" s="2"/>
      <c r="C615" s="2"/>
      <c r="D615" s="2"/>
      <c r="E615" s="2"/>
      <c r="F615" s="2"/>
      <c r="G615" s="2"/>
      <c r="H615" s="2"/>
      <c r="I615" s="28"/>
      <c r="J615" s="27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spans="2:51" ht="15.75" customHeight="1" x14ac:dyDescent="0.2">
      <c r="B616" s="2"/>
      <c r="C616" s="2"/>
      <c r="D616" s="2"/>
      <c r="E616" s="2"/>
      <c r="F616" s="2"/>
      <c r="G616" s="2"/>
      <c r="H616" s="2"/>
      <c r="I616" s="28"/>
      <c r="J616" s="27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spans="2:51" ht="15.75" customHeight="1" x14ac:dyDescent="0.2">
      <c r="B617" s="2"/>
      <c r="C617" s="2"/>
      <c r="D617" s="2"/>
      <c r="E617" s="2"/>
      <c r="F617" s="2"/>
      <c r="G617" s="2"/>
      <c r="H617" s="2"/>
      <c r="I617" s="28"/>
      <c r="J617" s="27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spans="2:51" ht="15.75" customHeight="1" x14ac:dyDescent="0.2">
      <c r="B618" s="2"/>
      <c r="C618" s="2"/>
      <c r="D618" s="2"/>
      <c r="E618" s="2"/>
      <c r="F618" s="2"/>
      <c r="G618" s="2"/>
      <c r="H618" s="2"/>
      <c r="I618" s="28"/>
      <c r="J618" s="27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spans="2:51" ht="15.75" customHeight="1" x14ac:dyDescent="0.2">
      <c r="B619" s="2"/>
      <c r="C619" s="2"/>
      <c r="D619" s="2"/>
      <c r="E619" s="2"/>
      <c r="F619" s="2"/>
      <c r="G619" s="2"/>
      <c r="H619" s="2"/>
      <c r="I619" s="28"/>
      <c r="J619" s="27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spans="2:51" ht="15.75" customHeight="1" x14ac:dyDescent="0.2">
      <c r="B620" s="2"/>
      <c r="C620" s="2"/>
      <c r="D620" s="2"/>
      <c r="E620" s="2"/>
      <c r="F620" s="2"/>
      <c r="G620" s="2"/>
      <c r="H620" s="2"/>
      <c r="I620" s="28"/>
      <c r="J620" s="27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spans="2:51" ht="15.75" customHeight="1" x14ac:dyDescent="0.2">
      <c r="B621" s="2"/>
      <c r="C621" s="2"/>
      <c r="D621" s="2"/>
      <c r="E621" s="2"/>
      <c r="F621" s="2"/>
      <c r="G621" s="2"/>
      <c r="H621" s="2"/>
      <c r="I621" s="28"/>
      <c r="J621" s="27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</row>
    <row r="622" spans="2:51" ht="15.75" customHeight="1" x14ac:dyDescent="0.2">
      <c r="B622" s="2"/>
      <c r="C622" s="2"/>
      <c r="D622" s="2"/>
      <c r="E622" s="2"/>
      <c r="F622" s="2"/>
      <c r="G622" s="2"/>
      <c r="H622" s="2"/>
      <c r="I622" s="28"/>
      <c r="J622" s="27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spans="2:51" ht="15.75" customHeight="1" x14ac:dyDescent="0.2">
      <c r="B623" s="2"/>
      <c r="C623" s="2"/>
      <c r="D623" s="2"/>
      <c r="E623" s="2"/>
      <c r="F623" s="2"/>
      <c r="G623" s="2"/>
      <c r="H623" s="2"/>
      <c r="I623" s="28"/>
      <c r="J623" s="27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spans="2:51" ht="15.75" customHeight="1" x14ac:dyDescent="0.2">
      <c r="B624" s="2"/>
      <c r="C624" s="2"/>
      <c r="D624" s="2"/>
      <c r="E624" s="2"/>
      <c r="F624" s="2"/>
      <c r="G624" s="2"/>
      <c r="H624" s="2"/>
      <c r="I624" s="28"/>
      <c r="J624" s="27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</row>
    <row r="625" spans="2:51" ht="15.75" customHeight="1" x14ac:dyDescent="0.2">
      <c r="B625" s="2"/>
      <c r="C625" s="2"/>
      <c r="D625" s="2"/>
      <c r="E625" s="2"/>
      <c r="F625" s="2"/>
      <c r="G625" s="2"/>
      <c r="H625" s="2"/>
      <c r="I625" s="28"/>
      <c r="J625" s="27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spans="2:51" ht="15.75" customHeight="1" x14ac:dyDescent="0.2">
      <c r="B626" s="2"/>
      <c r="C626" s="2"/>
      <c r="D626" s="2"/>
      <c r="E626" s="2"/>
      <c r="F626" s="2"/>
      <c r="G626" s="2"/>
      <c r="H626" s="2"/>
      <c r="I626" s="28"/>
      <c r="J626" s="27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spans="2:51" ht="15.75" customHeight="1" x14ac:dyDescent="0.2">
      <c r="B627" s="2"/>
      <c r="C627" s="2"/>
      <c r="D627" s="2"/>
      <c r="E627" s="2"/>
      <c r="F627" s="2"/>
      <c r="G627" s="2"/>
      <c r="H627" s="2"/>
      <c r="I627" s="28"/>
      <c r="J627" s="27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spans="2:51" ht="15.75" customHeight="1" x14ac:dyDescent="0.2">
      <c r="B628" s="2"/>
      <c r="C628" s="2"/>
      <c r="D628" s="2"/>
      <c r="E628" s="2"/>
      <c r="F628" s="2"/>
      <c r="G628" s="2"/>
      <c r="H628" s="2"/>
      <c r="I628" s="28"/>
      <c r="J628" s="27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spans="2:51" ht="15.75" customHeight="1" x14ac:dyDescent="0.2">
      <c r="B629" s="2"/>
      <c r="C629" s="2"/>
      <c r="D629" s="2"/>
      <c r="E629" s="2"/>
      <c r="F629" s="2"/>
      <c r="G629" s="2"/>
      <c r="H629" s="2"/>
      <c r="I629" s="28"/>
      <c r="J629" s="27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</row>
    <row r="630" spans="2:51" ht="15.75" customHeight="1" x14ac:dyDescent="0.2">
      <c r="B630" s="2"/>
      <c r="C630" s="2"/>
      <c r="D630" s="2"/>
      <c r="E630" s="2"/>
      <c r="F630" s="2"/>
      <c r="G630" s="2"/>
      <c r="H630" s="2"/>
      <c r="I630" s="28"/>
      <c r="J630" s="27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spans="2:51" ht="15.75" customHeight="1" x14ac:dyDescent="0.2">
      <c r="B631" s="2"/>
      <c r="C631" s="2"/>
      <c r="D631" s="2"/>
      <c r="E631" s="2"/>
      <c r="F631" s="2"/>
      <c r="G631" s="2"/>
      <c r="H631" s="2"/>
      <c r="I631" s="28"/>
      <c r="J631" s="27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</row>
    <row r="632" spans="2:51" ht="15.75" customHeight="1" x14ac:dyDescent="0.2">
      <c r="B632" s="2"/>
      <c r="C632" s="2"/>
      <c r="D632" s="2"/>
      <c r="E632" s="2"/>
      <c r="F632" s="2"/>
      <c r="G632" s="2"/>
      <c r="H632" s="2"/>
      <c r="I632" s="28"/>
      <c r="J632" s="27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spans="2:51" ht="15.75" customHeight="1" x14ac:dyDescent="0.2">
      <c r="B633" s="2"/>
      <c r="C633" s="2"/>
      <c r="D633" s="2"/>
      <c r="E633" s="2"/>
      <c r="F633" s="2"/>
      <c r="G633" s="2"/>
      <c r="H633" s="2"/>
      <c r="I633" s="28"/>
      <c r="J633" s="27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spans="2:51" ht="15.75" customHeight="1" x14ac:dyDescent="0.2">
      <c r="B634" s="2"/>
      <c r="C634" s="2"/>
      <c r="D634" s="2"/>
      <c r="E634" s="2"/>
      <c r="F634" s="2"/>
      <c r="G634" s="2"/>
      <c r="H634" s="2"/>
      <c r="I634" s="28"/>
      <c r="J634" s="27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</row>
    <row r="635" spans="2:51" ht="15.75" customHeight="1" x14ac:dyDescent="0.2">
      <c r="B635" s="2"/>
      <c r="C635" s="2"/>
      <c r="D635" s="2"/>
      <c r="E635" s="2"/>
      <c r="F635" s="2"/>
      <c r="G635" s="2"/>
      <c r="H635" s="2"/>
      <c r="I635" s="28"/>
      <c r="J635" s="27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spans="2:51" ht="15.75" customHeight="1" x14ac:dyDescent="0.2">
      <c r="B636" s="2"/>
      <c r="C636" s="2"/>
      <c r="D636" s="2"/>
      <c r="E636" s="2"/>
      <c r="F636" s="2"/>
      <c r="G636" s="2"/>
      <c r="H636" s="2"/>
      <c r="I636" s="28"/>
      <c r="J636" s="27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spans="2:51" ht="15.75" customHeight="1" x14ac:dyDescent="0.2">
      <c r="B637" s="2"/>
      <c r="C637" s="2"/>
      <c r="D637" s="2"/>
      <c r="E637" s="2"/>
      <c r="F637" s="2"/>
      <c r="G637" s="2"/>
      <c r="H637" s="2"/>
      <c r="I637" s="28"/>
      <c r="J637" s="27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spans="2:51" ht="15.75" customHeight="1" x14ac:dyDescent="0.2">
      <c r="B638" s="2"/>
      <c r="C638" s="2"/>
      <c r="D638" s="2"/>
      <c r="E638" s="2"/>
      <c r="F638" s="2"/>
      <c r="G638" s="2"/>
      <c r="H638" s="2"/>
      <c r="I638" s="28"/>
      <c r="J638" s="27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</row>
    <row r="639" spans="2:51" ht="15.75" customHeight="1" x14ac:dyDescent="0.2">
      <c r="B639" s="2"/>
      <c r="C639" s="2"/>
      <c r="D639" s="2"/>
      <c r="E639" s="2"/>
      <c r="F639" s="2"/>
      <c r="G639" s="2"/>
      <c r="H639" s="2"/>
      <c r="I639" s="28"/>
      <c r="J639" s="27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</row>
    <row r="640" spans="2:51" ht="15.75" customHeight="1" x14ac:dyDescent="0.2">
      <c r="B640" s="2"/>
      <c r="C640" s="2"/>
      <c r="D640" s="2"/>
      <c r="E640" s="2"/>
      <c r="F640" s="2"/>
      <c r="G640" s="2"/>
      <c r="H640" s="2"/>
      <c r="I640" s="28"/>
      <c r="J640" s="27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</row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</sheetData>
  <mergeCells count="2">
    <mergeCell ref="A6:I6"/>
    <mergeCell ref="A5:H5"/>
  </mergeCells>
  <phoneticPr fontId="13" type="noConversion"/>
  <pageMargins left="0.39370078740157483" right="0.15748031496062992" top="0.15748031496062992" bottom="0.15748031496062992" header="0.15748031496062992" footer="0.1574803149606299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8"/>
  <sheetViews>
    <sheetView zoomScaleNormal="100" workbookViewId="0">
      <selection activeCell="M18" sqref="M18"/>
    </sheetView>
  </sheetViews>
  <sheetFormatPr defaultRowHeight="12.75" x14ac:dyDescent="0.2"/>
  <cols>
    <col min="1" max="1" width="32.5703125" customWidth="1"/>
    <col min="2" max="6" width="9.85546875" bestFit="1" customWidth="1"/>
    <col min="7" max="7" width="9.42578125" customWidth="1"/>
    <col min="8" max="9" width="8.28515625" customWidth="1"/>
    <col min="10" max="10" width="8.85546875" bestFit="1" customWidth="1"/>
    <col min="11" max="13" width="9.85546875" bestFit="1" customWidth="1"/>
    <col min="14" max="14" width="10.85546875" customWidth="1"/>
    <col min="17" max="18" width="0" hidden="1" customWidth="1"/>
  </cols>
  <sheetData>
    <row r="1" spans="1:17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M1" s="3"/>
      <c r="N1" s="183" t="s">
        <v>533</v>
      </c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214" t="str">
        <f>'1.Bev-kiad.'!H2</f>
        <v>az 1/2026.(II.26.) önkormányzati rendelethez</v>
      </c>
    </row>
    <row r="3" spans="1:17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N3" s="214" t="s">
        <v>702</v>
      </c>
    </row>
    <row r="4" spans="1:17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M4" s="3"/>
      <c r="N4" s="214"/>
    </row>
    <row r="5" spans="1:17" ht="15.75" x14ac:dyDescent="0.25">
      <c r="A5" s="577" t="s">
        <v>617</v>
      </c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6"/>
    </row>
    <row r="7" spans="1:1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86" t="s">
        <v>0</v>
      </c>
    </row>
    <row r="8" spans="1:17" ht="30.75" customHeight="1" thickBot="1" x14ac:dyDescent="0.25">
      <c r="A8" s="104" t="s">
        <v>55</v>
      </c>
      <c r="B8" s="105" t="s">
        <v>56</v>
      </c>
      <c r="C8" s="105" t="s">
        <v>57</v>
      </c>
      <c r="D8" s="105" t="s">
        <v>58</v>
      </c>
      <c r="E8" s="105" t="s">
        <v>59</v>
      </c>
      <c r="F8" s="105" t="s">
        <v>60</v>
      </c>
      <c r="G8" s="105" t="s">
        <v>61</v>
      </c>
      <c r="H8" s="105" t="s">
        <v>62</v>
      </c>
      <c r="I8" s="105" t="s">
        <v>63</v>
      </c>
      <c r="J8" s="105" t="s">
        <v>64</v>
      </c>
      <c r="K8" s="105" t="s">
        <v>65</v>
      </c>
      <c r="L8" s="105" t="s">
        <v>66</v>
      </c>
      <c r="M8" s="105" t="s">
        <v>67</v>
      </c>
      <c r="N8" s="106" t="s">
        <v>39</v>
      </c>
    </row>
    <row r="9" spans="1:17" ht="15.95" customHeight="1" x14ac:dyDescent="0.2">
      <c r="A9" s="107" t="s">
        <v>68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108"/>
    </row>
    <row r="10" spans="1:17" ht="15.95" customHeight="1" x14ac:dyDescent="0.2">
      <c r="A10" s="109" t="s">
        <v>312</v>
      </c>
      <c r="B10" s="32">
        <v>5331</v>
      </c>
      <c r="C10" s="32">
        <v>2869</v>
      </c>
      <c r="D10" s="32">
        <v>2798</v>
      </c>
      <c r="E10" s="32">
        <v>2798</v>
      </c>
      <c r="F10" s="32">
        <v>2798</v>
      </c>
      <c r="G10" s="32">
        <v>2798</v>
      </c>
      <c r="H10" s="32">
        <v>2755</v>
      </c>
      <c r="I10" s="32">
        <v>2803</v>
      </c>
      <c r="J10" s="32">
        <v>2803</v>
      </c>
      <c r="K10" s="32">
        <v>2803</v>
      </c>
      <c r="L10" s="32">
        <v>2957</v>
      </c>
      <c r="M10" s="32">
        <v>2955</v>
      </c>
      <c r="N10" s="110">
        <f t="shared" ref="N10:N16" si="0">SUM(B10:M10)</f>
        <v>36468</v>
      </c>
      <c r="Q10" s="74">
        <f>'1.Bev-kiad.'!H10</f>
        <v>36468</v>
      </c>
    </row>
    <row r="11" spans="1:17" ht="15.95" customHeight="1" x14ac:dyDescent="0.2">
      <c r="A11" s="109" t="s">
        <v>313</v>
      </c>
      <c r="B11" s="32">
        <v>134</v>
      </c>
      <c r="C11" s="32">
        <v>248</v>
      </c>
      <c r="D11" s="32">
        <v>7832</v>
      </c>
      <c r="E11" s="32">
        <v>7153</v>
      </c>
      <c r="F11" s="32">
        <v>1068</v>
      </c>
      <c r="G11" s="32">
        <v>3228</v>
      </c>
      <c r="H11" s="32">
        <v>589</v>
      </c>
      <c r="I11" s="32">
        <v>280</v>
      </c>
      <c r="J11" s="32">
        <v>6064</v>
      </c>
      <c r="K11" s="32">
        <v>9535</v>
      </c>
      <c r="L11" s="32">
        <v>43</v>
      </c>
      <c r="M11" s="32">
        <v>5126</v>
      </c>
      <c r="N11" s="110">
        <f t="shared" si="0"/>
        <v>41300</v>
      </c>
      <c r="Q11" s="74">
        <f>'1.Bev-kiad.'!H23</f>
        <v>41300</v>
      </c>
    </row>
    <row r="12" spans="1:17" ht="15.75" customHeight="1" x14ac:dyDescent="0.2">
      <c r="A12" s="129" t="s">
        <v>314</v>
      </c>
      <c r="B12" s="32">
        <v>673</v>
      </c>
      <c r="C12" s="32">
        <v>796</v>
      </c>
      <c r="D12" s="32">
        <v>804</v>
      </c>
      <c r="E12" s="32">
        <v>1152</v>
      </c>
      <c r="F12" s="32">
        <v>653</v>
      </c>
      <c r="G12" s="32">
        <v>865</v>
      </c>
      <c r="H12" s="32">
        <v>1807</v>
      </c>
      <c r="I12" s="32">
        <v>1665</v>
      </c>
      <c r="J12" s="32">
        <v>493</v>
      </c>
      <c r="K12" s="32">
        <v>762</v>
      </c>
      <c r="L12" s="32">
        <v>1003</v>
      </c>
      <c r="M12" s="32">
        <v>2088</v>
      </c>
      <c r="N12" s="110">
        <f t="shared" si="0"/>
        <v>12761</v>
      </c>
      <c r="Q12" s="74">
        <f>'1.Bev-kiad.'!H30</f>
        <v>12761</v>
      </c>
    </row>
    <row r="13" spans="1:17" ht="15.95" customHeight="1" x14ac:dyDescent="0.2">
      <c r="A13" s="109" t="s">
        <v>315</v>
      </c>
      <c r="B13" s="32"/>
      <c r="C13" s="32"/>
      <c r="D13" s="32"/>
      <c r="E13" s="32">
        <v>1350</v>
      </c>
      <c r="F13" s="32"/>
      <c r="G13" s="32"/>
      <c r="H13" s="32"/>
      <c r="I13" s="32"/>
      <c r="J13" s="32"/>
      <c r="K13" s="32"/>
      <c r="L13" s="32"/>
      <c r="M13" s="32"/>
      <c r="N13" s="110">
        <f t="shared" si="0"/>
        <v>1350</v>
      </c>
      <c r="Q13" s="74">
        <f>'1.Bev-kiad.'!H47</f>
        <v>1350</v>
      </c>
    </row>
    <row r="14" spans="1:17" ht="15.95" customHeight="1" x14ac:dyDescent="0.2">
      <c r="A14" s="109" t="s">
        <v>316</v>
      </c>
      <c r="B14" s="32"/>
      <c r="C14" s="32">
        <v>30</v>
      </c>
      <c r="D14" s="32"/>
      <c r="E14" s="32"/>
      <c r="F14" s="32"/>
      <c r="G14" s="32"/>
      <c r="H14" s="32"/>
      <c r="I14" s="32"/>
      <c r="J14" s="32">
        <v>11998</v>
      </c>
      <c r="K14" s="32">
        <v>0</v>
      </c>
      <c r="L14" s="32"/>
      <c r="M14" s="32"/>
      <c r="N14" s="110">
        <f t="shared" si="0"/>
        <v>12028</v>
      </c>
      <c r="Q14" s="74">
        <f>'1.Bev-kiad.'!H17+'1.Bev-kiad.'!H41</f>
        <v>12028</v>
      </c>
    </row>
    <row r="15" spans="1:17" ht="15.95" customHeight="1" x14ac:dyDescent="0.2">
      <c r="A15" s="109" t="s">
        <v>521</v>
      </c>
      <c r="B15" s="32">
        <v>11995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10">
        <f t="shared" si="0"/>
        <v>11995</v>
      </c>
      <c r="Q15" s="74">
        <f>'1.Bev-kiad.'!H57</f>
        <v>11995</v>
      </c>
    </row>
    <row r="16" spans="1:17" ht="15.95" customHeight="1" x14ac:dyDescent="0.2">
      <c r="A16" s="109" t="s">
        <v>522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>
        <v>1027</v>
      </c>
      <c r="N16" s="110">
        <f t="shared" si="0"/>
        <v>1027</v>
      </c>
      <c r="Q16" s="74">
        <f>'1.Bev-kiad.'!H60</f>
        <v>1027</v>
      </c>
    </row>
    <row r="17" spans="1:18" ht="15.95" customHeight="1" x14ac:dyDescent="0.2">
      <c r="A17" s="111" t="s">
        <v>69</v>
      </c>
      <c r="B17" s="34">
        <f t="shared" ref="B17:M17" si="1">SUM(B10:B15)</f>
        <v>18133</v>
      </c>
      <c r="C17" s="34">
        <f t="shared" si="1"/>
        <v>3943</v>
      </c>
      <c r="D17" s="34">
        <f t="shared" si="1"/>
        <v>11434</v>
      </c>
      <c r="E17" s="34">
        <f t="shared" si="1"/>
        <v>12453</v>
      </c>
      <c r="F17" s="34">
        <f t="shared" si="1"/>
        <v>4519</v>
      </c>
      <c r="G17" s="34">
        <f t="shared" si="1"/>
        <v>6891</v>
      </c>
      <c r="H17" s="34">
        <f t="shared" si="1"/>
        <v>5151</v>
      </c>
      <c r="I17" s="34">
        <f t="shared" si="1"/>
        <v>4748</v>
      </c>
      <c r="J17" s="34">
        <f t="shared" si="1"/>
        <v>21358</v>
      </c>
      <c r="K17" s="34">
        <f t="shared" si="1"/>
        <v>13100</v>
      </c>
      <c r="L17" s="34">
        <f t="shared" si="1"/>
        <v>4003</v>
      </c>
      <c r="M17" s="34">
        <f>SUM(M10:M16)</f>
        <v>11196</v>
      </c>
      <c r="N17" s="110">
        <f>SUM(N10:N16)</f>
        <v>116929</v>
      </c>
      <c r="Q17" s="74">
        <f>'1.Bev-kiad.'!H64</f>
        <v>116929</v>
      </c>
    </row>
    <row r="18" spans="1:18" ht="16.5" customHeight="1" x14ac:dyDescent="0.2">
      <c r="A18" s="111" t="s">
        <v>70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110"/>
    </row>
    <row r="19" spans="1:18" ht="15.95" customHeight="1" x14ac:dyDescent="0.2">
      <c r="A19" s="109" t="s">
        <v>71</v>
      </c>
      <c r="B19" s="32">
        <v>6063</v>
      </c>
      <c r="C19" s="32">
        <v>5630</v>
      </c>
      <c r="D19" s="32">
        <v>7214</v>
      </c>
      <c r="E19" s="32">
        <v>4903</v>
      </c>
      <c r="F19" s="32">
        <v>7746</v>
      </c>
      <c r="G19" s="32">
        <v>7592</v>
      </c>
      <c r="H19" s="32">
        <v>7304</v>
      </c>
      <c r="I19" s="32">
        <v>7138</v>
      </c>
      <c r="J19" s="32">
        <v>8062</v>
      </c>
      <c r="K19" s="32">
        <v>7807</v>
      </c>
      <c r="L19" s="32">
        <v>6383</v>
      </c>
      <c r="M19" s="32">
        <v>20498</v>
      </c>
      <c r="N19" s="110">
        <f t="shared" ref="N19:N24" si="2">SUM(B19:M19)</f>
        <v>96340</v>
      </c>
      <c r="O19" s="113"/>
      <c r="Q19" s="74">
        <f>'2.működés'!H103+'2.működés'!H104+'2.működés'!H105+'2.működés'!H106+'2.működés'!H108+'2.működés'!H110+'2.működés'!H111</f>
        <v>96340</v>
      </c>
      <c r="R19" s="74">
        <f>Q24-Q20-Q21-Q23</f>
        <v>96340</v>
      </c>
    </row>
    <row r="20" spans="1:18" ht="15.95" customHeight="1" x14ac:dyDescent="0.2">
      <c r="A20" s="109" t="s">
        <v>366</v>
      </c>
      <c r="B20" s="32">
        <v>933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110">
        <f t="shared" si="2"/>
        <v>933</v>
      </c>
      <c r="O20" s="74"/>
      <c r="Q20" s="74">
        <f>'1.Bev-kiad.'!H80</f>
        <v>933</v>
      </c>
    </row>
    <row r="21" spans="1:18" ht="15.95" customHeight="1" x14ac:dyDescent="0.2">
      <c r="A21" s="109" t="s">
        <v>72</v>
      </c>
      <c r="B21" s="32"/>
      <c r="C21" s="32"/>
      <c r="D21" s="32">
        <v>0</v>
      </c>
      <c r="E21" s="32"/>
      <c r="F21" s="32"/>
      <c r="G21" s="32">
        <v>0</v>
      </c>
      <c r="H21" s="32"/>
      <c r="I21" s="32"/>
      <c r="J21" s="32">
        <v>634</v>
      </c>
      <c r="K21" s="32"/>
      <c r="L21" s="32">
        <v>0</v>
      </c>
      <c r="M21" s="32">
        <v>12349</v>
      </c>
      <c r="N21" s="110">
        <f t="shared" si="2"/>
        <v>12983</v>
      </c>
      <c r="Q21" s="74">
        <f>'3.felh'!H41+'3.felh'!H55</f>
        <v>12983</v>
      </c>
    </row>
    <row r="22" spans="1:18" ht="15.95" customHeight="1" x14ac:dyDescent="0.2">
      <c r="A22" s="109" t="s">
        <v>512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10">
        <f t="shared" si="2"/>
        <v>0</v>
      </c>
    </row>
    <row r="23" spans="1:18" ht="15.75" customHeight="1" x14ac:dyDescent="0.2">
      <c r="A23" s="109" t="s">
        <v>600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>
        <v>6673</v>
      </c>
      <c r="N23" s="254">
        <f t="shared" si="2"/>
        <v>6673</v>
      </c>
      <c r="Q23" s="74">
        <f>'2.működés'!H109</f>
        <v>6673</v>
      </c>
    </row>
    <row r="24" spans="1:18" ht="15.95" customHeight="1" x14ac:dyDescent="0.2">
      <c r="A24" s="111" t="s">
        <v>73</v>
      </c>
      <c r="B24" s="112">
        <f t="shared" ref="B24:M24" si="3">SUM(B19:B23)</f>
        <v>6996</v>
      </c>
      <c r="C24" s="112">
        <f t="shared" si="3"/>
        <v>5630</v>
      </c>
      <c r="D24" s="112">
        <f t="shared" si="3"/>
        <v>7214</v>
      </c>
      <c r="E24" s="112">
        <f t="shared" si="3"/>
        <v>4903</v>
      </c>
      <c r="F24" s="112">
        <f t="shared" si="3"/>
        <v>7746</v>
      </c>
      <c r="G24" s="112">
        <f t="shared" si="3"/>
        <v>7592</v>
      </c>
      <c r="H24" s="112">
        <f t="shared" si="3"/>
        <v>7304</v>
      </c>
      <c r="I24" s="112">
        <f t="shared" si="3"/>
        <v>7138</v>
      </c>
      <c r="J24" s="112">
        <f t="shared" si="3"/>
        <v>8696</v>
      </c>
      <c r="K24" s="112">
        <f t="shared" si="3"/>
        <v>7807</v>
      </c>
      <c r="L24" s="112">
        <f t="shared" si="3"/>
        <v>6383</v>
      </c>
      <c r="M24" s="112">
        <f t="shared" si="3"/>
        <v>39520</v>
      </c>
      <c r="N24" s="110">
        <f t="shared" si="2"/>
        <v>116929</v>
      </c>
      <c r="O24" s="74"/>
      <c r="Q24" s="74">
        <f>'1.Bev-kiad.'!H82</f>
        <v>116929</v>
      </c>
    </row>
    <row r="25" spans="1:18" ht="15.95" customHeight="1" x14ac:dyDescent="0.2">
      <c r="A25" s="111" t="s">
        <v>74</v>
      </c>
      <c r="B25" s="112">
        <f t="shared" ref="B25:N25" si="4">SUM(B17-B24)</f>
        <v>11137</v>
      </c>
      <c r="C25" s="112">
        <f t="shared" si="4"/>
        <v>-1687</v>
      </c>
      <c r="D25" s="112">
        <f t="shared" si="4"/>
        <v>4220</v>
      </c>
      <c r="E25" s="112">
        <f t="shared" si="4"/>
        <v>7550</v>
      </c>
      <c r="F25" s="112">
        <f t="shared" si="4"/>
        <v>-3227</v>
      </c>
      <c r="G25" s="112">
        <f t="shared" si="4"/>
        <v>-701</v>
      </c>
      <c r="H25" s="112">
        <f t="shared" si="4"/>
        <v>-2153</v>
      </c>
      <c r="I25" s="112">
        <f t="shared" si="4"/>
        <v>-2390</v>
      </c>
      <c r="J25" s="112">
        <f t="shared" si="4"/>
        <v>12662</v>
      </c>
      <c r="K25" s="112">
        <f t="shared" si="4"/>
        <v>5293</v>
      </c>
      <c r="L25" s="112">
        <f t="shared" si="4"/>
        <v>-2380</v>
      </c>
      <c r="M25" s="112">
        <f t="shared" si="4"/>
        <v>-28324</v>
      </c>
      <c r="N25" s="110">
        <f t="shared" si="4"/>
        <v>0</v>
      </c>
    </row>
    <row r="26" spans="1:18" ht="15.95" customHeight="1" thickBot="1" x14ac:dyDescent="0.25">
      <c r="A26" s="114" t="s">
        <v>75</v>
      </c>
      <c r="B26" s="115">
        <f>SUM(B25)</f>
        <v>11137</v>
      </c>
      <c r="C26" s="115">
        <f t="shared" ref="C26:M26" si="5">B26+C17-C24</f>
        <v>9450</v>
      </c>
      <c r="D26" s="115">
        <f t="shared" si="5"/>
        <v>13670</v>
      </c>
      <c r="E26" s="115">
        <f t="shared" si="5"/>
        <v>21220</v>
      </c>
      <c r="F26" s="115">
        <f t="shared" si="5"/>
        <v>17993</v>
      </c>
      <c r="G26" s="115">
        <f t="shared" si="5"/>
        <v>17292</v>
      </c>
      <c r="H26" s="115">
        <f t="shared" si="5"/>
        <v>15139</v>
      </c>
      <c r="I26" s="115">
        <f t="shared" si="5"/>
        <v>12749</v>
      </c>
      <c r="J26" s="115">
        <f t="shared" si="5"/>
        <v>25411</v>
      </c>
      <c r="K26" s="115">
        <f t="shared" si="5"/>
        <v>30704</v>
      </c>
      <c r="L26" s="115">
        <f t="shared" si="5"/>
        <v>28324</v>
      </c>
      <c r="M26" s="115">
        <f t="shared" si="5"/>
        <v>0</v>
      </c>
      <c r="N26" s="116">
        <f>SUM(N25)</f>
        <v>0</v>
      </c>
    </row>
    <row r="27" spans="1:18" ht="18" customHeight="1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17"/>
    </row>
    <row r="28" spans="1:18" ht="18" customHeight="1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17"/>
    </row>
    <row r="29" spans="1:18" ht="15.95" customHeight="1" x14ac:dyDescent="0.2">
      <c r="A29" s="52"/>
      <c r="B29" s="52"/>
      <c r="C29" s="52"/>
      <c r="D29" s="52"/>
      <c r="E29" s="52"/>
      <c r="F29" s="52"/>
      <c r="G29" s="118"/>
      <c r="H29" s="52"/>
      <c r="I29" s="52"/>
      <c r="J29" s="52"/>
      <c r="K29" s="52"/>
      <c r="L29" s="52"/>
      <c r="M29" s="52"/>
      <c r="N29" s="117"/>
    </row>
    <row r="30" spans="1:18" ht="15.95" customHeight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17"/>
    </row>
    <row r="31" spans="1:18" ht="15.95" customHeight="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17"/>
    </row>
    <row r="32" spans="1:18" ht="15.95" customHeight="1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117"/>
    </row>
    <row r="33" spans="1:14" ht="15.95" customHeight="1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117"/>
    </row>
    <row r="34" spans="1:14" ht="1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ht="14.1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ht="14.1" customHeigh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ht="14.1" customHeight="1" x14ac:dyDescent="0.2"/>
    <row r="38" spans="1:14" ht="14.1" customHeight="1" x14ac:dyDescent="0.2"/>
  </sheetData>
  <mergeCells count="1">
    <mergeCell ref="A5:N5"/>
  </mergeCells>
  <pageMargins left="0.51" right="0.19685039370078741" top="0.74803149606299213" bottom="0.98425196850393704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4"/>
  <sheetViews>
    <sheetView zoomScaleNormal="100" workbookViewId="0">
      <selection activeCell="A8" sqref="A8:A10"/>
    </sheetView>
  </sheetViews>
  <sheetFormatPr defaultRowHeight="12.75" x14ac:dyDescent="0.2"/>
  <cols>
    <col min="1" max="1" width="31.140625" customWidth="1"/>
    <col min="2" max="2" width="23.85546875" customWidth="1"/>
    <col min="3" max="3" width="10.5703125" customWidth="1"/>
    <col min="4" max="4" width="9.140625" customWidth="1"/>
    <col min="5" max="5" width="10.7109375" customWidth="1"/>
    <col min="6" max="6" width="13.28515625" customWidth="1"/>
    <col min="7" max="7" width="16.42578125" customWidth="1"/>
    <col min="8" max="9" width="16.28515625" style="103" customWidth="1"/>
    <col min="10" max="11" width="14.7109375" style="103" customWidth="1"/>
    <col min="12" max="14" width="12.7109375" customWidth="1"/>
    <col min="15" max="15" width="10.28515625" customWidth="1"/>
  </cols>
  <sheetData>
    <row r="1" spans="1:12" x14ac:dyDescent="0.2">
      <c r="A1" s="52"/>
      <c r="B1" s="52"/>
      <c r="C1" s="52"/>
      <c r="D1" s="52"/>
      <c r="E1" s="52"/>
      <c r="F1" s="52"/>
      <c r="G1" s="52"/>
      <c r="H1" s="141"/>
      <c r="I1" s="141"/>
      <c r="J1" s="141"/>
      <c r="K1" s="183" t="s">
        <v>445</v>
      </c>
    </row>
    <row r="2" spans="1:12" x14ac:dyDescent="0.2">
      <c r="A2" s="52"/>
      <c r="B2" s="52"/>
      <c r="C2" s="52"/>
      <c r="D2" s="52"/>
      <c r="E2" s="52"/>
      <c r="F2" s="52"/>
      <c r="G2" s="52"/>
      <c r="H2" s="141"/>
      <c r="I2" s="141"/>
      <c r="J2" s="141"/>
      <c r="K2" s="214" t="str">
        <f>'8.Többéves'!G2</f>
        <v>az 1/2026.(II.26.) önkormányzati rendelethez</v>
      </c>
    </row>
    <row r="3" spans="1:12" x14ac:dyDescent="0.2">
      <c r="A3" s="52"/>
      <c r="B3" s="52"/>
      <c r="C3" s="52"/>
      <c r="D3" s="52"/>
      <c r="E3" s="52"/>
      <c r="F3" s="52"/>
      <c r="G3" s="52"/>
      <c r="H3" s="141"/>
      <c r="I3" s="141"/>
      <c r="J3" s="141"/>
      <c r="K3" s="55"/>
    </row>
    <row r="4" spans="1:12" ht="16.5" customHeight="1" x14ac:dyDescent="0.2">
      <c r="A4" s="554" t="s">
        <v>505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</row>
    <row r="5" spans="1:12" ht="34.5" customHeight="1" x14ac:dyDescent="0.2">
      <c r="A5" s="578" t="s">
        <v>618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142"/>
    </row>
    <row r="6" spans="1:12" ht="12" customHeight="1" x14ac:dyDescent="0.2">
      <c r="A6" s="555"/>
      <c r="B6" s="555"/>
      <c r="C6" s="555"/>
      <c r="D6" s="555"/>
      <c r="E6" s="555"/>
      <c r="F6" s="555"/>
      <c r="G6" s="555"/>
      <c r="H6" s="555"/>
      <c r="I6" s="555"/>
      <c r="J6" s="555"/>
      <c r="K6" s="555"/>
    </row>
    <row r="7" spans="1:12" ht="12.95" customHeight="1" x14ac:dyDescent="0.2">
      <c r="A7" s="3"/>
      <c r="B7" s="3"/>
      <c r="C7" s="3"/>
      <c r="D7" s="3"/>
      <c r="E7" s="3"/>
      <c r="F7" s="3"/>
      <c r="G7" s="3"/>
      <c r="H7" s="88"/>
      <c r="I7" s="88"/>
      <c r="J7" s="88"/>
      <c r="K7" s="86" t="s">
        <v>0</v>
      </c>
    </row>
    <row r="8" spans="1:12" ht="43.5" customHeight="1" x14ac:dyDescent="0.2">
      <c r="A8" s="579" t="s">
        <v>84</v>
      </c>
      <c r="B8" s="579" t="s">
        <v>85</v>
      </c>
      <c r="C8" s="579" t="s">
        <v>86</v>
      </c>
      <c r="D8" s="584" t="s">
        <v>96</v>
      </c>
      <c r="E8" s="579" t="s">
        <v>87</v>
      </c>
      <c r="F8" s="587" t="s">
        <v>89</v>
      </c>
      <c r="G8" s="588"/>
      <c r="H8" s="588"/>
      <c r="I8" s="589"/>
      <c r="J8" s="579" t="s">
        <v>88</v>
      </c>
      <c r="K8" s="579" t="s">
        <v>94</v>
      </c>
    </row>
    <row r="9" spans="1:12" ht="51" customHeight="1" x14ac:dyDescent="0.2">
      <c r="A9" s="580"/>
      <c r="B9" s="580"/>
      <c r="C9" s="580"/>
      <c r="D9" s="585"/>
      <c r="E9" s="580"/>
      <c r="F9" s="582" t="s">
        <v>91</v>
      </c>
      <c r="G9" s="583"/>
      <c r="H9" s="580" t="s">
        <v>90</v>
      </c>
      <c r="I9" s="580" t="s">
        <v>95</v>
      </c>
      <c r="J9" s="580"/>
      <c r="K9" s="580"/>
    </row>
    <row r="10" spans="1:12" ht="26.25" customHeight="1" thickBot="1" x14ac:dyDescent="0.25">
      <c r="A10" s="581"/>
      <c r="B10" s="581"/>
      <c r="C10" s="581"/>
      <c r="D10" s="586"/>
      <c r="E10" s="581"/>
      <c r="F10" s="144" t="s">
        <v>92</v>
      </c>
      <c r="G10" s="143" t="s">
        <v>93</v>
      </c>
      <c r="H10" s="581"/>
      <c r="I10" s="581"/>
      <c r="J10" s="581"/>
      <c r="K10" s="581"/>
    </row>
    <row r="11" spans="1:12" ht="25.5" hidden="1" x14ac:dyDescent="0.2">
      <c r="A11" s="280" t="s">
        <v>496</v>
      </c>
      <c r="B11" s="346" t="s">
        <v>495</v>
      </c>
      <c r="C11" s="277"/>
      <c r="D11" s="278"/>
      <c r="E11" s="277"/>
      <c r="F11" s="277"/>
      <c r="G11" s="279"/>
      <c r="H11" s="277"/>
      <c r="I11" s="277"/>
      <c r="J11" s="277">
        <v>0</v>
      </c>
      <c r="K11" s="277" t="e">
        <f>J11/I11</f>
        <v>#DIV/0!</v>
      </c>
    </row>
    <row r="12" spans="1:12" ht="25.5" hidden="1" x14ac:dyDescent="0.2">
      <c r="A12" s="276" t="s">
        <v>454</v>
      </c>
      <c r="B12" s="193" t="s">
        <v>455</v>
      </c>
      <c r="C12" s="277"/>
      <c r="D12" s="278"/>
      <c r="E12" s="277"/>
      <c r="F12" s="277"/>
      <c r="G12" s="279"/>
      <c r="H12" s="277"/>
      <c r="I12" s="277"/>
      <c r="J12" s="277">
        <v>0</v>
      </c>
      <c r="K12" s="277" t="e">
        <f>J12/I12</f>
        <v>#DIV/0!</v>
      </c>
    </row>
    <row r="13" spans="1:12" ht="26.25" hidden="1" thickBot="1" x14ac:dyDescent="0.25">
      <c r="A13" s="276" t="s">
        <v>500</v>
      </c>
      <c r="B13" s="193" t="s">
        <v>499</v>
      </c>
      <c r="C13" s="277"/>
      <c r="D13" s="278"/>
      <c r="E13" s="277"/>
      <c r="F13" s="277"/>
      <c r="G13" s="279"/>
      <c r="H13" s="277"/>
      <c r="I13" s="277"/>
      <c r="J13" s="277">
        <v>0</v>
      </c>
      <c r="K13" s="277" t="e">
        <f>J13/I13</f>
        <v>#DIV/0!</v>
      </c>
    </row>
    <row r="14" spans="1:12" ht="19.5" customHeight="1" thickBot="1" x14ac:dyDescent="0.25">
      <c r="A14" s="145" t="s">
        <v>54</v>
      </c>
      <c r="B14" s="146"/>
      <c r="C14" s="147">
        <f>SUM(C11:C13)</f>
        <v>0</v>
      </c>
      <c r="D14" s="146">
        <v>0</v>
      </c>
      <c r="E14" s="147">
        <f t="shared" ref="E14:J14" si="0">SUM(E11:E13)</f>
        <v>0</v>
      </c>
      <c r="F14" s="147">
        <f t="shared" si="0"/>
        <v>0</v>
      </c>
      <c r="G14" s="147">
        <f t="shared" si="0"/>
        <v>0</v>
      </c>
      <c r="H14" s="147">
        <f t="shared" si="0"/>
        <v>0</v>
      </c>
      <c r="I14" s="147">
        <f t="shared" si="0"/>
        <v>0</v>
      </c>
      <c r="J14" s="147">
        <f t="shared" si="0"/>
        <v>0</v>
      </c>
      <c r="K14" s="148">
        <v>0</v>
      </c>
    </row>
    <row r="15" spans="1:12" ht="12.95" hidden="1" customHeight="1" x14ac:dyDescent="0.2">
      <c r="H15"/>
      <c r="I15" s="35">
        <f>SUM(F14:H14)</f>
        <v>0</v>
      </c>
      <c r="J15"/>
      <c r="K15"/>
    </row>
    <row r="16" spans="1:12" ht="12.95" customHeight="1" x14ac:dyDescent="0.2">
      <c r="B16" s="74"/>
      <c r="C16" s="74"/>
      <c r="D16" s="74"/>
      <c r="E16" s="74"/>
      <c r="F16" s="74"/>
      <c r="G16" s="74"/>
      <c r="H16" s="102"/>
      <c r="I16" s="102"/>
      <c r="J16" s="102"/>
      <c r="K16" s="102"/>
    </row>
    <row r="17" spans="2:11" ht="12.95" customHeight="1" x14ac:dyDescent="0.2">
      <c r="B17" s="74"/>
      <c r="C17" s="74"/>
      <c r="D17" s="74"/>
      <c r="E17" s="74"/>
      <c r="F17" s="74"/>
      <c r="G17" s="74"/>
      <c r="H17" s="102"/>
      <c r="I17" s="102"/>
      <c r="J17" s="102"/>
      <c r="K17" s="102"/>
    </row>
    <row r="18" spans="2:11" ht="12.95" customHeight="1" x14ac:dyDescent="0.2">
      <c r="B18" s="74"/>
      <c r="C18" s="74"/>
      <c r="D18" s="74"/>
      <c r="E18" s="74"/>
      <c r="F18" s="74"/>
      <c r="G18" s="74"/>
      <c r="H18" s="102"/>
      <c r="I18" s="102"/>
      <c r="J18" s="102"/>
      <c r="K18" s="102"/>
    </row>
    <row r="19" spans="2:11" ht="12.95" customHeight="1" x14ac:dyDescent="0.2">
      <c r="B19" s="74"/>
      <c r="C19" s="74"/>
      <c r="D19" s="74"/>
      <c r="E19" s="74"/>
      <c r="F19" s="74"/>
      <c r="G19" s="74"/>
      <c r="H19" s="102"/>
      <c r="I19" s="102"/>
      <c r="J19" s="102"/>
      <c r="K19" s="102"/>
    </row>
    <row r="20" spans="2:11" ht="12.95" customHeight="1" x14ac:dyDescent="0.2">
      <c r="B20" s="74"/>
      <c r="C20" s="74"/>
      <c r="D20" s="74"/>
      <c r="E20" s="74"/>
      <c r="F20" s="74"/>
      <c r="G20" s="74"/>
      <c r="H20" s="102"/>
      <c r="I20" s="102"/>
      <c r="J20" s="102"/>
      <c r="K20" s="102"/>
    </row>
    <row r="21" spans="2:11" ht="12.95" customHeight="1" x14ac:dyDescent="0.2">
      <c r="B21" s="74"/>
      <c r="C21" s="74"/>
      <c r="D21" s="74"/>
      <c r="E21" s="74"/>
      <c r="F21" s="74"/>
      <c r="G21" s="74"/>
      <c r="H21" s="102"/>
      <c r="I21" s="102"/>
      <c r="J21" s="102"/>
      <c r="K21" s="102"/>
    </row>
    <row r="22" spans="2:11" ht="12.95" customHeight="1" x14ac:dyDescent="0.2">
      <c r="B22" s="74"/>
      <c r="C22" s="74"/>
      <c r="D22" s="74"/>
      <c r="E22" s="74"/>
      <c r="F22" s="74"/>
      <c r="G22" s="74"/>
      <c r="H22" s="102"/>
      <c r="I22" s="102"/>
      <c r="J22" s="102"/>
      <c r="K22" s="102"/>
    </row>
    <row r="23" spans="2:11" ht="12.95" customHeight="1" x14ac:dyDescent="0.2">
      <c r="B23" s="74"/>
      <c r="C23" s="74"/>
      <c r="D23" s="74"/>
      <c r="E23" s="74"/>
      <c r="F23" s="74"/>
      <c r="G23" s="74"/>
      <c r="H23" s="102"/>
      <c r="I23" s="102"/>
      <c r="J23" s="102"/>
      <c r="K23" s="102"/>
    </row>
    <row r="24" spans="2:11" ht="12.95" customHeight="1" x14ac:dyDescent="0.2">
      <c r="B24" s="74"/>
      <c r="C24" s="74"/>
      <c r="D24" s="74"/>
      <c r="E24" s="74"/>
      <c r="F24" s="74"/>
      <c r="G24" s="74"/>
      <c r="H24" s="102"/>
      <c r="I24" s="102"/>
      <c r="J24" s="102"/>
      <c r="K24" s="102"/>
    </row>
    <row r="25" spans="2:11" ht="12.95" customHeight="1" x14ac:dyDescent="0.2">
      <c r="B25" s="74"/>
      <c r="C25" s="74"/>
      <c r="D25" s="74"/>
      <c r="E25" s="74"/>
      <c r="F25" s="74"/>
      <c r="G25" s="74"/>
      <c r="H25" s="102"/>
      <c r="I25" s="102"/>
      <c r="J25" s="102"/>
      <c r="K25" s="102"/>
    </row>
    <row r="26" spans="2:11" ht="12.95" customHeight="1" x14ac:dyDescent="0.2">
      <c r="B26" s="74"/>
      <c r="C26" s="74"/>
      <c r="D26" s="74"/>
      <c r="E26" s="74"/>
      <c r="F26" s="74"/>
      <c r="G26" s="74"/>
      <c r="H26" s="102"/>
      <c r="I26" s="102"/>
      <c r="J26" s="102"/>
      <c r="K26" s="102"/>
    </row>
    <row r="27" spans="2:11" ht="12.95" customHeight="1" x14ac:dyDescent="0.2">
      <c r="B27" s="74"/>
      <c r="C27" s="74"/>
      <c r="D27" s="74"/>
      <c r="E27" s="74"/>
      <c r="F27" s="74"/>
      <c r="G27" s="74"/>
      <c r="H27" s="102"/>
      <c r="I27" s="102"/>
      <c r="J27" s="102"/>
      <c r="K27" s="102"/>
    </row>
    <row r="28" spans="2:11" ht="12.95" customHeight="1" x14ac:dyDescent="0.2">
      <c r="B28" s="74"/>
      <c r="C28" s="74"/>
      <c r="D28" s="74"/>
      <c r="E28" s="74"/>
      <c r="F28" s="74"/>
      <c r="G28" s="74"/>
      <c r="H28" s="102"/>
      <c r="I28" s="102"/>
      <c r="J28" s="102"/>
      <c r="K28" s="102"/>
    </row>
    <row r="29" spans="2:11" ht="12.95" customHeight="1" x14ac:dyDescent="0.2">
      <c r="B29" s="74"/>
      <c r="C29" s="74"/>
      <c r="D29" s="74"/>
      <c r="E29" s="74"/>
      <c r="F29" s="74"/>
      <c r="G29" s="74"/>
      <c r="H29" s="102"/>
      <c r="I29" s="102"/>
      <c r="J29" s="102"/>
      <c r="K29" s="102"/>
    </row>
    <row r="30" spans="2:11" ht="12.95" customHeight="1" x14ac:dyDescent="0.2">
      <c r="B30" s="74"/>
      <c r="C30" s="74"/>
      <c r="D30" s="74"/>
      <c r="E30" s="74"/>
      <c r="F30" s="74"/>
      <c r="G30" s="74"/>
      <c r="H30" s="102"/>
      <c r="I30" s="102"/>
      <c r="J30" s="102"/>
      <c r="K30" s="102"/>
    </row>
    <row r="31" spans="2:11" ht="12.95" customHeight="1" x14ac:dyDescent="0.2">
      <c r="B31" s="74"/>
      <c r="C31" s="74"/>
      <c r="D31" s="74"/>
      <c r="E31" s="74"/>
      <c r="F31" s="74"/>
      <c r="G31" s="74"/>
      <c r="H31" s="102"/>
      <c r="I31" s="102"/>
      <c r="J31" s="102"/>
      <c r="K31" s="102"/>
    </row>
    <row r="32" spans="2:11" ht="12.95" customHeight="1" x14ac:dyDescent="0.2">
      <c r="B32" s="74"/>
      <c r="C32" s="74"/>
      <c r="D32" s="74"/>
      <c r="E32" s="74"/>
      <c r="F32" s="74"/>
      <c r="G32" s="74"/>
      <c r="H32" s="102"/>
      <c r="I32" s="102"/>
      <c r="J32" s="102"/>
      <c r="K32" s="102"/>
    </row>
    <row r="33" spans="2:11" ht="12.95" customHeight="1" x14ac:dyDescent="0.2">
      <c r="B33" s="74"/>
      <c r="C33" s="74"/>
      <c r="D33" s="74"/>
      <c r="E33" s="74"/>
      <c r="F33" s="74"/>
      <c r="G33" s="74"/>
      <c r="H33" s="102"/>
      <c r="I33" s="102"/>
      <c r="J33" s="102"/>
      <c r="K33" s="102"/>
    </row>
    <row r="34" spans="2:11" ht="12.95" customHeight="1" x14ac:dyDescent="0.2">
      <c r="B34" s="74"/>
      <c r="C34" s="74"/>
      <c r="D34" s="74"/>
      <c r="E34" s="74"/>
      <c r="F34" s="74"/>
      <c r="G34" s="74"/>
      <c r="H34" s="102"/>
      <c r="I34" s="102"/>
      <c r="J34" s="102"/>
      <c r="K34" s="102"/>
    </row>
    <row r="35" spans="2:11" ht="12.95" customHeight="1" x14ac:dyDescent="0.2">
      <c r="B35" s="74"/>
      <c r="C35" s="74"/>
      <c r="D35" s="74"/>
      <c r="E35" s="74"/>
      <c r="F35" s="74"/>
      <c r="G35" s="74"/>
      <c r="H35" s="102"/>
      <c r="I35" s="102"/>
      <c r="J35" s="102"/>
      <c r="K35" s="102"/>
    </row>
    <row r="36" spans="2:11" ht="12.95" customHeight="1" x14ac:dyDescent="0.2">
      <c r="B36" s="74"/>
      <c r="C36" s="74"/>
      <c r="D36" s="74"/>
      <c r="E36" s="74"/>
      <c r="F36" s="74"/>
      <c r="G36" s="74"/>
      <c r="H36" s="102"/>
      <c r="I36" s="102"/>
      <c r="J36" s="102"/>
      <c r="K36" s="102"/>
    </row>
    <row r="37" spans="2:11" ht="12.95" customHeight="1" x14ac:dyDescent="0.2">
      <c r="B37" s="74"/>
      <c r="C37" s="74"/>
      <c r="D37" s="74"/>
      <c r="E37" s="74"/>
      <c r="F37" s="74"/>
      <c r="G37" s="74"/>
      <c r="H37" s="102"/>
      <c r="I37" s="102"/>
      <c r="J37" s="102"/>
      <c r="K37" s="102"/>
    </row>
    <row r="38" spans="2:11" ht="12.95" customHeight="1" x14ac:dyDescent="0.2">
      <c r="B38" s="74"/>
      <c r="C38" s="74"/>
      <c r="D38" s="74"/>
      <c r="E38" s="74"/>
      <c r="F38" s="74"/>
      <c r="G38" s="74"/>
      <c r="H38" s="102"/>
      <c r="I38" s="102"/>
      <c r="J38" s="102"/>
      <c r="K38" s="102"/>
    </row>
    <row r="39" spans="2:11" ht="12.95" customHeight="1" x14ac:dyDescent="0.2">
      <c r="B39" s="74"/>
      <c r="C39" s="74"/>
      <c r="D39" s="74"/>
      <c r="E39" s="74"/>
      <c r="F39" s="74"/>
      <c r="G39" s="74"/>
      <c r="H39" s="102"/>
      <c r="I39" s="102"/>
      <c r="J39" s="102"/>
      <c r="K39" s="102"/>
    </row>
    <row r="40" spans="2:11" ht="12.95" customHeight="1" x14ac:dyDescent="0.2">
      <c r="B40" s="74"/>
      <c r="C40" s="74"/>
      <c r="D40" s="74"/>
      <c r="E40" s="74"/>
      <c r="F40" s="74"/>
      <c r="G40" s="74"/>
      <c r="H40" s="102"/>
      <c r="I40" s="102"/>
      <c r="J40" s="102"/>
      <c r="K40" s="102"/>
    </row>
    <row r="41" spans="2:11" ht="12.95" customHeight="1" x14ac:dyDescent="0.2">
      <c r="B41" s="74"/>
      <c r="C41" s="74"/>
      <c r="D41" s="74"/>
      <c r="E41" s="74"/>
      <c r="F41" s="74"/>
      <c r="G41" s="74"/>
      <c r="H41" s="102"/>
      <c r="I41" s="102"/>
      <c r="J41" s="102"/>
      <c r="K41" s="102"/>
    </row>
    <row r="42" spans="2:11" ht="12.95" customHeight="1" x14ac:dyDescent="0.2">
      <c r="B42" s="74"/>
      <c r="C42" s="74"/>
      <c r="D42" s="74"/>
      <c r="E42" s="74"/>
      <c r="F42" s="74"/>
      <c r="G42" s="74"/>
      <c r="H42" s="102"/>
      <c r="I42" s="102"/>
      <c r="J42" s="102"/>
      <c r="K42" s="102"/>
    </row>
    <row r="43" spans="2:11" ht="12.95" customHeight="1" x14ac:dyDescent="0.2">
      <c r="B43" s="74"/>
      <c r="C43" s="74"/>
      <c r="D43" s="74"/>
      <c r="E43" s="74"/>
      <c r="F43" s="74"/>
      <c r="G43" s="74"/>
      <c r="H43" s="102"/>
      <c r="I43" s="102"/>
      <c r="J43" s="102"/>
      <c r="K43" s="102"/>
    </row>
    <row r="44" spans="2:11" ht="12.95" customHeight="1" x14ac:dyDescent="0.2">
      <c r="B44" s="74"/>
      <c r="C44" s="74"/>
      <c r="D44" s="74"/>
      <c r="E44" s="74"/>
      <c r="F44" s="74"/>
      <c r="G44" s="74"/>
      <c r="H44" s="102"/>
      <c r="I44" s="102"/>
      <c r="J44" s="102"/>
      <c r="K44" s="102"/>
    </row>
    <row r="45" spans="2:11" ht="12.95" customHeight="1" x14ac:dyDescent="0.2">
      <c r="B45" s="74"/>
      <c r="C45" s="74"/>
      <c r="D45" s="74"/>
      <c r="E45" s="74"/>
      <c r="F45" s="74"/>
      <c r="G45" s="74"/>
      <c r="H45" s="102"/>
      <c r="I45" s="102"/>
      <c r="J45" s="102"/>
      <c r="K45" s="102"/>
    </row>
    <row r="46" spans="2:11" ht="12.95" customHeight="1" x14ac:dyDescent="0.2">
      <c r="B46" s="74"/>
      <c r="C46" s="74"/>
      <c r="D46" s="74"/>
      <c r="E46" s="74"/>
      <c r="F46" s="74"/>
      <c r="G46" s="74"/>
      <c r="H46" s="102"/>
      <c r="I46" s="102"/>
      <c r="J46" s="102"/>
      <c r="K46" s="102"/>
    </row>
    <row r="47" spans="2:11" ht="12.95" customHeight="1" x14ac:dyDescent="0.2">
      <c r="B47" s="74"/>
      <c r="C47" s="74"/>
      <c r="D47" s="74"/>
      <c r="E47" s="74"/>
      <c r="F47" s="74"/>
      <c r="G47" s="74"/>
      <c r="H47" s="102"/>
      <c r="I47" s="102"/>
      <c r="J47" s="102"/>
      <c r="K47" s="102"/>
    </row>
    <row r="48" spans="2:11" ht="12.95" customHeight="1" x14ac:dyDescent="0.2">
      <c r="B48" s="74"/>
      <c r="C48" s="74"/>
      <c r="D48" s="74"/>
      <c r="E48" s="74"/>
      <c r="F48" s="74"/>
      <c r="G48" s="74"/>
      <c r="H48" s="102"/>
      <c r="I48" s="102"/>
      <c r="J48" s="102"/>
      <c r="K48" s="102"/>
    </row>
    <row r="49" spans="2:11" ht="12.95" customHeight="1" x14ac:dyDescent="0.2">
      <c r="B49" s="74"/>
      <c r="C49" s="74"/>
      <c r="D49" s="74"/>
      <c r="E49" s="74"/>
      <c r="F49" s="74"/>
      <c r="G49" s="74"/>
      <c r="H49" s="102"/>
      <c r="I49" s="102"/>
      <c r="J49" s="102"/>
      <c r="K49" s="102"/>
    </row>
    <row r="50" spans="2:11" ht="12.95" customHeight="1" x14ac:dyDescent="0.2">
      <c r="B50" s="74"/>
      <c r="C50" s="74"/>
      <c r="D50" s="74"/>
      <c r="E50" s="74"/>
      <c r="F50" s="74"/>
      <c r="G50" s="74"/>
      <c r="H50" s="102"/>
      <c r="I50" s="102"/>
      <c r="J50" s="102"/>
      <c r="K50" s="102"/>
    </row>
    <row r="51" spans="2:11" ht="12.95" customHeight="1" x14ac:dyDescent="0.2">
      <c r="B51" s="74"/>
      <c r="C51" s="74"/>
      <c r="D51" s="74"/>
      <c r="E51" s="74"/>
      <c r="F51" s="74"/>
      <c r="G51" s="74"/>
      <c r="H51" s="102"/>
      <c r="I51" s="102"/>
      <c r="J51" s="102"/>
      <c r="K51" s="102"/>
    </row>
    <row r="52" spans="2:11" ht="12.95" customHeight="1" x14ac:dyDescent="0.2">
      <c r="B52" s="74"/>
      <c r="C52" s="74"/>
      <c r="D52" s="74"/>
      <c r="E52" s="74"/>
      <c r="F52" s="74"/>
      <c r="G52" s="74"/>
      <c r="H52" s="102"/>
      <c r="I52" s="102"/>
      <c r="J52" s="102"/>
      <c r="K52" s="102"/>
    </row>
    <row r="53" spans="2:11" ht="12.95" customHeight="1" x14ac:dyDescent="0.2">
      <c r="B53" s="74"/>
      <c r="C53" s="74"/>
      <c r="D53" s="74"/>
      <c r="E53" s="74"/>
      <c r="F53" s="74"/>
      <c r="G53" s="74"/>
      <c r="H53" s="102"/>
      <c r="I53" s="102"/>
      <c r="J53" s="102"/>
      <c r="K53" s="102"/>
    </row>
    <row r="54" spans="2:11" ht="12.95" customHeight="1" x14ac:dyDescent="0.2">
      <c r="B54" s="74"/>
      <c r="C54" s="74"/>
      <c r="D54" s="74"/>
      <c r="E54" s="74"/>
      <c r="F54" s="74"/>
      <c r="G54" s="74"/>
      <c r="H54" s="102"/>
      <c r="I54" s="102"/>
      <c r="J54" s="102"/>
      <c r="K54" s="102"/>
    </row>
    <row r="55" spans="2:11" ht="12.95" customHeight="1" x14ac:dyDescent="0.2">
      <c r="B55" s="74"/>
      <c r="C55" s="74"/>
      <c r="D55" s="74"/>
      <c r="E55" s="74"/>
      <c r="F55" s="74"/>
      <c r="G55" s="74"/>
      <c r="H55" s="102"/>
      <c r="I55" s="102"/>
      <c r="J55" s="102"/>
      <c r="K55" s="102"/>
    </row>
    <row r="56" spans="2:11" x14ac:dyDescent="0.2">
      <c r="B56" s="74"/>
      <c r="C56" s="74"/>
      <c r="D56" s="74"/>
      <c r="E56" s="74"/>
      <c r="F56" s="74"/>
      <c r="G56" s="74"/>
      <c r="H56" s="102"/>
      <c r="I56" s="102"/>
      <c r="J56" s="102"/>
      <c r="K56" s="102"/>
    </row>
    <row r="57" spans="2:11" x14ac:dyDescent="0.2">
      <c r="B57" s="74"/>
      <c r="C57" s="74"/>
      <c r="D57" s="74"/>
      <c r="E57" s="74"/>
      <c r="F57" s="74"/>
      <c r="G57" s="74"/>
      <c r="H57" s="102"/>
      <c r="I57" s="102"/>
      <c r="J57" s="102"/>
      <c r="K57" s="102"/>
    </row>
    <row r="58" spans="2:11" x14ac:dyDescent="0.2">
      <c r="B58" s="74"/>
      <c r="C58" s="74"/>
      <c r="D58" s="74"/>
      <c r="E58" s="74"/>
      <c r="F58" s="74"/>
      <c r="G58" s="74"/>
      <c r="H58" s="102"/>
      <c r="I58" s="102"/>
      <c r="J58" s="102"/>
      <c r="K58" s="102"/>
    </row>
    <row r="59" spans="2:11" x14ac:dyDescent="0.2">
      <c r="B59" s="74"/>
      <c r="C59" s="74"/>
      <c r="D59" s="74"/>
      <c r="E59" s="74"/>
      <c r="F59" s="74"/>
      <c r="G59" s="74"/>
      <c r="H59" s="102"/>
      <c r="I59" s="102"/>
      <c r="J59" s="102"/>
      <c r="K59" s="102"/>
    </row>
    <row r="60" spans="2:11" x14ac:dyDescent="0.2">
      <c r="B60" s="74"/>
      <c r="C60" s="74"/>
      <c r="D60" s="74"/>
      <c r="E60" s="74"/>
      <c r="F60" s="74"/>
      <c r="G60" s="74"/>
      <c r="H60" s="102"/>
      <c r="I60" s="102"/>
      <c r="J60" s="102"/>
      <c r="K60" s="102"/>
    </row>
    <row r="61" spans="2:11" x14ac:dyDescent="0.2">
      <c r="B61" s="74"/>
      <c r="C61" s="74"/>
      <c r="D61" s="74"/>
      <c r="E61" s="74"/>
      <c r="F61" s="74"/>
      <c r="G61" s="74"/>
      <c r="H61" s="102"/>
      <c r="I61" s="102"/>
      <c r="J61" s="102"/>
      <c r="K61" s="102"/>
    </row>
    <row r="62" spans="2:11" x14ac:dyDescent="0.2">
      <c r="B62" s="74"/>
      <c r="C62" s="74"/>
      <c r="D62" s="74"/>
      <c r="E62" s="74"/>
      <c r="F62" s="74"/>
      <c r="G62" s="74"/>
      <c r="H62" s="102"/>
      <c r="I62" s="102"/>
      <c r="J62" s="102"/>
      <c r="K62" s="102"/>
    </row>
    <row r="63" spans="2:11" x14ac:dyDescent="0.2">
      <c r="B63" s="74"/>
      <c r="C63" s="74"/>
      <c r="D63" s="74"/>
      <c r="E63" s="74"/>
      <c r="F63" s="74"/>
      <c r="G63" s="74"/>
      <c r="H63" s="102"/>
      <c r="I63" s="102"/>
      <c r="J63" s="102"/>
      <c r="K63" s="102"/>
    </row>
    <row r="64" spans="2:11" x14ac:dyDescent="0.2">
      <c r="B64" s="74"/>
      <c r="C64" s="74"/>
      <c r="D64" s="74"/>
      <c r="E64" s="74"/>
      <c r="F64" s="74"/>
      <c r="G64" s="74"/>
      <c r="H64" s="102"/>
      <c r="I64" s="102"/>
      <c r="J64" s="102"/>
      <c r="K64" s="102"/>
    </row>
    <row r="65" spans="2:11" x14ac:dyDescent="0.2">
      <c r="B65" s="74"/>
      <c r="C65" s="74"/>
      <c r="D65" s="74"/>
      <c r="E65" s="74"/>
      <c r="F65" s="74"/>
      <c r="G65" s="74"/>
      <c r="H65" s="102"/>
      <c r="I65" s="102"/>
      <c r="J65" s="102"/>
      <c r="K65" s="102"/>
    </row>
    <row r="66" spans="2:11" x14ac:dyDescent="0.2">
      <c r="B66" s="74"/>
      <c r="C66" s="74"/>
      <c r="D66" s="74"/>
      <c r="E66" s="74"/>
      <c r="F66" s="74"/>
      <c r="G66" s="74"/>
      <c r="H66" s="102"/>
      <c r="I66" s="102"/>
      <c r="J66" s="102"/>
      <c r="K66" s="102"/>
    </row>
    <row r="67" spans="2:11" x14ac:dyDescent="0.2">
      <c r="B67" s="74"/>
      <c r="C67" s="74"/>
      <c r="D67" s="74"/>
      <c r="E67" s="74"/>
      <c r="F67" s="74"/>
      <c r="G67" s="74"/>
      <c r="H67" s="102"/>
      <c r="I67" s="102"/>
      <c r="J67" s="102"/>
      <c r="K67" s="102"/>
    </row>
    <row r="68" spans="2:11" x14ac:dyDescent="0.2">
      <c r="B68" s="74"/>
      <c r="C68" s="74"/>
      <c r="D68" s="74"/>
      <c r="E68" s="74"/>
      <c r="F68" s="74"/>
      <c r="G68" s="74"/>
      <c r="H68" s="102"/>
      <c r="I68" s="102"/>
      <c r="J68" s="102"/>
      <c r="K68" s="102"/>
    </row>
    <row r="69" spans="2:11" x14ac:dyDescent="0.2">
      <c r="B69" s="74"/>
      <c r="C69" s="74"/>
      <c r="D69" s="74"/>
      <c r="E69" s="74"/>
      <c r="F69" s="74"/>
      <c r="G69" s="74"/>
      <c r="H69" s="102"/>
      <c r="I69" s="102"/>
      <c r="J69" s="102"/>
      <c r="K69" s="102"/>
    </row>
    <row r="70" spans="2:11" x14ac:dyDescent="0.2">
      <c r="B70" s="74"/>
      <c r="C70" s="74"/>
      <c r="D70" s="74"/>
      <c r="E70" s="74"/>
      <c r="F70" s="74"/>
      <c r="G70" s="74"/>
      <c r="H70" s="102"/>
      <c r="I70" s="102"/>
      <c r="J70" s="102"/>
      <c r="K70" s="102"/>
    </row>
    <row r="71" spans="2:11" x14ac:dyDescent="0.2">
      <c r="B71" s="74"/>
      <c r="C71" s="74"/>
      <c r="D71" s="74"/>
      <c r="E71" s="74"/>
      <c r="F71" s="74"/>
      <c r="G71" s="74"/>
      <c r="H71" s="102"/>
      <c r="I71" s="102"/>
      <c r="J71" s="102"/>
      <c r="K71" s="102"/>
    </row>
    <row r="72" spans="2:11" x14ac:dyDescent="0.2">
      <c r="B72" s="74"/>
      <c r="C72" s="74"/>
      <c r="D72" s="74"/>
      <c r="E72" s="74"/>
      <c r="F72" s="74"/>
      <c r="G72" s="74"/>
      <c r="H72" s="102"/>
      <c r="I72" s="102"/>
      <c r="J72" s="102"/>
      <c r="K72" s="102"/>
    </row>
    <row r="73" spans="2:11" x14ac:dyDescent="0.2">
      <c r="B73" s="74"/>
      <c r="C73" s="74"/>
      <c r="D73" s="74"/>
      <c r="E73" s="74"/>
      <c r="F73" s="74"/>
      <c r="G73" s="74"/>
      <c r="H73" s="102"/>
      <c r="I73" s="102"/>
      <c r="J73" s="102"/>
      <c r="K73" s="102"/>
    </row>
    <row r="74" spans="2:11" x14ac:dyDescent="0.2">
      <c r="G74" s="74"/>
    </row>
  </sheetData>
  <mergeCells count="14">
    <mergeCell ref="A4:K4"/>
    <mergeCell ref="A6:K6"/>
    <mergeCell ref="A5:K5"/>
    <mergeCell ref="K8:K10"/>
    <mergeCell ref="J8:J10"/>
    <mergeCell ref="F9:G9"/>
    <mergeCell ref="A8:A10"/>
    <mergeCell ref="B8:B10"/>
    <mergeCell ref="C8:C10"/>
    <mergeCell ref="D8:D10"/>
    <mergeCell ref="E8:E10"/>
    <mergeCell ref="H9:H10"/>
    <mergeCell ref="F8:I8"/>
    <mergeCell ref="I9:I10"/>
  </mergeCells>
  <pageMargins left="0.35" right="0.16" top="0.31" bottom="1" header="0.19" footer="0.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740"/>
  <sheetViews>
    <sheetView zoomScaleNormal="100" workbookViewId="0">
      <selection activeCell="F70" sqref="F70"/>
    </sheetView>
  </sheetViews>
  <sheetFormatPr defaultRowHeight="12.75" x14ac:dyDescent="0.2"/>
  <cols>
    <col min="1" max="1" width="6.28515625" style="2" customWidth="1"/>
    <col min="2" max="2" width="64.42578125" customWidth="1"/>
    <col min="3" max="3" width="14.5703125" style="35" customWidth="1"/>
    <col min="4" max="4" width="14.28515625" style="35" customWidth="1"/>
    <col min="5" max="5" width="12.85546875" style="35" customWidth="1"/>
    <col min="6" max="6" width="13.140625" style="35" customWidth="1"/>
    <col min="7" max="7" width="18.7109375" style="9" customWidth="1"/>
    <col min="8" max="8" width="18.7109375" customWidth="1"/>
  </cols>
  <sheetData>
    <row r="1" spans="1:47" ht="15" customHeight="1" x14ac:dyDescent="0.3">
      <c r="A1" s="54"/>
      <c r="B1" s="212"/>
      <c r="C1" s="213"/>
      <c r="D1" s="214"/>
      <c r="E1" s="214"/>
      <c r="F1" s="214" t="s">
        <v>446</v>
      </c>
      <c r="G1" s="2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5" customHeight="1" x14ac:dyDescent="0.3">
      <c r="A2" s="54"/>
      <c r="B2" s="212"/>
      <c r="C2" s="213"/>
      <c r="D2" s="214"/>
      <c r="E2" s="214"/>
      <c r="F2" s="214" t="str">
        <f>'11.Eu projekt'!K2</f>
        <v>az 1/2026.(II.26.) önkormányzati rendelethez</v>
      </c>
      <c r="G2" s="2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9.5" x14ac:dyDescent="0.35">
      <c r="A3" s="590" t="s">
        <v>354</v>
      </c>
      <c r="B3" s="590"/>
      <c r="C3" s="590"/>
      <c r="D3" s="590"/>
      <c r="E3" s="590"/>
      <c r="F3" s="590"/>
      <c r="G3" s="2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9.5" x14ac:dyDescent="0.35">
      <c r="A4" s="590" t="s">
        <v>615</v>
      </c>
      <c r="B4" s="590"/>
      <c r="C4" s="590"/>
      <c r="D4" s="590"/>
      <c r="E4" s="590"/>
      <c r="F4" s="590"/>
      <c r="G4" s="2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3.5" thickBot="1" x14ac:dyDescent="0.25">
      <c r="A5" s="54"/>
      <c r="B5" s="54"/>
      <c r="C5" s="213"/>
      <c r="D5" s="214"/>
      <c r="E5" s="214"/>
      <c r="F5" s="214" t="s">
        <v>0</v>
      </c>
      <c r="G5" s="2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53.25" customHeight="1" thickBot="1" x14ac:dyDescent="0.25">
      <c r="A6" s="206" t="s">
        <v>100</v>
      </c>
      <c r="B6" s="209" t="s">
        <v>14</v>
      </c>
      <c r="C6" s="210" t="s">
        <v>506</v>
      </c>
      <c r="D6" s="210" t="s">
        <v>515</v>
      </c>
      <c r="E6" s="210" t="s">
        <v>534</v>
      </c>
      <c r="F6" s="42" t="s">
        <v>619</v>
      </c>
      <c r="G6" s="2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20.25" customHeight="1" x14ac:dyDescent="0.2">
      <c r="A7" s="164" t="s">
        <v>101</v>
      </c>
      <c r="B7" s="156" t="s">
        <v>338</v>
      </c>
      <c r="C7" s="201">
        <f>SUM(C8+C15+C21+C28+C39+C45+C49)</f>
        <v>74690</v>
      </c>
      <c r="D7" s="201">
        <f>SUM(D8+D15+D21+D28+D39+D45+D49)</f>
        <v>80500</v>
      </c>
      <c r="E7" s="201" t="e">
        <f>SUM(E8+E15+E21+E28+E39+E45+E49)</f>
        <v>#REF!</v>
      </c>
      <c r="F7" s="201" t="e">
        <f>SUM(F8+F15+F21+F28+F39+F45+F49)</f>
        <v>#REF!</v>
      </c>
      <c r="G7" s="2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8" customHeight="1" x14ac:dyDescent="0.25">
      <c r="A8" s="13" t="s">
        <v>102</v>
      </c>
      <c r="B8" s="157" t="s">
        <v>202</v>
      </c>
      <c r="C8" s="36">
        <f>'1.Bev-kiad.'!C10</f>
        <v>29737</v>
      </c>
      <c r="D8" s="36">
        <v>37500</v>
      </c>
      <c r="E8" s="36">
        <v>38000</v>
      </c>
      <c r="F8" s="36">
        <v>38000</v>
      </c>
      <c r="G8" s="2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3.5" hidden="1" customHeight="1" x14ac:dyDescent="0.25">
      <c r="A9" s="8" t="s">
        <v>103</v>
      </c>
      <c r="B9" s="159" t="s">
        <v>111</v>
      </c>
      <c r="C9" s="36">
        <f>'1.Bev-kiad.'!C11</f>
        <v>0</v>
      </c>
      <c r="D9" s="5"/>
      <c r="E9" s="5"/>
      <c r="F9" s="5"/>
      <c r="G9" s="2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3.5" hidden="1" customHeight="1" x14ac:dyDescent="0.25">
      <c r="A10" s="8" t="s">
        <v>152</v>
      </c>
      <c r="B10" s="159" t="s">
        <v>153</v>
      </c>
      <c r="C10" s="36">
        <f>'1.Bev-kiad.'!C12</f>
        <v>0</v>
      </c>
      <c r="D10" s="5"/>
      <c r="E10" s="5"/>
      <c r="F10" s="5"/>
      <c r="G10" s="2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3.5" hidden="1" customHeight="1" x14ac:dyDescent="0.25">
      <c r="A11" s="8" t="s">
        <v>104</v>
      </c>
      <c r="B11" s="159" t="s">
        <v>108</v>
      </c>
      <c r="C11" s="36">
        <f>'1.Bev-kiad.'!C13</f>
        <v>0</v>
      </c>
      <c r="D11" s="6"/>
      <c r="E11" s="6"/>
      <c r="F11" s="6"/>
      <c r="G11" s="2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3.5" hidden="1" customHeight="1" x14ac:dyDescent="0.25">
      <c r="A12" s="8" t="s">
        <v>105</v>
      </c>
      <c r="B12" s="159" t="s">
        <v>109</v>
      </c>
      <c r="C12" s="36">
        <f>'1.Bev-kiad.'!C14</f>
        <v>0</v>
      </c>
      <c r="D12" s="10"/>
      <c r="E12" s="10"/>
      <c r="F12" s="10"/>
      <c r="G12" s="2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hidden="1" customHeight="1" x14ac:dyDescent="0.25">
      <c r="A13" s="8" t="s">
        <v>106</v>
      </c>
      <c r="B13" s="159" t="s">
        <v>110</v>
      </c>
      <c r="C13" s="36">
        <f>'1.Bev-kiad.'!C15</f>
        <v>0</v>
      </c>
      <c r="D13" s="12"/>
      <c r="E13" s="12"/>
      <c r="F13" s="12"/>
      <c r="G13" s="2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2.75" hidden="1" customHeight="1" x14ac:dyDescent="0.25">
      <c r="A14" s="8" t="s">
        <v>107</v>
      </c>
      <c r="B14" s="159" t="s">
        <v>112</v>
      </c>
      <c r="C14" s="36">
        <f>'1.Bev-kiad.'!C16</f>
        <v>0</v>
      </c>
      <c r="D14" s="12"/>
      <c r="E14" s="12"/>
      <c r="F14" s="12"/>
      <c r="G14" s="2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8" customHeight="1" x14ac:dyDescent="0.25">
      <c r="A15" s="13" t="s">
        <v>113</v>
      </c>
      <c r="B15" s="157" t="s">
        <v>203</v>
      </c>
      <c r="C15" s="36">
        <f>'1.Bev-kiad.'!C17</f>
        <v>5988</v>
      </c>
      <c r="D15" s="40">
        <v>0</v>
      </c>
      <c r="E15" s="40">
        <v>0</v>
      </c>
      <c r="F15" s="40">
        <v>0</v>
      </c>
      <c r="G15" s="2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hidden="1" customHeight="1" x14ac:dyDescent="0.25">
      <c r="A16" s="8" t="s">
        <v>114</v>
      </c>
      <c r="B16" s="159" t="s">
        <v>121</v>
      </c>
      <c r="C16" s="36">
        <f>'1.Bev-kiad.'!C18</f>
        <v>0</v>
      </c>
      <c r="D16" s="5"/>
      <c r="E16" s="5"/>
      <c r="F16" s="5"/>
      <c r="G16" s="2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hidden="1" customHeight="1" x14ac:dyDescent="0.25">
      <c r="A17" s="8" t="s">
        <v>154</v>
      </c>
      <c r="B17" s="159" t="s">
        <v>155</v>
      </c>
      <c r="C17" s="36">
        <f>'1.Bev-kiad.'!C19</f>
        <v>0</v>
      </c>
      <c r="D17" s="12"/>
      <c r="E17" s="12"/>
      <c r="F17" s="12"/>
      <c r="G17" s="2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hidden="1" customHeight="1" x14ac:dyDescent="0.25">
      <c r="A18" s="8" t="s">
        <v>115</v>
      </c>
      <c r="B18" s="159" t="s">
        <v>118</v>
      </c>
      <c r="C18" s="36">
        <f>'1.Bev-kiad.'!C20</f>
        <v>0</v>
      </c>
      <c r="D18" s="12"/>
      <c r="E18" s="12"/>
      <c r="F18" s="12"/>
      <c r="G18" s="2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3.5" hidden="1" customHeight="1" x14ac:dyDescent="0.25">
      <c r="A19" s="8" t="s">
        <v>116</v>
      </c>
      <c r="B19" s="159" t="s">
        <v>119</v>
      </c>
      <c r="C19" s="36">
        <f>'1.Bev-kiad.'!C21</f>
        <v>0</v>
      </c>
      <c r="D19" s="12"/>
      <c r="E19" s="12"/>
      <c r="F19" s="12"/>
      <c r="G19" s="2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3.5" hidden="1" customHeight="1" x14ac:dyDescent="0.25">
      <c r="A20" s="8" t="s">
        <v>117</v>
      </c>
      <c r="B20" s="159" t="s">
        <v>120</v>
      </c>
      <c r="C20" s="36">
        <f>'1.Bev-kiad.'!C22</f>
        <v>0</v>
      </c>
      <c r="D20" s="12"/>
      <c r="E20" s="12"/>
      <c r="F20" s="12"/>
      <c r="G20" s="2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8" customHeight="1" x14ac:dyDescent="0.25">
      <c r="A21" s="13" t="s">
        <v>122</v>
      </c>
      <c r="B21" s="157" t="s">
        <v>83</v>
      </c>
      <c r="C21" s="36">
        <f>'1.Bev-kiad.'!C23</f>
        <v>30431</v>
      </c>
      <c r="D21" s="40">
        <v>33000</v>
      </c>
      <c r="E21" s="40">
        <v>33000</v>
      </c>
      <c r="F21" s="40">
        <v>33000</v>
      </c>
      <c r="G21" s="2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3.5" hidden="1" customHeight="1" x14ac:dyDescent="0.25">
      <c r="A22" s="8" t="s">
        <v>123</v>
      </c>
      <c r="B22" s="159" t="s">
        <v>129</v>
      </c>
      <c r="C22" s="36">
        <f>'1.Bev-kiad.'!C24</f>
        <v>0</v>
      </c>
      <c r="D22" s="12"/>
      <c r="E22" s="12"/>
      <c r="F22" s="12"/>
      <c r="G22" s="2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3.5" hidden="1" customHeight="1" x14ac:dyDescent="0.25">
      <c r="A23" s="8" t="s">
        <v>124</v>
      </c>
      <c r="B23" s="159" t="s">
        <v>130</v>
      </c>
      <c r="C23" s="36">
        <f>'1.Bev-kiad.'!C25</f>
        <v>0</v>
      </c>
      <c r="D23" s="12"/>
      <c r="E23" s="12"/>
      <c r="F23" s="12"/>
      <c r="G23" s="28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hidden="1" customHeight="1" x14ac:dyDescent="0.25">
      <c r="A24" s="8" t="s">
        <v>125</v>
      </c>
      <c r="B24" s="160" t="s">
        <v>131</v>
      </c>
      <c r="C24" s="36">
        <f>'1.Bev-kiad.'!C26</f>
        <v>0</v>
      </c>
      <c r="D24" s="45"/>
      <c r="E24" s="45"/>
      <c r="F24" s="45"/>
      <c r="G24" s="2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3.5" hidden="1" customHeight="1" x14ac:dyDescent="0.25">
      <c r="A25" s="8" t="s">
        <v>126</v>
      </c>
      <c r="B25" s="159" t="s">
        <v>158</v>
      </c>
      <c r="C25" s="36">
        <f>'1.Bev-kiad.'!C27</f>
        <v>0</v>
      </c>
      <c r="D25" s="37"/>
      <c r="E25" s="37"/>
      <c r="F25" s="37"/>
      <c r="G25" s="2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s="46" customFormat="1" ht="13.5" hidden="1" customHeight="1" x14ac:dyDescent="0.25">
      <c r="A26" s="8" t="s">
        <v>127</v>
      </c>
      <c r="B26" s="159" t="s">
        <v>159</v>
      </c>
      <c r="C26" s="36">
        <f>'1.Bev-kiad.'!C28</f>
        <v>0</v>
      </c>
      <c r="D26" s="12"/>
      <c r="E26" s="12"/>
      <c r="F26" s="12"/>
      <c r="G26" s="2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46" customFormat="1" ht="13.5" hidden="1" customHeight="1" x14ac:dyDescent="0.25">
      <c r="A27" s="8" t="s">
        <v>128</v>
      </c>
      <c r="B27" s="159" t="s">
        <v>132</v>
      </c>
      <c r="C27" s="36">
        <f>'1.Bev-kiad.'!C29</f>
        <v>0</v>
      </c>
      <c r="D27" s="12"/>
      <c r="E27" s="12"/>
      <c r="F27" s="12"/>
      <c r="G27" s="2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46" customFormat="1" ht="18" customHeight="1" x14ac:dyDescent="0.25">
      <c r="A28" s="13" t="s">
        <v>133</v>
      </c>
      <c r="B28" s="157" t="s">
        <v>204</v>
      </c>
      <c r="C28" s="36">
        <f>'1.Bev-kiad.'!C30</f>
        <v>8534</v>
      </c>
      <c r="D28" s="40">
        <v>10000</v>
      </c>
      <c r="E28" s="40">
        <v>10000</v>
      </c>
      <c r="F28" s="40">
        <v>10000</v>
      </c>
      <c r="G28" s="2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hidden="1" customHeight="1" x14ac:dyDescent="0.25">
      <c r="A29" s="8" t="s">
        <v>136</v>
      </c>
      <c r="B29" s="159" t="s">
        <v>134</v>
      </c>
      <c r="C29" s="36">
        <f>'1.Bev-kiad.'!C31</f>
        <v>0</v>
      </c>
      <c r="D29" s="12"/>
      <c r="E29" s="12"/>
      <c r="F29" s="12"/>
      <c r="G29" s="2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s="46" customFormat="1" ht="13.5" hidden="1" customHeight="1" x14ac:dyDescent="0.25">
      <c r="A30" s="8" t="s">
        <v>137</v>
      </c>
      <c r="B30" s="159" t="s">
        <v>135</v>
      </c>
      <c r="C30" s="36">
        <f>'1.Bev-kiad.'!C32</f>
        <v>0</v>
      </c>
      <c r="D30" s="12"/>
      <c r="E30" s="12"/>
      <c r="F30" s="12"/>
      <c r="G30" s="2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s="46" customFormat="1" ht="13.5" hidden="1" customHeight="1" x14ac:dyDescent="0.25">
      <c r="A31" s="8" t="s">
        <v>138</v>
      </c>
      <c r="B31" s="159" t="s">
        <v>141</v>
      </c>
      <c r="C31" s="36">
        <f>'1.Bev-kiad.'!C33</f>
        <v>0</v>
      </c>
      <c r="D31" s="10"/>
      <c r="E31" s="10"/>
      <c r="F31" s="10"/>
      <c r="G31" s="2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hidden="1" customHeight="1" x14ac:dyDescent="0.25">
      <c r="A32" s="8" t="s">
        <v>139</v>
      </c>
      <c r="B32" s="160" t="s">
        <v>142</v>
      </c>
      <c r="C32" s="36">
        <f>'1.Bev-kiad.'!C34</f>
        <v>0</v>
      </c>
      <c r="D32" s="8"/>
      <c r="E32" s="8"/>
      <c r="F32" s="8"/>
      <c r="G32" s="2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3.5" hidden="1" customHeight="1" x14ac:dyDescent="0.25">
      <c r="A33" s="8" t="s">
        <v>140</v>
      </c>
      <c r="B33" s="20" t="s">
        <v>143</v>
      </c>
      <c r="C33" s="36">
        <f>'1.Bev-kiad.'!C35</f>
        <v>0</v>
      </c>
      <c r="D33" s="8"/>
      <c r="E33" s="8"/>
      <c r="F33" s="8"/>
      <c r="G33" s="2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3.5" hidden="1" customHeight="1" x14ac:dyDescent="0.25">
      <c r="A34" s="8" t="s">
        <v>144</v>
      </c>
      <c r="B34" s="20" t="s">
        <v>145</v>
      </c>
      <c r="C34" s="36">
        <f>'1.Bev-kiad.'!C36</f>
        <v>0</v>
      </c>
      <c r="D34" s="8"/>
      <c r="E34" s="8"/>
      <c r="F34" s="8"/>
      <c r="G34" s="2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hidden="1" customHeight="1" x14ac:dyDescent="0.25">
      <c r="A35" s="8" t="s">
        <v>146</v>
      </c>
      <c r="B35" s="20" t="s">
        <v>147</v>
      </c>
      <c r="C35" s="36">
        <f>'1.Bev-kiad.'!C37</f>
        <v>0</v>
      </c>
      <c r="D35" s="8"/>
      <c r="E35" s="8"/>
      <c r="F35" s="8"/>
      <c r="G35" s="2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3.5" hidden="1" customHeight="1" x14ac:dyDescent="0.25">
      <c r="A36" s="8" t="s">
        <v>148</v>
      </c>
      <c r="B36" s="20" t="s">
        <v>149</v>
      </c>
      <c r="C36" s="36">
        <f>'1.Bev-kiad.'!C38</f>
        <v>0</v>
      </c>
      <c r="D36" s="8"/>
      <c r="E36" s="8"/>
      <c r="F36" s="8"/>
      <c r="G36" s="2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3.5" hidden="1" customHeight="1" x14ac:dyDescent="0.25">
      <c r="A37" s="8" t="s">
        <v>150</v>
      </c>
      <c r="B37" s="20" t="s">
        <v>151</v>
      </c>
      <c r="C37" s="36">
        <f>'1.Bev-kiad.'!C39</f>
        <v>0</v>
      </c>
      <c r="D37" s="8"/>
      <c r="E37" s="8"/>
      <c r="F37" s="8"/>
      <c r="G37" s="2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3.5" hidden="1" customHeight="1" x14ac:dyDescent="0.25">
      <c r="A38" s="8" t="s">
        <v>156</v>
      </c>
      <c r="B38" s="20" t="s">
        <v>157</v>
      </c>
      <c r="C38" s="36">
        <f>'1.Bev-kiad.'!C40</f>
        <v>0</v>
      </c>
      <c r="D38" s="8"/>
      <c r="E38" s="8"/>
      <c r="F38" s="8"/>
      <c r="G38" s="2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7.25" customHeight="1" x14ac:dyDescent="0.25">
      <c r="A39" s="13" t="s">
        <v>160</v>
      </c>
      <c r="B39" s="157" t="s">
        <v>205</v>
      </c>
      <c r="C39" s="36">
        <f>'1.Bev-kiad.'!C41</f>
        <v>0</v>
      </c>
      <c r="D39" s="40">
        <f>SUM('3.felh'!J24)</f>
        <v>0</v>
      </c>
      <c r="E39" s="40" t="e">
        <f>SUM('3.felh'!#REF!)</f>
        <v>#REF!</v>
      </c>
      <c r="F39" s="40" t="e">
        <f>SUM('3.felh'!#REF!)</f>
        <v>#REF!</v>
      </c>
      <c r="G39" s="2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3.5" hidden="1" customHeight="1" x14ac:dyDescent="0.25">
      <c r="A40" s="8" t="s">
        <v>161</v>
      </c>
      <c r="B40" s="20" t="s">
        <v>166</v>
      </c>
      <c r="C40" s="36">
        <f>'1.Bev-kiad.'!C42</f>
        <v>0</v>
      </c>
      <c r="D40" s="8"/>
      <c r="E40" s="8"/>
      <c r="F40" s="8"/>
      <c r="G40" s="2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3.5" hidden="1" customHeight="1" x14ac:dyDescent="0.25">
      <c r="A41" s="8" t="s">
        <v>162</v>
      </c>
      <c r="B41" s="20" t="s">
        <v>167</v>
      </c>
      <c r="C41" s="36">
        <f>'1.Bev-kiad.'!C43</f>
        <v>0</v>
      </c>
      <c r="D41" s="8"/>
      <c r="E41" s="8"/>
      <c r="F41" s="8"/>
      <c r="G41" s="2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3.5" hidden="1" customHeight="1" x14ac:dyDescent="0.25">
      <c r="A42" s="8" t="s">
        <v>163</v>
      </c>
      <c r="B42" s="20" t="s">
        <v>168</v>
      </c>
      <c r="C42" s="36">
        <f>'1.Bev-kiad.'!C44</f>
        <v>0</v>
      </c>
      <c r="D42" s="8"/>
      <c r="E42" s="8"/>
      <c r="F42" s="8"/>
      <c r="G42" s="2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3.5" hidden="1" customHeight="1" x14ac:dyDescent="0.25">
      <c r="A43" s="8" t="s">
        <v>164</v>
      </c>
      <c r="B43" s="20" t="s">
        <v>169</v>
      </c>
      <c r="C43" s="36">
        <f>'1.Bev-kiad.'!C45</f>
        <v>0</v>
      </c>
      <c r="D43" s="8"/>
      <c r="E43" s="8"/>
      <c r="F43" s="8"/>
      <c r="G43" s="2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3.5" hidden="1" customHeight="1" x14ac:dyDescent="0.25">
      <c r="A44" s="149" t="s">
        <v>165</v>
      </c>
      <c r="B44" s="20" t="s">
        <v>170</v>
      </c>
      <c r="C44" s="36">
        <f>'1.Bev-kiad.'!C46</f>
        <v>0</v>
      </c>
      <c r="D44" s="8"/>
      <c r="E44" s="8"/>
      <c r="F44" s="8"/>
      <c r="G44" s="2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8" customHeight="1" x14ac:dyDescent="0.25">
      <c r="A45" s="13" t="s">
        <v>171</v>
      </c>
      <c r="B45" s="157" t="s">
        <v>206</v>
      </c>
      <c r="C45" s="36">
        <f>'1.Bev-kiad.'!C47</f>
        <v>0</v>
      </c>
      <c r="D45" s="40">
        <v>0</v>
      </c>
      <c r="E45" s="40">
        <v>0</v>
      </c>
      <c r="F45" s="40">
        <v>0</v>
      </c>
      <c r="G45" s="2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3.5" hidden="1" customHeight="1" x14ac:dyDescent="0.25">
      <c r="A46" s="149" t="s">
        <v>176</v>
      </c>
      <c r="B46" s="20" t="s">
        <v>173</v>
      </c>
      <c r="C46" s="36">
        <f>'1.Bev-kiad.'!C48</f>
        <v>0</v>
      </c>
      <c r="D46" s="8"/>
      <c r="E46" s="8"/>
      <c r="F46" s="8"/>
      <c r="G46" s="2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3.5" hidden="1" customHeight="1" x14ac:dyDescent="0.25">
      <c r="A47" s="149" t="s">
        <v>177</v>
      </c>
      <c r="B47" s="20" t="s">
        <v>174</v>
      </c>
      <c r="C47" s="36">
        <f>'1.Bev-kiad.'!C49</f>
        <v>0</v>
      </c>
      <c r="D47" s="8"/>
      <c r="E47" s="8"/>
      <c r="F47" s="8"/>
      <c r="G47" s="2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3.5" hidden="1" customHeight="1" x14ac:dyDescent="0.25">
      <c r="A48" s="149" t="s">
        <v>178</v>
      </c>
      <c r="B48" s="20" t="s">
        <v>175</v>
      </c>
      <c r="C48" s="36">
        <f>'1.Bev-kiad.'!C50</f>
        <v>0</v>
      </c>
      <c r="D48" s="8"/>
      <c r="E48" s="8"/>
      <c r="F48" s="8"/>
      <c r="G48" s="2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8" customHeight="1" x14ac:dyDescent="0.25">
      <c r="A49" s="13" t="s">
        <v>172</v>
      </c>
      <c r="B49" s="157" t="s">
        <v>207</v>
      </c>
      <c r="C49" s="36">
        <f>'1.Bev-kiad.'!C51</f>
        <v>0</v>
      </c>
      <c r="D49" s="40">
        <f>SUM('3.felh'!J30)</f>
        <v>0</v>
      </c>
      <c r="E49" s="40" t="e">
        <f>SUM('3.felh'!#REF!)</f>
        <v>#REF!</v>
      </c>
      <c r="F49" s="40" t="e">
        <f>SUM('3.felh'!#REF!)</f>
        <v>#REF!</v>
      </c>
      <c r="G49" s="2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3.5" hidden="1" customHeight="1" x14ac:dyDescent="0.25">
      <c r="A50" s="8" t="s">
        <v>179</v>
      </c>
      <c r="B50" s="20" t="s">
        <v>182</v>
      </c>
      <c r="C50" s="36">
        <f>'1.Bev-kiad.'!C52</f>
        <v>0</v>
      </c>
      <c r="D50" s="40"/>
      <c r="E50" s="40"/>
      <c r="F50" s="40"/>
      <c r="G50" s="2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3.5" hidden="1" customHeight="1" x14ac:dyDescent="0.25">
      <c r="A51" s="8" t="s">
        <v>180</v>
      </c>
      <c r="B51" s="20" t="s">
        <v>183</v>
      </c>
      <c r="C51" s="36">
        <f>'1.Bev-kiad.'!C53</f>
        <v>0</v>
      </c>
      <c r="D51" s="40"/>
      <c r="E51" s="40"/>
      <c r="F51" s="40"/>
      <c r="G51" s="2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3.5" hidden="1" customHeight="1" thickBot="1" x14ac:dyDescent="0.3">
      <c r="A52" s="11" t="s">
        <v>181</v>
      </c>
      <c r="B52" s="166" t="s">
        <v>184</v>
      </c>
      <c r="C52" s="36">
        <f>'1.Bev-kiad.'!C54</f>
        <v>0</v>
      </c>
      <c r="D52" s="167"/>
      <c r="E52" s="167"/>
      <c r="F52" s="167"/>
      <c r="G52" s="2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21.75" customHeight="1" x14ac:dyDescent="0.25">
      <c r="A53" s="23" t="s">
        <v>332</v>
      </c>
      <c r="B53" s="203" t="s">
        <v>334</v>
      </c>
      <c r="C53" s="40">
        <f>SUM(C54+C58)</f>
        <v>39646</v>
      </c>
      <c r="D53" s="40">
        <f>SUM(D54+D58)</f>
        <v>10000</v>
      </c>
      <c r="E53" s="40" t="e">
        <f>SUM(E54+E58)</f>
        <v>#REF!</v>
      </c>
      <c r="F53" s="40" t="e">
        <f>SUM(F54+F58)</f>
        <v>#REF!</v>
      </c>
      <c r="G53" s="2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8" customHeight="1" x14ac:dyDescent="0.25">
      <c r="A54" s="23"/>
      <c r="B54" s="22" t="s">
        <v>346</v>
      </c>
      <c r="C54" s="40">
        <f>SUM(C55)</f>
        <v>39646</v>
      </c>
      <c r="D54" s="40">
        <f>SUM(D55)</f>
        <v>10000</v>
      </c>
      <c r="E54" s="40" t="e">
        <f>SUM(E55)</f>
        <v>#REF!</v>
      </c>
      <c r="F54" s="40" t="e">
        <f>SUM(F55)</f>
        <v>#REF!</v>
      </c>
      <c r="G54" s="2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3.5" customHeight="1" x14ac:dyDescent="0.2">
      <c r="A55" s="8"/>
      <c r="B55" s="162" t="s">
        <v>347</v>
      </c>
      <c r="C55" s="5">
        <f>SUM(C56:C57)</f>
        <v>39646</v>
      </c>
      <c r="D55" s="5">
        <f>SUM(D56:D57)</f>
        <v>10000</v>
      </c>
      <c r="E55" s="5" t="e">
        <f>SUM(E56:E57)</f>
        <v>#REF!</v>
      </c>
      <c r="F55" s="5" t="e">
        <f>SUM(F56:F57)</f>
        <v>#REF!</v>
      </c>
      <c r="G55" s="2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3.5" customHeight="1" x14ac:dyDescent="0.2">
      <c r="A56" s="8"/>
      <c r="B56" s="162" t="s">
        <v>348</v>
      </c>
      <c r="C56" s="12">
        <f>SUM('2.működés'!C95)</f>
        <v>26122</v>
      </c>
      <c r="D56" s="12">
        <v>10000</v>
      </c>
      <c r="E56" s="12">
        <v>10000</v>
      </c>
      <c r="F56" s="12">
        <v>10000</v>
      </c>
      <c r="G56" s="2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3.5" customHeight="1" x14ac:dyDescent="0.2">
      <c r="A57" s="8"/>
      <c r="B57" s="162" t="s">
        <v>352</v>
      </c>
      <c r="C57" s="12">
        <f>SUM('3.felh'!C35)</f>
        <v>13524</v>
      </c>
      <c r="D57" s="12">
        <v>0</v>
      </c>
      <c r="E57" s="12" t="e">
        <f>SUM('3.felh'!#REF!)</f>
        <v>#REF!</v>
      </c>
      <c r="F57" s="12" t="e">
        <f>SUM('3.felh'!#REF!)</f>
        <v>#REF!</v>
      </c>
      <c r="G57" s="2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8" customHeight="1" thickBot="1" x14ac:dyDescent="0.3">
      <c r="A58" s="8"/>
      <c r="B58" s="22" t="s">
        <v>342</v>
      </c>
      <c r="C58" s="40">
        <f>SUM(C59:C60)</f>
        <v>0</v>
      </c>
      <c r="D58" s="40">
        <f>SUM(D59:D60)</f>
        <v>0</v>
      </c>
      <c r="E58" s="40">
        <f>SUM(E59:E60)</f>
        <v>0</v>
      </c>
      <c r="F58" s="40">
        <f>SUM(F59:F60)</f>
        <v>0</v>
      </c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3.5" hidden="1" customHeight="1" x14ac:dyDescent="0.2">
      <c r="A59" s="8"/>
      <c r="B59" s="159" t="s">
        <v>349</v>
      </c>
      <c r="C59" s="12"/>
      <c r="D59" s="12"/>
      <c r="E59" s="12"/>
      <c r="F59" s="12"/>
      <c r="G59" s="2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3.5" hidden="1" customHeight="1" thickBot="1" x14ac:dyDescent="0.25">
      <c r="A60" s="168"/>
      <c r="B60" s="11" t="s">
        <v>350</v>
      </c>
      <c r="C60" s="207"/>
      <c r="D60" s="207"/>
      <c r="E60" s="207"/>
      <c r="F60" s="207"/>
      <c r="G60" s="2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23.25" customHeight="1" thickBot="1" x14ac:dyDescent="0.4">
      <c r="A61" s="168"/>
      <c r="B61" s="43" t="s">
        <v>5</v>
      </c>
      <c r="C61" s="255">
        <f>SUM(C7+C53)</f>
        <v>114336</v>
      </c>
      <c r="D61" s="211">
        <f>SUM(D7+D53)</f>
        <v>90500</v>
      </c>
      <c r="E61" s="211" t="e">
        <f>SUM(E7+E53)</f>
        <v>#REF!</v>
      </c>
      <c r="F61" s="44" t="e">
        <f>SUM(F7+F53)</f>
        <v>#REF!</v>
      </c>
      <c r="G61" s="2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20.25" customHeight="1" x14ac:dyDescent="0.25">
      <c r="A62" s="164" t="s">
        <v>188</v>
      </c>
      <c r="B62" s="161" t="s">
        <v>337</v>
      </c>
      <c r="C62" s="200">
        <f>SUM(C63+C70)</f>
        <v>101105</v>
      </c>
      <c r="D62" s="200">
        <f t="shared" ref="D62:F62" si="0">SUM(D63+D70)</f>
        <v>90500</v>
      </c>
      <c r="E62" s="200">
        <f t="shared" si="0"/>
        <v>91000</v>
      </c>
      <c r="F62" s="200" t="e">
        <f t="shared" si="0"/>
        <v>#REF!</v>
      </c>
      <c r="G62" s="2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8" customHeight="1" x14ac:dyDescent="0.25">
      <c r="A63" s="13" t="s">
        <v>185</v>
      </c>
      <c r="B63" s="157" t="s">
        <v>9</v>
      </c>
      <c r="C63" s="165">
        <f>C64</f>
        <v>90042</v>
      </c>
      <c r="D63" s="165">
        <f t="shared" ref="D63:F63" si="1">D64</f>
        <v>90500</v>
      </c>
      <c r="E63" s="165">
        <f t="shared" si="1"/>
        <v>90500</v>
      </c>
      <c r="F63" s="165">
        <f t="shared" si="1"/>
        <v>90500</v>
      </c>
      <c r="G63" s="2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x14ac:dyDescent="0.2">
      <c r="A64" s="8"/>
      <c r="B64" s="158" t="s">
        <v>10</v>
      </c>
      <c r="C64" s="12">
        <f>SUM(C65:C69)</f>
        <v>90042</v>
      </c>
      <c r="D64" s="12">
        <f t="shared" ref="D64:F64" si="2">SUM(D65:D69)</f>
        <v>90500</v>
      </c>
      <c r="E64" s="12">
        <f t="shared" si="2"/>
        <v>90500</v>
      </c>
      <c r="F64" s="12">
        <f t="shared" si="2"/>
        <v>90500</v>
      </c>
      <c r="G64" s="2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x14ac:dyDescent="0.2">
      <c r="A65" s="8"/>
      <c r="B65" s="8" t="s">
        <v>595</v>
      </c>
      <c r="C65" s="12">
        <f>'1.Bev-kiad.'!D68</f>
        <v>36308</v>
      </c>
      <c r="D65" s="12">
        <v>36900</v>
      </c>
      <c r="E65" s="12">
        <v>36900</v>
      </c>
      <c r="F65" s="12">
        <v>36900</v>
      </c>
      <c r="G65" s="2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x14ac:dyDescent="0.2">
      <c r="A66" s="8"/>
      <c r="B66" s="8" t="s">
        <v>596</v>
      </c>
      <c r="C66" s="12">
        <f>'1.Bev-kiad.'!D69</f>
        <v>4536</v>
      </c>
      <c r="D66" s="12">
        <v>4500</v>
      </c>
      <c r="E66" s="12">
        <v>4500</v>
      </c>
      <c r="F66" s="12">
        <v>4500</v>
      </c>
      <c r="G66" s="2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x14ac:dyDescent="0.2">
      <c r="A67" s="8"/>
      <c r="B67" s="8" t="s">
        <v>597</v>
      </c>
      <c r="C67" s="12">
        <f>'1.Bev-kiad.'!D70</f>
        <v>37734</v>
      </c>
      <c r="D67" s="12">
        <v>38000</v>
      </c>
      <c r="E67" s="12">
        <v>38000</v>
      </c>
      <c r="F67" s="12">
        <v>38000</v>
      </c>
      <c r="G67" s="2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x14ac:dyDescent="0.2">
      <c r="A68" s="8"/>
      <c r="B68" s="8" t="s">
        <v>598</v>
      </c>
      <c r="C68" s="12">
        <f>'1.Bev-kiad.'!D71</f>
        <v>1500</v>
      </c>
      <c r="D68" s="12">
        <v>1500</v>
      </c>
      <c r="E68" s="12">
        <v>1500</v>
      </c>
      <c r="F68" s="12">
        <v>1500</v>
      </c>
      <c r="G68" s="2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3.5" customHeight="1" x14ac:dyDescent="0.2">
      <c r="A69" s="8"/>
      <c r="B69" s="8" t="s">
        <v>599</v>
      </c>
      <c r="C69" s="12">
        <f>'1.Bev-kiad.'!C72</f>
        <v>9964</v>
      </c>
      <c r="D69" s="12">
        <v>9600</v>
      </c>
      <c r="E69" s="12">
        <v>9600</v>
      </c>
      <c r="F69" s="12">
        <v>9600</v>
      </c>
      <c r="G69" s="2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8" customHeight="1" x14ac:dyDescent="0.25">
      <c r="A70" s="13" t="s">
        <v>186</v>
      </c>
      <c r="B70" s="157" t="s">
        <v>208</v>
      </c>
      <c r="C70" s="253">
        <f>SUM(C71:C73)</f>
        <v>11063</v>
      </c>
      <c r="D70" s="14">
        <f>SUM(D71:D73)</f>
        <v>0</v>
      </c>
      <c r="E70" s="14">
        <f>SUM(E71:E73)</f>
        <v>500</v>
      </c>
      <c r="F70" s="14" t="e">
        <f>SUM(F71:F73)</f>
        <v>#REF!</v>
      </c>
      <c r="G70" s="2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s="46" customFormat="1" ht="13.5" customHeight="1" x14ac:dyDescent="0.2">
      <c r="A71" s="8"/>
      <c r="B71" s="159" t="s">
        <v>302</v>
      </c>
      <c r="C71" s="12">
        <f>SUM('3.felh'!C41)</f>
        <v>9224</v>
      </c>
      <c r="D71" s="12">
        <v>0</v>
      </c>
      <c r="E71" s="12">
        <v>500</v>
      </c>
      <c r="F71" s="12">
        <v>500</v>
      </c>
      <c r="G71" s="2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s="46" customFormat="1" ht="13.5" customHeight="1" x14ac:dyDescent="0.2">
      <c r="A72" s="8"/>
      <c r="B72" s="159" t="s">
        <v>303</v>
      </c>
      <c r="C72" s="12">
        <f>SUM('3.felh'!C55)</f>
        <v>1839</v>
      </c>
      <c r="D72" s="12">
        <v>0</v>
      </c>
      <c r="E72" s="12">
        <v>0</v>
      </c>
      <c r="F72" s="12">
        <v>0</v>
      </c>
      <c r="G72" s="2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s="46" customFormat="1" ht="13.5" customHeight="1" x14ac:dyDescent="0.2">
      <c r="A73" s="8"/>
      <c r="B73" s="159" t="s">
        <v>304</v>
      </c>
      <c r="C73" s="12">
        <f>SUM(C74:C75)</f>
        <v>0</v>
      </c>
      <c r="D73" s="12">
        <f>SUM(D74:D75)</f>
        <v>0</v>
      </c>
      <c r="E73" s="12">
        <v>0</v>
      </c>
      <c r="F73" s="12" t="e">
        <f>SUM(F74:F75)</f>
        <v>#REF!</v>
      </c>
      <c r="G73" s="2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s="46" customFormat="1" ht="13.5" hidden="1" customHeight="1" x14ac:dyDescent="0.2">
      <c r="A74" s="8"/>
      <c r="B74" s="159" t="s">
        <v>353</v>
      </c>
      <c r="C74" s="12">
        <f>SUM('3.felh'!C64)</f>
        <v>0</v>
      </c>
      <c r="D74" s="12">
        <f>SUM('3.felh'!J64)</f>
        <v>0</v>
      </c>
      <c r="E74" s="12">
        <v>0</v>
      </c>
      <c r="F74" s="12" t="e">
        <f>SUM('3.felh'!#REF!)</f>
        <v>#REF!</v>
      </c>
      <c r="G74" s="2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s="46" customFormat="1" ht="13.5" hidden="1" customHeight="1" x14ac:dyDescent="0.2">
      <c r="A75" s="8"/>
      <c r="B75" s="159" t="s">
        <v>453</v>
      </c>
      <c r="C75" s="12">
        <f>'3.felh'!C65</f>
        <v>0</v>
      </c>
      <c r="D75" s="12">
        <f>'3.felh'!D66+'3.felh'!D68</f>
        <v>0</v>
      </c>
      <c r="E75" s="12">
        <f>'3.felh'!F66+'3.felh'!F68</f>
        <v>0</v>
      </c>
      <c r="F75" s="12">
        <f>'3.felh'!H66+'3.felh'!H68</f>
        <v>0</v>
      </c>
      <c r="G75" s="2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21.75" customHeight="1" x14ac:dyDescent="0.25">
      <c r="A76" s="13" t="s">
        <v>187</v>
      </c>
      <c r="B76" s="204" t="s">
        <v>351</v>
      </c>
      <c r="C76" s="199">
        <f>SUM(C77)</f>
        <v>1037</v>
      </c>
      <c r="D76" s="41">
        <f>SUM(D77)</f>
        <v>0</v>
      </c>
      <c r="E76" s="208">
        <v>0</v>
      </c>
      <c r="F76" s="208">
        <v>0</v>
      </c>
      <c r="G76" s="2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3.5" thickBot="1" x14ac:dyDescent="0.25">
      <c r="A77" s="244"/>
      <c r="B77" s="193" t="s">
        <v>364</v>
      </c>
      <c r="C77" s="31">
        <f>SUM('2.működés'!C114)</f>
        <v>1037</v>
      </c>
      <c r="D77" s="31">
        <v>0</v>
      </c>
      <c r="E77" s="31">
        <v>0</v>
      </c>
      <c r="F77" s="31">
        <v>0</v>
      </c>
      <c r="G77" s="2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24" customHeight="1" thickBot="1" x14ac:dyDescent="0.4">
      <c r="A78" s="245"/>
      <c r="B78" s="247" t="s">
        <v>8</v>
      </c>
      <c r="C78" s="255">
        <f>SUM(C62+C76)</f>
        <v>102142</v>
      </c>
      <c r="D78" s="255">
        <f>SUM(D62+D76)</f>
        <v>90500</v>
      </c>
      <c r="E78" s="211">
        <f>SUM(E62+E76)</f>
        <v>91000</v>
      </c>
      <c r="F78" s="44" t="e">
        <f>SUM(F62+F76)</f>
        <v>#REF!</v>
      </c>
      <c r="G78" s="2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customHeight="1" x14ac:dyDescent="0.2">
      <c r="D79" s="7"/>
      <c r="E79" s="7"/>
      <c r="F79" s="7"/>
      <c r="G79" s="2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 x14ac:dyDescent="0.2">
      <c r="C80" s="2"/>
      <c r="D80" s="2"/>
      <c r="E80" s="2"/>
      <c r="F80" s="2"/>
      <c r="G80" s="2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2:47" ht="15.75" customHeight="1" x14ac:dyDescent="0.2">
      <c r="C81" s="2"/>
      <c r="D81" s="2"/>
      <c r="E81" s="2"/>
      <c r="F81" s="2"/>
      <c r="G81" s="2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2:47" ht="15.75" customHeight="1" x14ac:dyDescent="0.2">
      <c r="C82" s="2"/>
      <c r="D82" s="2"/>
      <c r="E82" s="2"/>
      <c r="F82" s="2"/>
      <c r="G82" s="2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2:47" ht="15.75" customHeight="1" x14ac:dyDescent="0.2">
      <c r="C83" s="2"/>
      <c r="D83" s="2"/>
      <c r="E83" s="2"/>
      <c r="F83" s="2"/>
      <c r="G83" s="2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2:47" ht="15.75" customHeight="1" x14ac:dyDescent="0.2">
      <c r="C84" s="2"/>
      <c r="D84" s="2"/>
      <c r="E84" s="2"/>
      <c r="F84" s="2"/>
      <c r="G84" s="2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2:47" ht="15.75" customHeight="1" x14ac:dyDescent="0.2">
      <c r="B85" s="2"/>
      <c r="C85" s="2"/>
      <c r="D85" s="2"/>
      <c r="E85" s="2"/>
      <c r="F85" s="2"/>
      <c r="G85" s="2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2:47" ht="15.75" customHeight="1" x14ac:dyDescent="0.2">
      <c r="B86" s="2"/>
      <c r="C86" s="2"/>
      <c r="D86" s="2"/>
      <c r="E86" s="2"/>
      <c r="F86" s="2"/>
      <c r="G86" s="2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2:47" ht="15.75" customHeight="1" x14ac:dyDescent="0.2">
      <c r="B87" s="2"/>
      <c r="C87" s="2"/>
      <c r="D87" s="2"/>
      <c r="E87" s="2"/>
      <c r="F87" s="2"/>
      <c r="G87" s="2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2:47" ht="15.75" customHeight="1" x14ac:dyDescent="0.2">
      <c r="B88" s="2"/>
      <c r="C88" s="2"/>
      <c r="D88" s="2"/>
      <c r="E88" s="2"/>
      <c r="F88" s="2"/>
      <c r="G88" s="2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2:47" ht="15.75" customHeight="1" x14ac:dyDescent="0.2">
      <c r="B89" s="2"/>
      <c r="C89" s="2"/>
      <c r="D89" s="2"/>
      <c r="E89" s="2"/>
      <c r="F89" s="2"/>
      <c r="G89" s="2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2:47" ht="15.75" customHeight="1" x14ac:dyDescent="0.2">
      <c r="B90" s="2"/>
      <c r="C90" s="2"/>
      <c r="D90" s="2"/>
      <c r="E90" s="2"/>
      <c r="F90" s="2"/>
      <c r="G90" s="2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2:47" ht="15.75" customHeight="1" x14ac:dyDescent="0.2">
      <c r="B91" s="2"/>
      <c r="C91" s="2"/>
      <c r="D91" s="2"/>
      <c r="E91" s="2"/>
      <c r="F91" s="2"/>
      <c r="G91" s="2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2:47" ht="15.75" customHeight="1" x14ac:dyDescent="0.2">
      <c r="B92" s="2"/>
      <c r="C92" s="2"/>
      <c r="D92" s="2"/>
      <c r="E92" s="2"/>
      <c r="F92" s="2"/>
      <c r="G92" s="2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2:47" ht="15.75" customHeight="1" x14ac:dyDescent="0.2">
      <c r="B93" s="2"/>
      <c r="C93" s="2"/>
      <c r="D93" s="2"/>
      <c r="E93" s="2"/>
      <c r="F93" s="2"/>
      <c r="G93" s="2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2:47" ht="15.75" customHeight="1" x14ac:dyDescent="0.2">
      <c r="B94" s="2"/>
      <c r="C94" s="2"/>
      <c r="D94" s="2"/>
      <c r="E94" s="2"/>
      <c r="F94" s="2"/>
      <c r="G94" s="2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2:47" ht="15.75" customHeight="1" x14ac:dyDescent="0.2">
      <c r="B95" s="2"/>
      <c r="C95" s="2"/>
      <c r="D95" s="2"/>
      <c r="E95" s="2"/>
      <c r="F95" s="2"/>
      <c r="G95" s="2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2:47" ht="15.75" customHeight="1" x14ac:dyDescent="0.2">
      <c r="B96" s="2"/>
      <c r="C96" s="2"/>
      <c r="D96" s="2"/>
      <c r="E96" s="2"/>
      <c r="F96" s="2"/>
      <c r="G96" s="2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 ht="15.75" customHeight="1" x14ac:dyDescent="0.2">
      <c r="B97" s="2"/>
      <c r="C97" s="2"/>
      <c r="D97" s="2"/>
      <c r="E97" s="2"/>
      <c r="F97" s="2"/>
      <c r="G97" s="2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 ht="15.75" customHeight="1" x14ac:dyDescent="0.2">
      <c r="B98" s="2"/>
      <c r="C98" s="2"/>
      <c r="D98" s="2"/>
      <c r="E98" s="2"/>
      <c r="F98" s="2"/>
      <c r="G98" s="2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 ht="15.75" customHeight="1" x14ac:dyDescent="0.2">
      <c r="B99" s="2"/>
      <c r="C99" s="2"/>
      <c r="D99" s="2"/>
      <c r="E99" s="2"/>
      <c r="F99" s="2"/>
      <c r="G99" s="2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 ht="15.75" customHeight="1" x14ac:dyDescent="0.2">
      <c r="B100" s="2"/>
      <c r="C100" s="2"/>
      <c r="D100" s="2"/>
      <c r="E100" s="2"/>
      <c r="F100" s="2"/>
      <c r="G100" s="2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2:47" ht="15.75" customHeight="1" x14ac:dyDescent="0.2">
      <c r="B101" s="2"/>
      <c r="C101" s="2"/>
      <c r="D101" s="2"/>
      <c r="E101" s="2"/>
      <c r="F101" s="2"/>
      <c r="G101" s="2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2:47" ht="15.75" customHeight="1" x14ac:dyDescent="0.2">
      <c r="B102" s="2"/>
      <c r="C102" s="2"/>
      <c r="D102" s="2"/>
      <c r="E102" s="2"/>
      <c r="F102" s="2"/>
      <c r="G102" s="2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2:47" ht="15.75" customHeight="1" x14ac:dyDescent="0.2">
      <c r="B103" s="2"/>
      <c r="C103" s="2"/>
      <c r="D103" s="2"/>
      <c r="E103" s="2"/>
      <c r="F103" s="2"/>
      <c r="G103" s="2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2:47" ht="15.75" customHeight="1" x14ac:dyDescent="0.2">
      <c r="B104" s="2"/>
      <c r="C104" s="2"/>
      <c r="D104" s="2"/>
      <c r="E104" s="2"/>
      <c r="F104" s="2"/>
      <c r="G104" s="2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2:47" ht="15.75" customHeight="1" x14ac:dyDescent="0.2">
      <c r="B105" s="2"/>
      <c r="C105" s="2"/>
      <c r="D105" s="2"/>
      <c r="E105" s="2"/>
      <c r="F105" s="2"/>
      <c r="G105" s="2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2:47" ht="15.75" customHeight="1" x14ac:dyDescent="0.2">
      <c r="B106" s="2"/>
      <c r="C106" s="2"/>
      <c r="D106" s="2"/>
      <c r="E106" s="2"/>
      <c r="F106" s="2"/>
      <c r="G106" s="2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2:47" ht="15.75" customHeight="1" x14ac:dyDescent="0.2">
      <c r="B107" s="2"/>
      <c r="C107" s="2"/>
      <c r="D107" s="2"/>
      <c r="E107" s="2"/>
      <c r="F107" s="2"/>
      <c r="G107" s="2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2:47" ht="15.75" customHeight="1" x14ac:dyDescent="0.2">
      <c r="B108" s="2"/>
      <c r="C108" s="2"/>
      <c r="D108" s="2"/>
      <c r="E108" s="2"/>
      <c r="F108" s="2"/>
      <c r="G108" s="2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2:47" ht="15.75" customHeight="1" x14ac:dyDescent="0.2">
      <c r="B109" s="2"/>
      <c r="C109" s="2"/>
      <c r="D109" s="2"/>
      <c r="E109" s="2"/>
      <c r="F109" s="2"/>
      <c r="G109" s="2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2:47" ht="15.75" customHeight="1" x14ac:dyDescent="0.2">
      <c r="B110" s="2"/>
      <c r="C110" s="2"/>
      <c r="D110" s="2"/>
      <c r="E110" s="2"/>
      <c r="F110" s="2"/>
      <c r="G110" s="2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2:47" ht="15.75" customHeight="1" x14ac:dyDescent="0.2">
      <c r="B111" s="2"/>
      <c r="C111" s="2"/>
      <c r="D111" s="2"/>
      <c r="E111" s="2"/>
      <c r="F111" s="2"/>
      <c r="G111" s="2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2:47" ht="15.75" customHeight="1" x14ac:dyDescent="0.2">
      <c r="B112" s="2"/>
      <c r="C112" s="2"/>
      <c r="D112" s="2"/>
      <c r="E112" s="2"/>
      <c r="F112" s="2"/>
      <c r="G112" s="2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2:47" ht="15.75" customHeight="1" x14ac:dyDescent="0.2">
      <c r="B113" s="2"/>
      <c r="C113" s="2"/>
      <c r="D113" s="2"/>
      <c r="E113" s="2"/>
      <c r="F113" s="2"/>
      <c r="G113" s="2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2:47" ht="15.75" customHeight="1" x14ac:dyDescent="0.2">
      <c r="B114" s="2"/>
      <c r="C114" s="2"/>
      <c r="D114" s="2"/>
      <c r="E114" s="2"/>
      <c r="F114" s="2"/>
      <c r="G114" s="2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2:47" ht="15.75" customHeight="1" x14ac:dyDescent="0.2">
      <c r="B115" s="2"/>
      <c r="C115" s="2"/>
      <c r="D115" s="2"/>
      <c r="E115" s="2"/>
      <c r="F115" s="2"/>
      <c r="G115" s="2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2:47" ht="15.75" customHeight="1" x14ac:dyDescent="0.2">
      <c r="B116" s="2"/>
      <c r="C116" s="2"/>
      <c r="D116" s="2"/>
      <c r="E116" s="2"/>
      <c r="F116" s="2"/>
      <c r="G116" s="2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2:47" ht="15.75" customHeight="1" x14ac:dyDescent="0.2">
      <c r="B117" s="2"/>
      <c r="C117" s="2"/>
      <c r="D117" s="2"/>
      <c r="E117" s="2"/>
      <c r="F117" s="2"/>
      <c r="G117" s="2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2:47" ht="15.75" customHeight="1" x14ac:dyDescent="0.2">
      <c r="B118" s="2"/>
      <c r="C118" s="2"/>
      <c r="D118" s="2"/>
      <c r="E118" s="2"/>
      <c r="F118" s="2"/>
      <c r="G118" s="2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2:47" ht="15.75" customHeight="1" x14ac:dyDescent="0.2">
      <c r="B119" s="2"/>
      <c r="C119" s="2"/>
      <c r="D119" s="2"/>
      <c r="E119" s="2"/>
      <c r="F119" s="2"/>
      <c r="G119" s="2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2:47" ht="15.75" customHeight="1" x14ac:dyDescent="0.2">
      <c r="B120" s="2"/>
      <c r="C120" s="2"/>
      <c r="D120" s="2"/>
      <c r="E120" s="2"/>
      <c r="F120" s="2"/>
      <c r="G120" s="2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2:47" ht="15.75" customHeight="1" x14ac:dyDescent="0.2">
      <c r="B121" s="2"/>
      <c r="C121" s="2"/>
      <c r="D121" s="2"/>
      <c r="E121" s="2"/>
      <c r="F121" s="2"/>
      <c r="G121" s="2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2:47" ht="15.75" customHeight="1" x14ac:dyDescent="0.2">
      <c r="B122" s="2"/>
      <c r="C122" s="2"/>
      <c r="D122" s="2"/>
      <c r="E122" s="2"/>
      <c r="F122" s="2"/>
      <c r="G122" s="2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2:47" ht="15.75" customHeight="1" x14ac:dyDescent="0.2">
      <c r="B123" s="2"/>
      <c r="C123" s="2"/>
      <c r="D123" s="2"/>
      <c r="E123" s="2"/>
      <c r="F123" s="2"/>
      <c r="G123" s="2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2:47" ht="15.75" customHeight="1" x14ac:dyDescent="0.2">
      <c r="B124" s="2"/>
      <c r="C124" s="2"/>
      <c r="D124" s="2"/>
      <c r="E124" s="2"/>
      <c r="F124" s="2"/>
      <c r="G124" s="2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2:47" ht="15.75" customHeight="1" x14ac:dyDescent="0.2">
      <c r="B125" s="2"/>
      <c r="C125" s="2"/>
      <c r="D125" s="2"/>
      <c r="E125" s="2"/>
      <c r="F125" s="2"/>
      <c r="G125" s="2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2:47" ht="15.75" customHeight="1" x14ac:dyDescent="0.2">
      <c r="B126" s="2"/>
      <c r="C126" s="2"/>
      <c r="D126" s="2"/>
      <c r="E126" s="2"/>
      <c r="F126" s="2"/>
      <c r="G126" s="2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2:47" ht="15.75" customHeight="1" x14ac:dyDescent="0.2">
      <c r="B127" s="2"/>
      <c r="C127" s="2"/>
      <c r="D127" s="2"/>
      <c r="E127" s="2"/>
      <c r="F127" s="2"/>
      <c r="G127" s="2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2:47" ht="15.75" customHeight="1" x14ac:dyDescent="0.2">
      <c r="B128" s="2"/>
      <c r="C128" s="2"/>
      <c r="D128" s="2"/>
      <c r="E128" s="2"/>
      <c r="F128" s="2"/>
      <c r="G128" s="2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2:47" ht="15.75" customHeight="1" x14ac:dyDescent="0.2">
      <c r="B129" s="2"/>
      <c r="C129" s="2"/>
      <c r="D129" s="2"/>
      <c r="E129" s="2"/>
      <c r="F129" s="2"/>
      <c r="G129" s="2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2:47" ht="15.75" customHeight="1" x14ac:dyDescent="0.2">
      <c r="B130" s="2"/>
      <c r="C130" s="2"/>
      <c r="D130" s="2"/>
      <c r="E130" s="2"/>
      <c r="F130" s="2"/>
      <c r="G130" s="2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2:47" ht="15.75" customHeight="1" x14ac:dyDescent="0.2">
      <c r="B131" s="2"/>
      <c r="C131" s="2"/>
      <c r="D131" s="2"/>
      <c r="E131" s="2"/>
      <c r="F131" s="2"/>
      <c r="G131" s="2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2:47" ht="15.75" customHeight="1" x14ac:dyDescent="0.2">
      <c r="B132" s="2"/>
      <c r="C132" s="2"/>
      <c r="D132" s="2"/>
      <c r="E132" s="2"/>
      <c r="F132" s="2"/>
      <c r="G132" s="2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2:47" ht="15.75" customHeight="1" x14ac:dyDescent="0.2">
      <c r="B133" s="2"/>
      <c r="C133" s="2"/>
      <c r="D133" s="2"/>
      <c r="E133" s="2"/>
      <c r="F133" s="2"/>
      <c r="G133" s="2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2:47" ht="15.75" customHeight="1" x14ac:dyDescent="0.2">
      <c r="B134" s="2"/>
      <c r="C134" s="2"/>
      <c r="D134" s="2"/>
      <c r="E134" s="2"/>
      <c r="F134" s="2"/>
      <c r="G134" s="2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2:47" ht="15.75" customHeight="1" x14ac:dyDescent="0.2">
      <c r="B135" s="2"/>
      <c r="C135" s="2"/>
      <c r="D135" s="2"/>
      <c r="E135" s="2"/>
      <c r="F135" s="2"/>
      <c r="G135" s="2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2:47" ht="15.75" customHeight="1" x14ac:dyDescent="0.2">
      <c r="B136" s="2"/>
      <c r="C136" s="2"/>
      <c r="D136" s="2"/>
      <c r="E136" s="2"/>
      <c r="F136" s="2"/>
      <c r="G136" s="2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2:47" ht="15.75" customHeight="1" x14ac:dyDescent="0.2">
      <c r="B137" s="2"/>
      <c r="C137" s="2"/>
      <c r="D137" s="2"/>
      <c r="E137" s="2"/>
      <c r="F137" s="2"/>
      <c r="G137" s="2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2:47" ht="15.75" customHeight="1" x14ac:dyDescent="0.2">
      <c r="B138" s="2"/>
      <c r="C138" s="2"/>
      <c r="D138" s="2"/>
      <c r="E138" s="2"/>
      <c r="F138" s="2"/>
      <c r="G138" s="2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2:47" ht="15.75" customHeight="1" x14ac:dyDescent="0.2">
      <c r="B139" s="2"/>
      <c r="C139" s="2"/>
      <c r="D139" s="2"/>
      <c r="E139" s="2"/>
      <c r="F139" s="2"/>
      <c r="G139" s="2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2:47" ht="15.75" customHeight="1" x14ac:dyDescent="0.2">
      <c r="B140" s="2"/>
      <c r="C140" s="2"/>
      <c r="D140" s="2"/>
      <c r="E140" s="2"/>
      <c r="F140" s="2"/>
      <c r="G140" s="2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2:47" ht="15.75" customHeight="1" x14ac:dyDescent="0.2">
      <c r="B141" s="2"/>
      <c r="C141" s="2"/>
      <c r="D141" s="2"/>
      <c r="E141" s="2"/>
      <c r="F141" s="2"/>
      <c r="G141" s="2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2:47" ht="15.75" customHeight="1" x14ac:dyDescent="0.2">
      <c r="B142" s="2"/>
      <c r="C142" s="2"/>
      <c r="D142" s="2"/>
      <c r="E142" s="2"/>
      <c r="F142" s="2"/>
      <c r="G142" s="2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2:47" ht="15.75" customHeight="1" x14ac:dyDescent="0.2">
      <c r="B143" s="2"/>
      <c r="C143" s="2"/>
      <c r="D143" s="2"/>
      <c r="E143" s="2"/>
      <c r="F143" s="2"/>
      <c r="G143" s="2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2:47" ht="15.75" customHeight="1" x14ac:dyDescent="0.2">
      <c r="B144" s="2"/>
      <c r="C144" s="2"/>
      <c r="D144" s="2"/>
      <c r="E144" s="2"/>
      <c r="F144" s="2"/>
      <c r="G144" s="2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2:47" ht="15.75" customHeight="1" x14ac:dyDescent="0.2">
      <c r="B145" s="2"/>
      <c r="C145" s="2"/>
      <c r="D145" s="2"/>
      <c r="E145" s="2"/>
      <c r="F145" s="2"/>
      <c r="G145" s="2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2:47" ht="15.75" customHeight="1" x14ac:dyDescent="0.2">
      <c r="B146" s="2"/>
      <c r="C146" s="2"/>
      <c r="D146" s="2"/>
      <c r="E146" s="2"/>
      <c r="F146" s="2"/>
      <c r="G146" s="2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2:47" ht="15.75" customHeight="1" x14ac:dyDescent="0.2">
      <c r="B147" s="2"/>
      <c r="C147" s="2"/>
      <c r="D147" s="2"/>
      <c r="E147" s="2"/>
      <c r="F147" s="2"/>
      <c r="G147" s="2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2:47" ht="15.75" customHeight="1" x14ac:dyDescent="0.2">
      <c r="B148" s="2"/>
      <c r="C148" s="2"/>
      <c r="D148" s="2"/>
      <c r="E148" s="2"/>
      <c r="F148" s="2"/>
      <c r="G148" s="2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2:47" ht="15.75" customHeight="1" x14ac:dyDescent="0.2">
      <c r="B149" s="2"/>
      <c r="C149" s="2"/>
      <c r="D149" s="2"/>
      <c r="E149" s="2"/>
      <c r="F149" s="2"/>
      <c r="G149" s="2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2:47" ht="15.75" customHeight="1" x14ac:dyDescent="0.2">
      <c r="B150" s="2"/>
      <c r="C150" s="2"/>
      <c r="D150" s="2"/>
      <c r="E150" s="2"/>
      <c r="F150" s="2"/>
      <c r="G150" s="2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2:47" ht="15.75" customHeight="1" x14ac:dyDescent="0.2">
      <c r="B151" s="2"/>
      <c r="C151" s="2"/>
      <c r="D151" s="2"/>
      <c r="E151" s="2"/>
      <c r="F151" s="2"/>
      <c r="G151" s="2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2:47" ht="15.75" customHeight="1" x14ac:dyDescent="0.2">
      <c r="B152" s="2"/>
      <c r="C152" s="2"/>
      <c r="D152" s="2"/>
      <c r="E152" s="2"/>
      <c r="F152" s="2"/>
      <c r="G152" s="2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2:47" ht="15.75" customHeight="1" x14ac:dyDescent="0.2">
      <c r="B153" s="2"/>
      <c r="C153" s="2"/>
      <c r="D153" s="2"/>
      <c r="E153" s="2"/>
      <c r="F153" s="2"/>
      <c r="G153" s="2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2:47" ht="15.75" customHeight="1" x14ac:dyDescent="0.2">
      <c r="B154" s="2"/>
      <c r="C154" s="2"/>
      <c r="D154" s="2"/>
      <c r="E154" s="2"/>
      <c r="F154" s="2"/>
      <c r="G154" s="2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2:47" ht="15.75" customHeight="1" x14ac:dyDescent="0.2">
      <c r="B155" s="2"/>
      <c r="C155" s="2"/>
      <c r="D155" s="2"/>
      <c r="E155" s="2"/>
      <c r="F155" s="2"/>
      <c r="G155" s="2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2:47" ht="15.75" customHeight="1" x14ac:dyDescent="0.2">
      <c r="B156" s="2"/>
      <c r="C156" s="2"/>
      <c r="D156" s="2"/>
      <c r="E156" s="2"/>
      <c r="F156" s="2"/>
      <c r="G156" s="2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2:47" ht="15.75" customHeight="1" x14ac:dyDescent="0.2">
      <c r="B157" s="2"/>
      <c r="C157" s="2"/>
      <c r="D157" s="2"/>
      <c r="E157" s="2"/>
      <c r="F157" s="2"/>
      <c r="G157" s="2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2:47" ht="15.75" customHeight="1" x14ac:dyDescent="0.2">
      <c r="B158" s="2"/>
      <c r="C158" s="2"/>
      <c r="D158" s="2"/>
      <c r="E158" s="2"/>
      <c r="F158" s="2"/>
      <c r="G158" s="2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2:47" ht="15.75" customHeight="1" x14ac:dyDescent="0.2">
      <c r="B159" s="2"/>
      <c r="C159" s="2"/>
      <c r="D159" s="2"/>
      <c r="E159" s="2"/>
      <c r="F159" s="2"/>
      <c r="G159" s="2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2:47" ht="15.75" customHeight="1" x14ac:dyDescent="0.2">
      <c r="B160" s="2"/>
      <c r="C160" s="2"/>
      <c r="D160" s="2"/>
      <c r="E160" s="2"/>
      <c r="F160" s="2"/>
      <c r="G160" s="2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2:47" ht="15.75" customHeight="1" x14ac:dyDescent="0.2">
      <c r="B161" s="2"/>
      <c r="C161" s="2"/>
      <c r="D161" s="2"/>
      <c r="E161" s="2"/>
      <c r="F161" s="2"/>
      <c r="G161" s="2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2:47" ht="15.75" customHeight="1" x14ac:dyDescent="0.2">
      <c r="B162" s="2"/>
      <c r="C162" s="2"/>
      <c r="D162" s="2"/>
      <c r="E162" s="2"/>
      <c r="F162" s="2"/>
      <c r="G162" s="2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2:47" ht="15.75" customHeight="1" x14ac:dyDescent="0.2">
      <c r="B163" s="2"/>
      <c r="C163" s="2"/>
      <c r="D163" s="2"/>
      <c r="E163" s="2"/>
      <c r="F163" s="2"/>
      <c r="G163" s="2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2:47" ht="15.75" customHeight="1" x14ac:dyDescent="0.2">
      <c r="B164" s="2"/>
      <c r="C164" s="28"/>
      <c r="D164" s="28"/>
      <c r="E164" s="28"/>
      <c r="F164" s="28"/>
      <c r="G164" s="2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2:47" ht="15.75" customHeight="1" x14ac:dyDescent="0.2">
      <c r="B165" s="2"/>
      <c r="C165" s="28"/>
      <c r="D165" s="28"/>
      <c r="E165" s="28"/>
      <c r="F165" s="28"/>
      <c r="G165" s="2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2:47" ht="15.75" customHeight="1" x14ac:dyDescent="0.2">
      <c r="B166" s="2"/>
      <c r="C166" s="28"/>
      <c r="D166" s="28"/>
      <c r="E166" s="28"/>
      <c r="F166" s="28"/>
      <c r="G166" s="2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2:47" ht="15.75" customHeight="1" x14ac:dyDescent="0.2">
      <c r="B167" s="2"/>
      <c r="C167" s="28"/>
      <c r="D167" s="28"/>
      <c r="E167" s="28"/>
      <c r="F167" s="28"/>
      <c r="G167" s="2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2:47" ht="15.75" customHeight="1" x14ac:dyDescent="0.2">
      <c r="B168" s="2"/>
      <c r="C168" s="28"/>
      <c r="D168" s="28"/>
      <c r="E168" s="28"/>
      <c r="F168" s="28"/>
      <c r="G168" s="2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2:47" ht="15.75" customHeight="1" x14ac:dyDescent="0.2">
      <c r="B169" s="2"/>
      <c r="C169" s="28"/>
      <c r="D169" s="28"/>
      <c r="E169" s="28"/>
      <c r="F169" s="28"/>
      <c r="G169" s="2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2:47" ht="15.75" customHeight="1" x14ac:dyDescent="0.2">
      <c r="B170" s="2"/>
      <c r="C170" s="28"/>
      <c r="D170" s="28"/>
      <c r="E170" s="28"/>
      <c r="F170" s="28"/>
      <c r="G170" s="2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2:47" ht="15.75" customHeight="1" x14ac:dyDescent="0.2">
      <c r="B171" s="2"/>
      <c r="C171" s="28"/>
      <c r="D171" s="28"/>
      <c r="E171" s="28"/>
      <c r="F171" s="28"/>
      <c r="G171" s="2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2:47" ht="15.75" customHeight="1" x14ac:dyDescent="0.2">
      <c r="B172" s="2"/>
      <c r="C172" s="28"/>
      <c r="D172" s="28"/>
      <c r="E172" s="28"/>
      <c r="F172" s="28"/>
      <c r="G172" s="2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2:47" ht="15.75" customHeight="1" x14ac:dyDescent="0.2">
      <c r="B173" s="2"/>
      <c r="C173" s="28"/>
      <c r="D173" s="28"/>
      <c r="E173" s="28"/>
      <c r="F173" s="28"/>
      <c r="G173" s="2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2:47" ht="15.75" customHeight="1" x14ac:dyDescent="0.2">
      <c r="B174" s="2"/>
      <c r="C174" s="28"/>
      <c r="D174" s="28"/>
      <c r="E174" s="28"/>
      <c r="F174" s="28"/>
      <c r="G174" s="2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2:47" ht="15.75" customHeight="1" x14ac:dyDescent="0.2">
      <c r="B175" s="2"/>
      <c r="C175" s="28"/>
      <c r="D175" s="28"/>
      <c r="E175" s="28"/>
      <c r="F175" s="28"/>
      <c r="G175" s="2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2:47" ht="15.75" customHeight="1" x14ac:dyDescent="0.2">
      <c r="B176" s="2"/>
      <c r="C176" s="28"/>
      <c r="D176" s="28"/>
      <c r="E176" s="28"/>
      <c r="F176" s="28"/>
      <c r="G176" s="2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2:47" ht="15.75" customHeight="1" x14ac:dyDescent="0.2">
      <c r="B177" s="2"/>
      <c r="C177" s="28"/>
      <c r="D177" s="28"/>
      <c r="E177" s="28"/>
      <c r="F177" s="28"/>
      <c r="G177" s="2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2:47" ht="15.75" customHeight="1" x14ac:dyDescent="0.2">
      <c r="B178" s="2"/>
      <c r="C178" s="28"/>
      <c r="D178" s="28"/>
      <c r="E178" s="28"/>
      <c r="F178" s="28"/>
      <c r="G178" s="2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2:47" ht="15.75" customHeight="1" x14ac:dyDescent="0.2">
      <c r="B179" s="2"/>
      <c r="C179" s="28"/>
      <c r="D179" s="28"/>
      <c r="E179" s="28"/>
      <c r="F179" s="28"/>
      <c r="G179" s="2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2:47" ht="15.75" customHeight="1" x14ac:dyDescent="0.2">
      <c r="B180" s="2"/>
      <c r="C180" s="28"/>
      <c r="D180" s="28"/>
      <c r="E180" s="28"/>
      <c r="F180" s="28"/>
      <c r="G180" s="2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2:47" ht="15.75" customHeight="1" x14ac:dyDescent="0.2">
      <c r="B181" s="2"/>
      <c r="C181" s="28"/>
      <c r="D181" s="28"/>
      <c r="E181" s="28"/>
      <c r="F181" s="28"/>
      <c r="G181" s="2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2:47" ht="15.75" customHeight="1" x14ac:dyDescent="0.2">
      <c r="B182" s="2"/>
      <c r="C182" s="28"/>
      <c r="D182" s="28"/>
      <c r="E182" s="28"/>
      <c r="F182" s="28"/>
      <c r="G182" s="2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2:47" ht="15.75" customHeight="1" x14ac:dyDescent="0.2">
      <c r="B183" s="2"/>
      <c r="C183" s="28"/>
      <c r="D183" s="28"/>
      <c r="E183" s="28"/>
      <c r="F183" s="28"/>
      <c r="G183" s="2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2:47" ht="15.75" customHeight="1" x14ac:dyDescent="0.2">
      <c r="B184" s="2"/>
      <c r="C184" s="28"/>
      <c r="D184" s="28"/>
      <c r="E184" s="28"/>
      <c r="F184" s="28"/>
      <c r="G184" s="2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2:47" ht="15.75" customHeight="1" x14ac:dyDescent="0.2">
      <c r="B185" s="2"/>
      <c r="C185" s="28"/>
      <c r="D185" s="28"/>
      <c r="E185" s="28"/>
      <c r="F185" s="28"/>
      <c r="G185" s="2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2:47" ht="15.75" customHeight="1" x14ac:dyDescent="0.2">
      <c r="B186" s="2"/>
      <c r="C186" s="28"/>
      <c r="D186" s="28"/>
      <c r="E186" s="28"/>
      <c r="F186" s="28"/>
      <c r="G186" s="2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2:47" ht="15.75" customHeight="1" x14ac:dyDescent="0.2">
      <c r="B187" s="2"/>
      <c r="C187" s="28"/>
      <c r="D187" s="28"/>
      <c r="E187" s="28"/>
      <c r="F187" s="28"/>
      <c r="G187" s="2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2:47" ht="15.75" customHeight="1" x14ac:dyDescent="0.2">
      <c r="B188" s="2"/>
      <c r="C188" s="28"/>
      <c r="D188" s="28"/>
      <c r="E188" s="28"/>
      <c r="F188" s="28"/>
      <c r="G188" s="2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2:47" ht="15.75" customHeight="1" x14ac:dyDescent="0.2">
      <c r="B189" s="2"/>
      <c r="C189" s="28"/>
      <c r="D189" s="28"/>
      <c r="E189" s="28"/>
      <c r="F189" s="28"/>
      <c r="G189" s="2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2:47" ht="15.75" customHeight="1" x14ac:dyDescent="0.2">
      <c r="B190" s="2"/>
      <c r="C190" s="28"/>
      <c r="D190" s="28"/>
      <c r="E190" s="28"/>
      <c r="F190" s="28"/>
      <c r="G190" s="2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2:47" ht="15.75" customHeight="1" x14ac:dyDescent="0.2">
      <c r="B191" s="2"/>
      <c r="C191" s="28"/>
      <c r="D191" s="28"/>
      <c r="E191" s="28"/>
      <c r="F191" s="28"/>
      <c r="G191" s="2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2:47" ht="15.75" customHeight="1" x14ac:dyDescent="0.2">
      <c r="B192" s="2"/>
      <c r="C192" s="28"/>
      <c r="D192" s="28"/>
      <c r="E192" s="28"/>
      <c r="F192" s="28"/>
      <c r="G192" s="2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2:47" ht="15.75" customHeight="1" x14ac:dyDescent="0.2">
      <c r="B193" s="2"/>
      <c r="C193" s="28"/>
      <c r="D193" s="28"/>
      <c r="E193" s="28"/>
      <c r="F193" s="28"/>
      <c r="G193" s="2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2:47" ht="15.75" customHeight="1" x14ac:dyDescent="0.2">
      <c r="B194" s="2"/>
      <c r="C194" s="28"/>
      <c r="D194" s="28"/>
      <c r="E194" s="28"/>
      <c r="F194" s="28"/>
      <c r="G194" s="2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2:47" ht="15.75" customHeight="1" x14ac:dyDescent="0.2">
      <c r="B195" s="2"/>
      <c r="C195" s="28"/>
      <c r="D195" s="28"/>
      <c r="E195" s="28"/>
      <c r="F195" s="28"/>
      <c r="G195" s="2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2:47" ht="15.75" customHeight="1" x14ac:dyDescent="0.2">
      <c r="B196" s="2"/>
      <c r="C196" s="28"/>
      <c r="D196" s="28"/>
      <c r="E196" s="28"/>
      <c r="F196" s="28"/>
      <c r="G196" s="2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2:47" ht="15.75" customHeight="1" x14ac:dyDescent="0.2">
      <c r="B197" s="2"/>
      <c r="C197" s="28"/>
      <c r="D197" s="28"/>
      <c r="E197" s="28"/>
      <c r="F197" s="28"/>
      <c r="G197" s="2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2:47" ht="15.75" customHeight="1" x14ac:dyDescent="0.2">
      <c r="B198" s="2"/>
      <c r="C198" s="28"/>
      <c r="D198" s="28"/>
      <c r="E198" s="28"/>
      <c r="F198" s="28"/>
      <c r="G198" s="2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2:47" ht="15.75" customHeight="1" x14ac:dyDescent="0.2">
      <c r="B199" s="2"/>
      <c r="C199" s="28"/>
      <c r="D199" s="28"/>
      <c r="E199" s="28"/>
      <c r="F199" s="28"/>
      <c r="G199" s="2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2:47" ht="15.75" customHeight="1" x14ac:dyDescent="0.2">
      <c r="B200" s="2"/>
      <c r="C200" s="28"/>
      <c r="D200" s="28"/>
      <c r="E200" s="28"/>
      <c r="F200" s="28"/>
      <c r="G200" s="2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2:47" ht="15.75" customHeight="1" x14ac:dyDescent="0.2">
      <c r="B201" s="2"/>
      <c r="C201" s="28"/>
      <c r="D201" s="28"/>
      <c r="E201" s="28"/>
      <c r="F201" s="28"/>
      <c r="G201" s="2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2:47" ht="15.75" customHeight="1" x14ac:dyDescent="0.2">
      <c r="B202" s="2"/>
      <c r="C202" s="28"/>
      <c r="D202" s="28"/>
      <c r="E202" s="28"/>
      <c r="F202" s="28"/>
      <c r="G202" s="2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2:47" ht="15.75" customHeight="1" x14ac:dyDescent="0.2">
      <c r="B203" s="2"/>
      <c r="C203" s="28"/>
      <c r="D203" s="28"/>
      <c r="E203" s="28"/>
      <c r="F203" s="28"/>
      <c r="G203" s="2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2:47" ht="15.75" customHeight="1" x14ac:dyDescent="0.2">
      <c r="B204" s="2"/>
      <c r="C204" s="28"/>
      <c r="D204" s="28"/>
      <c r="E204" s="28"/>
      <c r="F204" s="28"/>
      <c r="G204" s="2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2:47" ht="15.75" customHeight="1" x14ac:dyDescent="0.2">
      <c r="B205" s="2"/>
      <c r="C205" s="28"/>
      <c r="D205" s="28"/>
      <c r="E205" s="28"/>
      <c r="F205" s="28"/>
      <c r="G205" s="2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2:47" ht="15.75" customHeight="1" x14ac:dyDescent="0.2">
      <c r="B206" s="2"/>
      <c r="C206" s="28"/>
      <c r="D206" s="28"/>
      <c r="E206" s="28"/>
      <c r="F206" s="28"/>
      <c r="G206" s="2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2:47" ht="15.75" customHeight="1" x14ac:dyDescent="0.2">
      <c r="B207" s="2"/>
      <c r="C207" s="28"/>
      <c r="D207" s="28"/>
      <c r="E207" s="28"/>
      <c r="F207" s="28"/>
      <c r="G207" s="2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2:47" ht="15.75" customHeight="1" x14ac:dyDescent="0.2">
      <c r="B208" s="2"/>
      <c r="C208" s="28"/>
      <c r="D208" s="28"/>
      <c r="E208" s="28"/>
      <c r="F208" s="28"/>
      <c r="G208" s="2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2:47" ht="15.75" customHeight="1" x14ac:dyDescent="0.2">
      <c r="B209" s="2"/>
      <c r="C209" s="28"/>
      <c r="D209" s="28"/>
      <c r="E209" s="28"/>
      <c r="F209" s="28"/>
      <c r="G209" s="2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2:47" ht="15.75" customHeight="1" x14ac:dyDescent="0.2">
      <c r="B210" s="2"/>
      <c r="C210" s="28"/>
      <c r="D210" s="28"/>
      <c r="E210" s="28"/>
      <c r="F210" s="28"/>
      <c r="G210" s="2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2:47" ht="15.75" customHeight="1" x14ac:dyDescent="0.2">
      <c r="B211" s="2"/>
      <c r="C211" s="28"/>
      <c r="D211" s="28"/>
      <c r="E211" s="28"/>
      <c r="F211" s="28"/>
      <c r="G211" s="2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2:47" ht="15.75" customHeight="1" x14ac:dyDescent="0.2">
      <c r="B212" s="2"/>
      <c r="C212" s="28"/>
      <c r="D212" s="28"/>
      <c r="E212" s="28"/>
      <c r="F212" s="28"/>
      <c r="G212" s="2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2:47" ht="15.75" customHeight="1" x14ac:dyDescent="0.2">
      <c r="B213" s="2"/>
      <c r="C213" s="28"/>
      <c r="D213" s="28"/>
      <c r="E213" s="28"/>
      <c r="F213" s="28"/>
      <c r="G213" s="2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2:47" ht="15.75" customHeight="1" x14ac:dyDescent="0.2">
      <c r="B214" s="2"/>
      <c r="C214" s="28"/>
      <c r="D214" s="28"/>
      <c r="E214" s="28"/>
      <c r="F214" s="28"/>
      <c r="G214" s="2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2:47" ht="15.75" customHeight="1" x14ac:dyDescent="0.2">
      <c r="B215" s="2"/>
      <c r="C215" s="28"/>
      <c r="D215" s="28"/>
      <c r="E215" s="28"/>
      <c r="F215" s="28"/>
      <c r="G215" s="2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2:47" ht="15.75" customHeight="1" x14ac:dyDescent="0.2">
      <c r="B216" s="2"/>
      <c r="C216" s="28"/>
      <c r="D216" s="28"/>
      <c r="E216" s="28"/>
      <c r="F216" s="28"/>
      <c r="G216" s="2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2:47" ht="15.75" customHeight="1" x14ac:dyDescent="0.2">
      <c r="B217" s="2"/>
      <c r="C217" s="28"/>
      <c r="D217" s="28"/>
      <c r="E217" s="28"/>
      <c r="F217" s="28"/>
      <c r="G217" s="2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2:47" ht="15.75" customHeight="1" x14ac:dyDescent="0.2">
      <c r="B218" s="2"/>
      <c r="C218" s="28"/>
      <c r="D218" s="28"/>
      <c r="E218" s="28"/>
      <c r="F218" s="28"/>
      <c r="G218" s="2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2:47" ht="15.75" customHeight="1" x14ac:dyDescent="0.2">
      <c r="B219" s="2"/>
      <c r="C219" s="28"/>
      <c r="D219" s="28"/>
      <c r="E219" s="28"/>
      <c r="F219" s="28"/>
      <c r="G219" s="2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2:47" ht="15.75" customHeight="1" x14ac:dyDescent="0.2">
      <c r="B220" s="2"/>
      <c r="C220" s="28"/>
      <c r="D220" s="28"/>
      <c r="E220" s="28"/>
      <c r="F220" s="28"/>
      <c r="G220" s="2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2:47" ht="15.75" customHeight="1" x14ac:dyDescent="0.2">
      <c r="B221" s="2"/>
      <c r="C221" s="28"/>
      <c r="D221" s="28"/>
      <c r="E221" s="28"/>
      <c r="F221" s="28"/>
      <c r="G221" s="2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2:47" ht="15.75" customHeight="1" x14ac:dyDescent="0.2">
      <c r="B222" s="2"/>
      <c r="C222" s="28"/>
      <c r="D222" s="28"/>
      <c r="E222" s="28"/>
      <c r="F222" s="28"/>
      <c r="G222" s="2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2:47" ht="15.75" customHeight="1" x14ac:dyDescent="0.2">
      <c r="B223" s="2"/>
      <c r="C223" s="28"/>
      <c r="D223" s="28"/>
      <c r="E223" s="28"/>
      <c r="F223" s="28"/>
      <c r="G223" s="2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2:47" ht="15.75" customHeight="1" x14ac:dyDescent="0.2">
      <c r="B224" s="2"/>
      <c r="C224" s="28"/>
      <c r="D224" s="28"/>
      <c r="E224" s="28"/>
      <c r="F224" s="28"/>
      <c r="G224" s="2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2:47" ht="15.75" customHeight="1" x14ac:dyDescent="0.2">
      <c r="B225" s="2"/>
      <c r="C225" s="28"/>
      <c r="D225" s="28"/>
      <c r="E225" s="28"/>
      <c r="F225" s="28"/>
      <c r="G225" s="2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2:47" ht="15.75" customHeight="1" x14ac:dyDescent="0.2">
      <c r="B226" s="2"/>
      <c r="C226" s="28"/>
      <c r="D226" s="28"/>
      <c r="E226" s="28"/>
      <c r="F226" s="28"/>
      <c r="G226" s="2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2:47" ht="15.75" customHeight="1" x14ac:dyDescent="0.2">
      <c r="B227" s="2"/>
      <c r="C227" s="28"/>
      <c r="D227" s="28"/>
      <c r="E227" s="28"/>
      <c r="F227" s="28"/>
      <c r="G227" s="2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2:47" ht="15.75" customHeight="1" x14ac:dyDescent="0.2">
      <c r="B228" s="2"/>
      <c r="C228" s="28"/>
      <c r="D228" s="28"/>
      <c r="E228" s="28"/>
      <c r="F228" s="28"/>
      <c r="G228" s="2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2:47" ht="15.75" customHeight="1" x14ac:dyDescent="0.2">
      <c r="B229" s="2"/>
      <c r="C229" s="28"/>
      <c r="D229" s="28"/>
      <c r="E229" s="28"/>
      <c r="F229" s="28"/>
      <c r="G229" s="2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2:47" ht="15.75" customHeight="1" x14ac:dyDescent="0.2">
      <c r="B230" s="2"/>
      <c r="C230" s="28"/>
      <c r="D230" s="28"/>
      <c r="E230" s="28"/>
      <c r="F230" s="28"/>
      <c r="G230" s="2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2:47" ht="15.75" customHeight="1" x14ac:dyDescent="0.2">
      <c r="B231" s="2"/>
      <c r="C231" s="28"/>
      <c r="D231" s="28"/>
      <c r="E231" s="28"/>
      <c r="F231" s="28"/>
      <c r="G231" s="2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2:47" ht="15.75" customHeight="1" x14ac:dyDescent="0.2">
      <c r="B232" s="2"/>
      <c r="C232" s="28"/>
      <c r="D232" s="28"/>
      <c r="E232" s="28"/>
      <c r="F232" s="28"/>
      <c r="G232" s="2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2:47" ht="15.75" customHeight="1" x14ac:dyDescent="0.2">
      <c r="B233" s="2"/>
      <c r="C233" s="28"/>
      <c r="D233" s="28"/>
      <c r="E233" s="28"/>
      <c r="F233" s="28"/>
      <c r="G233" s="2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2:47" ht="15.75" customHeight="1" x14ac:dyDescent="0.2">
      <c r="B234" s="2"/>
      <c r="C234" s="28"/>
      <c r="D234" s="28"/>
      <c r="E234" s="28"/>
      <c r="F234" s="28"/>
      <c r="G234" s="2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2:47" ht="15.75" customHeight="1" x14ac:dyDescent="0.2">
      <c r="B235" s="2"/>
      <c r="C235" s="28"/>
      <c r="D235" s="28"/>
      <c r="E235" s="28"/>
      <c r="F235" s="28"/>
      <c r="G235" s="2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2:47" ht="15.75" customHeight="1" x14ac:dyDescent="0.2">
      <c r="B236" s="2"/>
      <c r="C236" s="28"/>
      <c r="D236" s="28"/>
      <c r="E236" s="28"/>
      <c r="F236" s="28"/>
      <c r="G236" s="2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2:47" ht="15.75" customHeight="1" x14ac:dyDescent="0.2">
      <c r="B237" s="2"/>
      <c r="C237" s="28"/>
      <c r="D237" s="28"/>
      <c r="E237" s="28"/>
      <c r="F237" s="28"/>
      <c r="G237" s="2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2:47" ht="15.75" customHeight="1" x14ac:dyDescent="0.2">
      <c r="B238" s="2"/>
      <c r="C238" s="28"/>
      <c r="D238" s="28"/>
      <c r="E238" s="28"/>
      <c r="F238" s="28"/>
      <c r="G238" s="2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2:47" ht="15.75" customHeight="1" x14ac:dyDescent="0.2">
      <c r="B239" s="2"/>
      <c r="C239" s="28"/>
      <c r="D239" s="28"/>
      <c r="E239" s="28"/>
      <c r="F239" s="28"/>
      <c r="G239" s="2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2:47" ht="15.75" customHeight="1" x14ac:dyDescent="0.2">
      <c r="B240" s="2"/>
      <c r="C240" s="28"/>
      <c r="D240" s="28"/>
      <c r="E240" s="28"/>
      <c r="F240" s="28"/>
      <c r="G240" s="2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2:47" ht="15.75" customHeight="1" x14ac:dyDescent="0.2">
      <c r="B241" s="2"/>
      <c r="C241" s="28"/>
      <c r="D241" s="28"/>
      <c r="E241" s="28"/>
      <c r="F241" s="28"/>
      <c r="G241" s="2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2:47" ht="15.75" customHeight="1" x14ac:dyDescent="0.2">
      <c r="B242" s="2"/>
      <c r="C242" s="28"/>
      <c r="D242" s="28"/>
      <c r="E242" s="28"/>
      <c r="F242" s="28"/>
      <c r="G242" s="2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2:47" ht="15.75" customHeight="1" x14ac:dyDescent="0.2">
      <c r="B243" s="2"/>
      <c r="C243" s="28"/>
      <c r="D243" s="28"/>
      <c r="E243" s="28"/>
      <c r="F243" s="28"/>
      <c r="G243" s="2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2:47" ht="15.75" customHeight="1" x14ac:dyDescent="0.2">
      <c r="B244" s="2"/>
      <c r="C244" s="28"/>
      <c r="D244" s="28"/>
      <c r="E244" s="28"/>
      <c r="F244" s="28"/>
      <c r="G244" s="2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2:47" ht="15.75" customHeight="1" x14ac:dyDescent="0.2">
      <c r="B245" s="2"/>
      <c r="C245" s="28"/>
      <c r="D245" s="28"/>
      <c r="E245" s="28"/>
      <c r="F245" s="28"/>
      <c r="G245" s="2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2:47" ht="15.75" customHeight="1" x14ac:dyDescent="0.2">
      <c r="B246" s="2"/>
      <c r="C246" s="28"/>
      <c r="D246" s="28"/>
      <c r="E246" s="28"/>
      <c r="F246" s="28"/>
      <c r="G246" s="2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2:47" ht="15.75" customHeight="1" x14ac:dyDescent="0.2">
      <c r="B247" s="2"/>
      <c r="C247" s="28"/>
      <c r="D247" s="28"/>
      <c r="E247" s="28"/>
      <c r="F247" s="28"/>
      <c r="G247" s="2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2:47" ht="15.75" customHeight="1" x14ac:dyDescent="0.2">
      <c r="B248" s="2"/>
      <c r="C248" s="28"/>
      <c r="D248" s="28"/>
      <c r="E248" s="28"/>
      <c r="F248" s="28"/>
      <c r="G248" s="2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2:47" ht="15.75" customHeight="1" x14ac:dyDescent="0.2">
      <c r="B249" s="2"/>
      <c r="C249" s="28"/>
      <c r="D249" s="28"/>
      <c r="E249" s="28"/>
      <c r="F249" s="28"/>
      <c r="G249" s="2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2:47" ht="15.75" customHeight="1" x14ac:dyDescent="0.2">
      <c r="B250" s="2"/>
      <c r="C250" s="28"/>
      <c r="D250" s="28"/>
      <c r="E250" s="28"/>
      <c r="F250" s="28"/>
      <c r="G250" s="2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2:47" ht="15.75" customHeight="1" x14ac:dyDescent="0.2">
      <c r="B251" s="2"/>
      <c r="C251" s="28"/>
      <c r="D251" s="28"/>
      <c r="E251" s="28"/>
      <c r="F251" s="28"/>
      <c r="G251" s="2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2:47" ht="15.75" customHeight="1" x14ac:dyDescent="0.2">
      <c r="B252" s="2"/>
      <c r="C252" s="28"/>
      <c r="D252" s="28"/>
      <c r="E252" s="28"/>
      <c r="F252" s="28"/>
      <c r="G252" s="2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2:47" ht="15.75" customHeight="1" x14ac:dyDescent="0.2">
      <c r="B253" s="2"/>
      <c r="C253" s="28"/>
      <c r="D253" s="28"/>
      <c r="E253" s="28"/>
      <c r="F253" s="28"/>
      <c r="G253" s="2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2:47" ht="15.75" customHeight="1" x14ac:dyDescent="0.2">
      <c r="B254" s="2"/>
      <c r="C254" s="28"/>
      <c r="D254" s="28"/>
      <c r="E254" s="28"/>
      <c r="F254" s="28"/>
      <c r="G254" s="2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2:47" ht="15.75" customHeight="1" x14ac:dyDescent="0.2">
      <c r="B255" s="2"/>
      <c r="C255" s="28"/>
      <c r="D255" s="28"/>
      <c r="E255" s="28"/>
      <c r="F255" s="28"/>
      <c r="G255" s="2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2:47" ht="15.75" customHeight="1" x14ac:dyDescent="0.2">
      <c r="B256" s="2"/>
      <c r="C256" s="28"/>
      <c r="D256" s="28"/>
      <c r="E256" s="28"/>
      <c r="F256" s="28"/>
      <c r="G256" s="2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2:47" ht="15.75" customHeight="1" x14ac:dyDescent="0.2">
      <c r="B257" s="2"/>
      <c r="C257" s="28"/>
      <c r="D257" s="28"/>
      <c r="E257" s="28"/>
      <c r="F257" s="28"/>
      <c r="G257" s="2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2:47" ht="15.75" customHeight="1" x14ac:dyDescent="0.2">
      <c r="B258" s="2"/>
      <c r="C258" s="28"/>
      <c r="D258" s="28"/>
      <c r="E258" s="28"/>
      <c r="F258" s="28"/>
      <c r="G258" s="2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2:47" ht="15.75" customHeight="1" x14ac:dyDescent="0.2">
      <c r="B259" s="2"/>
      <c r="C259" s="28"/>
      <c r="D259" s="28"/>
      <c r="E259" s="28"/>
      <c r="F259" s="28"/>
      <c r="G259" s="2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2:47" ht="15.75" customHeight="1" x14ac:dyDescent="0.2">
      <c r="B260" s="2"/>
      <c r="C260" s="28"/>
      <c r="D260" s="28"/>
      <c r="E260" s="28"/>
      <c r="F260" s="28"/>
      <c r="G260" s="2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2:47" ht="15.75" customHeight="1" x14ac:dyDescent="0.2">
      <c r="B261" s="2"/>
      <c r="C261" s="28"/>
      <c r="D261" s="28"/>
      <c r="E261" s="28"/>
      <c r="F261" s="28"/>
      <c r="G261" s="2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2:47" ht="15.75" customHeight="1" x14ac:dyDescent="0.2">
      <c r="B262" s="2"/>
      <c r="C262" s="28"/>
      <c r="D262" s="28"/>
      <c r="E262" s="28"/>
      <c r="F262" s="28"/>
      <c r="G262" s="2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2:47" ht="15.75" customHeight="1" x14ac:dyDescent="0.2">
      <c r="B263" s="2"/>
      <c r="C263" s="28"/>
      <c r="D263" s="28"/>
      <c r="E263" s="28"/>
      <c r="F263" s="28"/>
      <c r="G263" s="2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2:47" ht="15.75" customHeight="1" x14ac:dyDescent="0.2">
      <c r="B264" s="2"/>
      <c r="C264" s="28"/>
      <c r="D264" s="28"/>
      <c r="E264" s="28"/>
      <c r="F264" s="28"/>
      <c r="G264" s="2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2:47" ht="15.75" customHeight="1" x14ac:dyDescent="0.2">
      <c r="B265" s="2"/>
      <c r="C265" s="28"/>
      <c r="D265" s="28"/>
      <c r="E265" s="28"/>
      <c r="F265" s="28"/>
      <c r="G265" s="2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2:47" ht="15.75" customHeight="1" x14ac:dyDescent="0.2">
      <c r="B266" s="2"/>
      <c r="C266" s="28"/>
      <c r="D266" s="28"/>
      <c r="E266" s="28"/>
      <c r="F266" s="28"/>
      <c r="G266" s="2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2:47" ht="15.75" customHeight="1" x14ac:dyDescent="0.2">
      <c r="B267" s="2"/>
      <c r="C267" s="28"/>
      <c r="D267" s="28"/>
      <c r="E267" s="28"/>
      <c r="F267" s="28"/>
      <c r="G267" s="2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2:47" ht="15.75" customHeight="1" x14ac:dyDescent="0.2">
      <c r="B268" s="2"/>
      <c r="C268" s="28"/>
      <c r="D268" s="28"/>
      <c r="E268" s="28"/>
      <c r="F268" s="28"/>
      <c r="G268" s="2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2:47" ht="15.75" customHeight="1" x14ac:dyDescent="0.2">
      <c r="B269" s="2"/>
      <c r="C269" s="28"/>
      <c r="D269" s="28"/>
      <c r="E269" s="28"/>
      <c r="F269" s="28"/>
      <c r="G269" s="2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2:47" ht="15.75" customHeight="1" x14ac:dyDescent="0.2">
      <c r="B270" s="2"/>
      <c r="C270" s="28"/>
      <c r="D270" s="28"/>
      <c r="E270" s="28"/>
      <c r="F270" s="28"/>
      <c r="G270" s="2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2:47" ht="15.75" customHeight="1" x14ac:dyDescent="0.2">
      <c r="B271" s="2"/>
      <c r="C271" s="28"/>
      <c r="D271" s="28"/>
      <c r="E271" s="28"/>
      <c r="F271" s="28"/>
      <c r="G271" s="2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2:47" ht="15.75" customHeight="1" x14ac:dyDescent="0.2">
      <c r="B272" s="2"/>
      <c r="C272" s="28"/>
      <c r="D272" s="28"/>
      <c r="E272" s="28"/>
      <c r="F272" s="28"/>
      <c r="G272" s="2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2:47" ht="15.75" customHeight="1" x14ac:dyDescent="0.2">
      <c r="B273" s="2"/>
      <c r="C273" s="28"/>
      <c r="D273" s="28"/>
      <c r="E273" s="28"/>
      <c r="F273" s="28"/>
      <c r="G273" s="2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2:47" ht="15.75" customHeight="1" x14ac:dyDescent="0.2">
      <c r="B274" s="2"/>
      <c r="C274" s="28"/>
      <c r="D274" s="28"/>
      <c r="E274" s="28"/>
      <c r="F274" s="28"/>
      <c r="G274" s="2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2:47" ht="15.75" customHeight="1" x14ac:dyDescent="0.2">
      <c r="B275" s="2"/>
      <c r="C275" s="28"/>
      <c r="D275" s="28"/>
      <c r="E275" s="28"/>
      <c r="F275" s="28"/>
      <c r="G275" s="2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2:47" ht="15.75" customHeight="1" x14ac:dyDescent="0.2">
      <c r="B276" s="2"/>
      <c r="C276" s="28"/>
      <c r="D276" s="28"/>
      <c r="E276" s="28"/>
      <c r="F276" s="28"/>
      <c r="G276" s="2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2:47" ht="15.75" customHeight="1" x14ac:dyDescent="0.2">
      <c r="B277" s="2"/>
      <c r="C277" s="28"/>
      <c r="D277" s="28"/>
      <c r="E277" s="28"/>
      <c r="F277" s="28"/>
      <c r="G277" s="2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2:47" ht="15.75" customHeight="1" x14ac:dyDescent="0.2">
      <c r="B278" s="2"/>
      <c r="C278" s="28"/>
      <c r="D278" s="28"/>
      <c r="E278" s="28"/>
      <c r="F278" s="28"/>
      <c r="G278" s="2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2:47" ht="15.75" customHeight="1" x14ac:dyDescent="0.2">
      <c r="B279" s="2"/>
      <c r="C279" s="28"/>
      <c r="D279" s="28"/>
      <c r="E279" s="28"/>
      <c r="F279" s="28"/>
      <c r="G279" s="2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2:47" ht="15.75" customHeight="1" x14ac:dyDescent="0.2">
      <c r="B280" s="2"/>
      <c r="C280" s="28"/>
      <c r="D280" s="28"/>
      <c r="E280" s="28"/>
      <c r="F280" s="28"/>
      <c r="G280" s="2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2:47" ht="15.75" customHeight="1" x14ac:dyDescent="0.2">
      <c r="B281" s="2"/>
      <c r="C281" s="28"/>
      <c r="D281" s="28"/>
      <c r="E281" s="28"/>
      <c r="F281" s="28"/>
      <c r="G281" s="2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2:47" ht="15.75" customHeight="1" x14ac:dyDescent="0.2">
      <c r="B282" s="2"/>
      <c r="C282" s="28"/>
      <c r="D282" s="28"/>
      <c r="E282" s="28"/>
      <c r="F282" s="28"/>
      <c r="G282" s="2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2:47" ht="15.75" customHeight="1" x14ac:dyDescent="0.2">
      <c r="B283" s="2"/>
      <c r="C283" s="28"/>
      <c r="D283" s="28"/>
      <c r="E283" s="28"/>
      <c r="F283" s="28"/>
      <c r="G283" s="2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2:47" ht="15.75" customHeight="1" x14ac:dyDescent="0.2">
      <c r="B284" s="2"/>
      <c r="C284" s="28"/>
      <c r="D284" s="28"/>
      <c r="E284" s="28"/>
      <c r="F284" s="28"/>
      <c r="G284" s="2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2:47" ht="15.75" customHeight="1" x14ac:dyDescent="0.2">
      <c r="B285" s="2"/>
      <c r="C285" s="28"/>
      <c r="D285" s="28"/>
      <c r="E285" s="28"/>
      <c r="F285" s="28"/>
      <c r="G285" s="2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2:47" ht="15.75" customHeight="1" x14ac:dyDescent="0.2">
      <c r="B286" s="2"/>
      <c r="C286" s="28"/>
      <c r="D286" s="28"/>
      <c r="E286" s="28"/>
      <c r="F286" s="28"/>
      <c r="G286" s="2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2:47" ht="15.75" customHeight="1" x14ac:dyDescent="0.2">
      <c r="B287" s="2"/>
      <c r="C287" s="28"/>
      <c r="D287" s="28"/>
      <c r="E287" s="28"/>
      <c r="F287" s="28"/>
      <c r="G287" s="2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2:47" ht="15.75" customHeight="1" x14ac:dyDescent="0.2">
      <c r="B288" s="2"/>
      <c r="C288" s="28"/>
      <c r="D288" s="28"/>
      <c r="E288" s="28"/>
      <c r="F288" s="28"/>
      <c r="G288" s="2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2:47" ht="15.75" customHeight="1" x14ac:dyDescent="0.2">
      <c r="B289" s="2"/>
      <c r="C289" s="28"/>
      <c r="D289" s="28"/>
      <c r="E289" s="28"/>
      <c r="F289" s="28"/>
      <c r="G289" s="2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2:47" ht="15.75" customHeight="1" x14ac:dyDescent="0.2">
      <c r="B290" s="2"/>
      <c r="C290" s="28"/>
      <c r="D290" s="28"/>
      <c r="E290" s="28"/>
      <c r="F290" s="28"/>
      <c r="G290" s="2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2:47" ht="15.75" customHeight="1" x14ac:dyDescent="0.2">
      <c r="B291" s="2"/>
      <c r="C291" s="28"/>
      <c r="D291" s="28"/>
      <c r="E291" s="28"/>
      <c r="F291" s="28"/>
      <c r="G291" s="2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2:47" ht="15.75" customHeight="1" x14ac:dyDescent="0.2">
      <c r="B292" s="2"/>
      <c r="C292" s="28"/>
      <c r="D292" s="28"/>
      <c r="E292" s="28"/>
      <c r="F292" s="28"/>
      <c r="G292" s="2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2:47" ht="15.75" customHeight="1" x14ac:dyDescent="0.2">
      <c r="B293" s="2"/>
      <c r="C293" s="28"/>
      <c r="D293" s="28"/>
      <c r="E293" s="28"/>
      <c r="F293" s="28"/>
      <c r="G293" s="2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2:47" ht="15.75" customHeight="1" x14ac:dyDescent="0.2">
      <c r="B294" s="2"/>
      <c r="C294" s="28"/>
      <c r="D294" s="28"/>
      <c r="E294" s="28"/>
      <c r="F294" s="28"/>
      <c r="G294" s="2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2:47" ht="15.75" customHeight="1" x14ac:dyDescent="0.2">
      <c r="B295" s="2"/>
      <c r="C295" s="28"/>
      <c r="D295" s="28"/>
      <c r="E295" s="28"/>
      <c r="F295" s="28"/>
      <c r="G295" s="2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2:47" ht="15.75" customHeight="1" x14ac:dyDescent="0.2">
      <c r="B296" s="2"/>
      <c r="C296" s="28"/>
      <c r="D296" s="28"/>
      <c r="E296" s="28"/>
      <c r="F296" s="28"/>
      <c r="G296" s="2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2:47" ht="15.75" customHeight="1" x14ac:dyDescent="0.2">
      <c r="B297" s="2"/>
      <c r="C297" s="28"/>
      <c r="D297" s="28"/>
      <c r="E297" s="28"/>
      <c r="F297" s="28"/>
      <c r="G297" s="2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2:47" ht="15.75" customHeight="1" x14ac:dyDescent="0.2">
      <c r="B298" s="2"/>
      <c r="C298" s="28"/>
      <c r="D298" s="28"/>
      <c r="E298" s="28"/>
      <c r="F298" s="28"/>
      <c r="G298" s="2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2:47" ht="15.75" customHeight="1" x14ac:dyDescent="0.2">
      <c r="B299" s="2"/>
      <c r="C299" s="28"/>
      <c r="D299" s="28"/>
      <c r="E299" s="28"/>
      <c r="F299" s="28"/>
      <c r="G299" s="2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2:47" ht="15.75" customHeight="1" x14ac:dyDescent="0.2">
      <c r="B300" s="2"/>
      <c r="C300" s="28"/>
      <c r="D300" s="28"/>
      <c r="E300" s="28"/>
      <c r="F300" s="28"/>
      <c r="G300" s="2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2:47" ht="15.75" customHeight="1" x14ac:dyDescent="0.2">
      <c r="B301" s="2"/>
      <c r="C301" s="28"/>
      <c r="D301" s="28"/>
      <c r="E301" s="28"/>
      <c r="F301" s="28"/>
      <c r="G301" s="2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2:47" ht="15.75" customHeight="1" x14ac:dyDescent="0.2">
      <c r="B302" s="2"/>
      <c r="C302" s="28"/>
      <c r="D302" s="28"/>
      <c r="E302" s="28"/>
      <c r="F302" s="28"/>
      <c r="G302" s="2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2:47" ht="15.75" customHeight="1" x14ac:dyDescent="0.2">
      <c r="B303" s="2"/>
      <c r="C303" s="28"/>
      <c r="D303" s="28"/>
      <c r="E303" s="28"/>
      <c r="F303" s="28"/>
      <c r="G303" s="2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2:47" ht="15.75" customHeight="1" x14ac:dyDescent="0.2">
      <c r="B304" s="2"/>
      <c r="C304" s="28"/>
      <c r="D304" s="28"/>
      <c r="E304" s="28"/>
      <c r="F304" s="28"/>
      <c r="G304" s="2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2:47" ht="15.75" customHeight="1" x14ac:dyDescent="0.2">
      <c r="B305" s="2"/>
      <c r="C305" s="28"/>
      <c r="D305" s="28"/>
      <c r="E305" s="28"/>
      <c r="F305" s="28"/>
      <c r="G305" s="2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2:47" ht="15.75" customHeight="1" x14ac:dyDescent="0.2">
      <c r="B306" s="2"/>
      <c r="C306" s="28"/>
      <c r="D306" s="28"/>
      <c r="E306" s="28"/>
      <c r="F306" s="28"/>
      <c r="G306" s="2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2:47" ht="15.75" customHeight="1" x14ac:dyDescent="0.2">
      <c r="B307" s="2"/>
      <c r="C307" s="28"/>
      <c r="D307" s="28"/>
      <c r="E307" s="28"/>
      <c r="F307" s="28"/>
      <c r="G307" s="2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2:47" ht="15.75" customHeight="1" x14ac:dyDescent="0.2">
      <c r="B308" s="2"/>
      <c r="C308" s="28"/>
      <c r="D308" s="28"/>
      <c r="E308" s="28"/>
      <c r="F308" s="28"/>
      <c r="G308" s="2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2:47" ht="15.75" customHeight="1" x14ac:dyDescent="0.2">
      <c r="B309" s="2"/>
      <c r="C309" s="28"/>
      <c r="D309" s="28"/>
      <c r="E309" s="28"/>
      <c r="F309" s="28"/>
      <c r="G309" s="2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2:47" ht="15.75" customHeight="1" x14ac:dyDescent="0.2">
      <c r="B310" s="2"/>
      <c r="C310" s="28"/>
      <c r="D310" s="28"/>
      <c r="E310" s="28"/>
      <c r="F310" s="28"/>
      <c r="G310" s="2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2:47" ht="15.75" customHeight="1" x14ac:dyDescent="0.2">
      <c r="B311" s="2"/>
      <c r="C311" s="28"/>
      <c r="D311" s="28"/>
      <c r="E311" s="28"/>
      <c r="F311" s="28"/>
      <c r="G311" s="2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2:47" ht="15.75" customHeight="1" x14ac:dyDescent="0.2">
      <c r="B312" s="2"/>
      <c r="C312" s="28"/>
      <c r="D312" s="28"/>
      <c r="E312" s="28"/>
      <c r="F312" s="28"/>
      <c r="G312" s="2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2:47" ht="15.75" customHeight="1" x14ac:dyDescent="0.2">
      <c r="B313" s="2"/>
      <c r="C313" s="28"/>
      <c r="D313" s="28"/>
      <c r="E313" s="28"/>
      <c r="F313" s="28"/>
      <c r="G313" s="2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2:47" ht="15.75" customHeight="1" x14ac:dyDescent="0.2">
      <c r="B314" s="2"/>
      <c r="C314" s="28"/>
      <c r="D314" s="28"/>
      <c r="E314" s="28"/>
      <c r="F314" s="28"/>
      <c r="G314" s="2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2:47" ht="15.75" customHeight="1" x14ac:dyDescent="0.2">
      <c r="B315" s="2"/>
      <c r="C315" s="28"/>
      <c r="D315" s="28"/>
      <c r="E315" s="28"/>
      <c r="F315" s="28"/>
      <c r="G315" s="2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2:47" ht="15.75" customHeight="1" x14ac:dyDescent="0.2">
      <c r="B316" s="2"/>
      <c r="C316" s="28"/>
      <c r="D316" s="28"/>
      <c r="E316" s="28"/>
      <c r="F316" s="28"/>
      <c r="G316" s="2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2:47" ht="15.75" customHeight="1" x14ac:dyDescent="0.2">
      <c r="B317" s="2"/>
      <c r="C317" s="28"/>
      <c r="D317" s="28"/>
      <c r="E317" s="28"/>
      <c r="F317" s="28"/>
      <c r="G317" s="2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2:47" ht="15.75" customHeight="1" x14ac:dyDescent="0.2">
      <c r="B318" s="2"/>
      <c r="C318" s="28"/>
      <c r="D318" s="28"/>
      <c r="E318" s="28"/>
      <c r="F318" s="28"/>
      <c r="G318" s="2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2:47" ht="15.75" customHeight="1" x14ac:dyDescent="0.2">
      <c r="B319" s="2"/>
      <c r="C319" s="28"/>
      <c r="D319" s="28"/>
      <c r="E319" s="28"/>
      <c r="F319" s="28"/>
      <c r="G319" s="2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2:47" ht="15.75" customHeight="1" x14ac:dyDescent="0.2">
      <c r="B320" s="2"/>
      <c r="C320" s="28"/>
      <c r="D320" s="28"/>
      <c r="E320" s="28"/>
      <c r="F320" s="28"/>
      <c r="G320" s="2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2:47" ht="15.75" customHeight="1" x14ac:dyDescent="0.2">
      <c r="B321" s="2"/>
      <c r="C321" s="28"/>
      <c r="D321" s="28"/>
      <c r="E321" s="28"/>
      <c r="F321" s="28"/>
      <c r="G321" s="2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2:47" ht="15.75" customHeight="1" x14ac:dyDescent="0.2">
      <c r="B322" s="2"/>
      <c r="C322" s="28"/>
      <c r="D322" s="28"/>
      <c r="E322" s="28"/>
      <c r="F322" s="28"/>
      <c r="G322" s="2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2:47" ht="15.75" customHeight="1" x14ac:dyDescent="0.2">
      <c r="B323" s="2"/>
      <c r="C323" s="28"/>
      <c r="D323" s="28"/>
      <c r="E323" s="28"/>
      <c r="F323" s="28"/>
      <c r="G323" s="2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2:47" ht="15.75" customHeight="1" x14ac:dyDescent="0.2">
      <c r="B324" s="2"/>
      <c r="C324" s="28"/>
      <c r="D324" s="28"/>
      <c r="E324" s="28"/>
      <c r="F324" s="28"/>
      <c r="G324" s="2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2:47" ht="15.75" customHeight="1" x14ac:dyDescent="0.2">
      <c r="B325" s="2"/>
      <c r="C325" s="28"/>
      <c r="D325" s="28"/>
      <c r="E325" s="28"/>
      <c r="F325" s="28"/>
      <c r="G325" s="2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2:47" ht="15.75" customHeight="1" x14ac:dyDescent="0.2">
      <c r="B326" s="2"/>
      <c r="C326" s="28"/>
      <c r="D326" s="28"/>
      <c r="E326" s="28"/>
      <c r="F326" s="28"/>
      <c r="G326" s="2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2:47" ht="15.75" customHeight="1" x14ac:dyDescent="0.2">
      <c r="B327" s="2"/>
      <c r="C327" s="28"/>
      <c r="D327" s="28"/>
      <c r="E327" s="28"/>
      <c r="F327" s="28"/>
      <c r="G327" s="2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2:47" ht="15.75" customHeight="1" x14ac:dyDescent="0.2">
      <c r="B328" s="2"/>
      <c r="C328" s="28"/>
      <c r="D328" s="28"/>
      <c r="E328" s="28"/>
      <c r="F328" s="28"/>
      <c r="G328" s="2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2:47" ht="15.75" customHeight="1" x14ac:dyDescent="0.2">
      <c r="B329" s="2"/>
      <c r="C329" s="28"/>
      <c r="D329" s="28"/>
      <c r="E329" s="28"/>
      <c r="F329" s="28"/>
      <c r="G329" s="2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2:47" ht="15.75" customHeight="1" x14ac:dyDescent="0.2">
      <c r="B330" s="2"/>
      <c r="C330" s="28"/>
      <c r="D330" s="28"/>
      <c r="E330" s="28"/>
      <c r="F330" s="28"/>
      <c r="G330" s="2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2:47" ht="15.75" customHeight="1" x14ac:dyDescent="0.2">
      <c r="B331" s="2"/>
      <c r="C331" s="28"/>
      <c r="D331" s="28"/>
      <c r="E331" s="28"/>
      <c r="F331" s="28"/>
      <c r="G331" s="2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2:47" ht="15.75" customHeight="1" x14ac:dyDescent="0.2">
      <c r="B332" s="2"/>
      <c r="C332" s="28"/>
      <c r="D332" s="28"/>
      <c r="E332" s="28"/>
      <c r="F332" s="28"/>
      <c r="G332" s="2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2:47" ht="15.75" customHeight="1" x14ac:dyDescent="0.2">
      <c r="B333" s="2"/>
      <c r="C333" s="28"/>
      <c r="D333" s="28"/>
      <c r="E333" s="28"/>
      <c r="F333" s="28"/>
      <c r="G333" s="2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2:47" ht="15.75" customHeight="1" x14ac:dyDescent="0.2">
      <c r="B334" s="2"/>
      <c r="C334" s="28"/>
      <c r="D334" s="28"/>
      <c r="E334" s="28"/>
      <c r="F334" s="28"/>
      <c r="G334" s="2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2:47" ht="15.75" customHeight="1" x14ac:dyDescent="0.2">
      <c r="B335" s="2"/>
      <c r="C335" s="28"/>
      <c r="D335" s="28"/>
      <c r="E335" s="28"/>
      <c r="F335" s="28"/>
      <c r="G335" s="2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2:47" ht="15.75" customHeight="1" x14ac:dyDescent="0.2">
      <c r="B336" s="2"/>
      <c r="C336" s="28"/>
      <c r="D336" s="28"/>
      <c r="E336" s="28"/>
      <c r="F336" s="28"/>
      <c r="G336" s="2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2:47" ht="15.75" customHeight="1" x14ac:dyDescent="0.2">
      <c r="B337" s="2"/>
      <c r="C337" s="28"/>
      <c r="D337" s="28"/>
      <c r="E337" s="28"/>
      <c r="F337" s="28"/>
      <c r="G337" s="2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2:47" ht="15.75" customHeight="1" x14ac:dyDescent="0.2">
      <c r="B338" s="2"/>
      <c r="C338" s="28"/>
      <c r="D338" s="28"/>
      <c r="E338" s="28"/>
      <c r="F338" s="28"/>
      <c r="G338" s="2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2:47" ht="15.75" customHeight="1" x14ac:dyDescent="0.2">
      <c r="B339" s="2"/>
      <c r="C339" s="28"/>
      <c r="D339" s="28"/>
      <c r="E339" s="28"/>
      <c r="F339" s="28"/>
      <c r="G339" s="2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2:47" ht="15.75" customHeight="1" x14ac:dyDescent="0.2">
      <c r="B340" s="2"/>
      <c r="C340" s="28"/>
      <c r="D340" s="28"/>
      <c r="E340" s="28"/>
      <c r="F340" s="28"/>
      <c r="G340" s="2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2:47" ht="15.75" customHeight="1" x14ac:dyDescent="0.2">
      <c r="B341" s="2"/>
      <c r="C341" s="28"/>
      <c r="D341" s="28"/>
      <c r="E341" s="28"/>
      <c r="F341" s="28"/>
      <c r="G341" s="2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2:47" ht="15.75" customHeight="1" x14ac:dyDescent="0.2">
      <c r="B342" s="2"/>
      <c r="C342" s="28"/>
      <c r="D342" s="28"/>
      <c r="E342" s="28"/>
      <c r="F342" s="28"/>
      <c r="G342" s="2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2:47" ht="15.75" customHeight="1" x14ac:dyDescent="0.2">
      <c r="B343" s="2"/>
      <c r="C343" s="28"/>
      <c r="D343" s="28"/>
      <c r="E343" s="28"/>
      <c r="F343" s="28"/>
      <c r="G343" s="2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2:47" ht="15.75" customHeight="1" x14ac:dyDescent="0.2">
      <c r="B344" s="2"/>
      <c r="C344" s="28"/>
      <c r="D344" s="28"/>
      <c r="E344" s="28"/>
      <c r="F344" s="28"/>
      <c r="G344" s="2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2:47" ht="15.75" customHeight="1" x14ac:dyDescent="0.2">
      <c r="B345" s="2"/>
      <c r="C345" s="28"/>
      <c r="D345" s="28"/>
      <c r="E345" s="28"/>
      <c r="F345" s="28"/>
      <c r="G345" s="2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2:47" ht="15.75" customHeight="1" x14ac:dyDescent="0.2">
      <c r="B346" s="2"/>
      <c r="C346" s="28"/>
      <c r="D346" s="28"/>
      <c r="E346" s="28"/>
      <c r="F346" s="28"/>
      <c r="G346" s="2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2:47" ht="15.75" customHeight="1" x14ac:dyDescent="0.2">
      <c r="B347" s="2"/>
      <c r="C347" s="28"/>
      <c r="D347" s="28"/>
      <c r="E347" s="28"/>
      <c r="F347" s="28"/>
      <c r="G347" s="2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2:47" ht="15.75" customHeight="1" x14ac:dyDescent="0.2">
      <c r="B348" s="2"/>
      <c r="C348" s="28"/>
      <c r="D348" s="28"/>
      <c r="E348" s="28"/>
      <c r="F348" s="28"/>
      <c r="G348" s="2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2:47" ht="15.75" customHeight="1" x14ac:dyDescent="0.2">
      <c r="B349" s="2"/>
      <c r="C349" s="28"/>
      <c r="D349" s="28"/>
      <c r="E349" s="28"/>
      <c r="F349" s="28"/>
      <c r="G349" s="2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2:47" ht="15.75" customHeight="1" x14ac:dyDescent="0.2">
      <c r="B350" s="2"/>
      <c r="C350" s="28"/>
      <c r="D350" s="28"/>
      <c r="E350" s="28"/>
      <c r="F350" s="28"/>
      <c r="G350" s="2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2:47" ht="15.75" customHeight="1" x14ac:dyDescent="0.2">
      <c r="B351" s="2"/>
      <c r="C351" s="28"/>
      <c r="D351" s="28"/>
      <c r="E351" s="28"/>
      <c r="F351" s="28"/>
      <c r="G351" s="2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2:47" ht="15.75" customHeight="1" x14ac:dyDescent="0.2">
      <c r="B352" s="2"/>
      <c r="C352" s="28"/>
      <c r="D352" s="28"/>
      <c r="E352" s="28"/>
      <c r="F352" s="28"/>
      <c r="G352" s="2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2:47" ht="15.75" customHeight="1" x14ac:dyDescent="0.2">
      <c r="B353" s="2"/>
      <c r="C353" s="28"/>
      <c r="D353" s="28"/>
      <c r="E353" s="28"/>
      <c r="F353" s="28"/>
      <c r="G353" s="2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2:47" ht="15.75" customHeight="1" x14ac:dyDescent="0.2">
      <c r="B354" s="2"/>
      <c r="C354" s="28"/>
      <c r="D354" s="28"/>
      <c r="E354" s="28"/>
      <c r="F354" s="28"/>
      <c r="G354" s="2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2:47" ht="15.75" customHeight="1" x14ac:dyDescent="0.2">
      <c r="B355" s="2"/>
      <c r="C355" s="28"/>
      <c r="D355" s="28"/>
      <c r="E355" s="28"/>
      <c r="F355" s="28"/>
      <c r="G355" s="2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2:47" ht="15.75" customHeight="1" x14ac:dyDescent="0.2">
      <c r="B356" s="2"/>
      <c r="C356" s="28"/>
      <c r="D356" s="28"/>
      <c r="E356" s="28"/>
      <c r="F356" s="28"/>
      <c r="G356" s="2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2:47" ht="15.75" customHeight="1" x14ac:dyDescent="0.2">
      <c r="B357" s="2"/>
      <c r="C357" s="28"/>
      <c r="D357" s="28"/>
      <c r="E357" s="28"/>
      <c r="F357" s="28"/>
      <c r="G357" s="2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2:47" ht="15.75" customHeight="1" x14ac:dyDescent="0.2">
      <c r="B358" s="2"/>
      <c r="C358" s="28"/>
      <c r="D358" s="28"/>
      <c r="E358" s="28"/>
      <c r="F358" s="28"/>
      <c r="G358" s="2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2:47" ht="15.75" customHeight="1" x14ac:dyDescent="0.2">
      <c r="B359" s="2"/>
      <c r="C359" s="28"/>
      <c r="D359" s="28"/>
      <c r="E359" s="28"/>
      <c r="F359" s="28"/>
      <c r="G359" s="2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2:47" ht="15.75" customHeight="1" x14ac:dyDescent="0.2">
      <c r="B360" s="2"/>
      <c r="C360" s="28"/>
      <c r="D360" s="28"/>
      <c r="E360" s="28"/>
      <c r="F360" s="28"/>
      <c r="G360" s="2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2:47" ht="15.75" customHeight="1" x14ac:dyDescent="0.2">
      <c r="B361" s="2"/>
      <c r="C361" s="28"/>
      <c r="D361" s="28"/>
      <c r="E361" s="28"/>
      <c r="F361" s="28"/>
      <c r="G361" s="2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2:47" ht="15.75" customHeight="1" x14ac:dyDescent="0.2">
      <c r="B362" s="2"/>
      <c r="C362" s="28"/>
      <c r="D362" s="28"/>
      <c r="E362" s="28"/>
      <c r="F362" s="28"/>
      <c r="G362" s="2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2:47" ht="15.75" customHeight="1" x14ac:dyDescent="0.2">
      <c r="B363" s="2"/>
      <c r="C363" s="28"/>
      <c r="D363" s="28"/>
      <c r="E363" s="28"/>
      <c r="F363" s="28"/>
      <c r="G363" s="2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2:47" ht="15.75" customHeight="1" x14ac:dyDescent="0.2">
      <c r="B364" s="2"/>
      <c r="C364" s="28"/>
      <c r="D364" s="28"/>
      <c r="E364" s="28"/>
      <c r="F364" s="28"/>
      <c r="G364" s="2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2:47" ht="15.75" customHeight="1" x14ac:dyDescent="0.2">
      <c r="B365" s="2"/>
      <c r="C365" s="28"/>
      <c r="D365" s="28"/>
      <c r="E365" s="28"/>
      <c r="F365" s="28"/>
      <c r="G365" s="2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2:47" ht="15.75" customHeight="1" x14ac:dyDescent="0.2">
      <c r="B366" s="2"/>
      <c r="C366" s="28"/>
      <c r="D366" s="28"/>
      <c r="E366" s="28"/>
      <c r="F366" s="28"/>
      <c r="G366" s="2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2:47" ht="15.75" customHeight="1" x14ac:dyDescent="0.2">
      <c r="B367" s="2"/>
      <c r="C367" s="28"/>
      <c r="D367" s="28"/>
      <c r="E367" s="28"/>
      <c r="F367" s="28"/>
      <c r="G367" s="2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2:47" ht="15.75" customHeight="1" x14ac:dyDescent="0.2">
      <c r="B368" s="2"/>
      <c r="C368" s="28"/>
      <c r="D368" s="28"/>
      <c r="E368" s="28"/>
      <c r="F368" s="28"/>
      <c r="G368" s="2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2:47" ht="15.75" customHeight="1" x14ac:dyDescent="0.2">
      <c r="B369" s="2"/>
      <c r="C369" s="28"/>
      <c r="D369" s="28"/>
      <c r="E369" s="28"/>
      <c r="F369" s="28"/>
      <c r="G369" s="2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2:47" ht="15.75" customHeight="1" x14ac:dyDescent="0.2">
      <c r="B370" s="2"/>
      <c r="C370" s="28"/>
      <c r="D370" s="28"/>
      <c r="E370" s="28"/>
      <c r="F370" s="28"/>
      <c r="G370" s="2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2:47" ht="15.75" customHeight="1" x14ac:dyDescent="0.2">
      <c r="B371" s="2"/>
      <c r="C371" s="28"/>
      <c r="D371" s="28"/>
      <c r="E371" s="28"/>
      <c r="F371" s="28"/>
      <c r="G371" s="2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2:47" ht="15.75" customHeight="1" x14ac:dyDescent="0.2">
      <c r="B372" s="2"/>
      <c r="C372" s="28"/>
      <c r="D372" s="28"/>
      <c r="E372" s="28"/>
      <c r="F372" s="28"/>
      <c r="G372" s="2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2:47" ht="15.75" customHeight="1" x14ac:dyDescent="0.2">
      <c r="B373" s="2"/>
      <c r="C373" s="28"/>
      <c r="D373" s="28"/>
      <c r="E373" s="28"/>
      <c r="F373" s="28"/>
      <c r="G373" s="2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2:47" ht="15.75" customHeight="1" x14ac:dyDescent="0.2">
      <c r="B374" s="2"/>
      <c r="C374" s="28"/>
      <c r="D374" s="28"/>
      <c r="E374" s="28"/>
      <c r="F374" s="28"/>
      <c r="G374" s="2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2:47" ht="15.75" customHeight="1" x14ac:dyDescent="0.2">
      <c r="B375" s="2"/>
      <c r="C375" s="28"/>
      <c r="D375" s="28"/>
      <c r="E375" s="28"/>
      <c r="F375" s="28"/>
      <c r="G375" s="2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2:47" ht="15.75" customHeight="1" x14ac:dyDescent="0.2">
      <c r="B376" s="2"/>
      <c r="C376" s="28"/>
      <c r="D376" s="28"/>
      <c r="E376" s="28"/>
      <c r="F376" s="28"/>
      <c r="G376" s="2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2:47" ht="15.75" customHeight="1" x14ac:dyDescent="0.2">
      <c r="B377" s="2"/>
      <c r="C377" s="28"/>
      <c r="D377" s="28"/>
      <c r="E377" s="28"/>
      <c r="F377" s="28"/>
      <c r="G377" s="2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2:47" ht="15.75" customHeight="1" x14ac:dyDescent="0.2">
      <c r="B378" s="2"/>
      <c r="C378" s="28"/>
      <c r="D378" s="28"/>
      <c r="E378" s="28"/>
      <c r="F378" s="28"/>
      <c r="G378" s="2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2:47" ht="15.75" customHeight="1" x14ac:dyDescent="0.2">
      <c r="B379" s="2"/>
      <c r="C379" s="28"/>
      <c r="D379" s="28"/>
      <c r="E379" s="28"/>
      <c r="F379" s="28"/>
      <c r="G379" s="2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2:47" ht="15.75" customHeight="1" x14ac:dyDescent="0.2">
      <c r="B380" s="2"/>
      <c r="C380" s="28"/>
      <c r="D380" s="28"/>
      <c r="E380" s="28"/>
      <c r="F380" s="28"/>
      <c r="G380" s="2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2:47" ht="15.75" customHeight="1" x14ac:dyDescent="0.2">
      <c r="B381" s="2"/>
      <c r="C381" s="28"/>
      <c r="D381" s="28"/>
      <c r="E381" s="28"/>
      <c r="F381" s="28"/>
      <c r="G381" s="2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2:47" ht="15.75" customHeight="1" x14ac:dyDescent="0.2">
      <c r="B382" s="2"/>
      <c r="C382" s="28"/>
      <c r="D382" s="28"/>
      <c r="E382" s="28"/>
      <c r="F382" s="28"/>
      <c r="G382" s="2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2:47" ht="15.75" customHeight="1" x14ac:dyDescent="0.2">
      <c r="B383" s="2"/>
      <c r="C383" s="28"/>
      <c r="D383" s="28"/>
      <c r="E383" s="28"/>
      <c r="F383" s="28"/>
      <c r="G383" s="2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2:47" ht="15.75" customHeight="1" x14ac:dyDescent="0.2">
      <c r="B384" s="2"/>
      <c r="C384" s="28"/>
      <c r="D384" s="28"/>
      <c r="E384" s="28"/>
      <c r="F384" s="28"/>
      <c r="G384" s="2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2:47" ht="15.75" customHeight="1" x14ac:dyDescent="0.2">
      <c r="B385" s="2"/>
      <c r="C385" s="28"/>
      <c r="D385" s="28"/>
      <c r="E385" s="28"/>
      <c r="F385" s="28"/>
      <c r="G385" s="2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2:47" ht="15.75" customHeight="1" x14ac:dyDescent="0.2">
      <c r="B386" s="2"/>
      <c r="C386" s="28"/>
      <c r="D386" s="28"/>
      <c r="E386" s="28"/>
      <c r="F386" s="28"/>
      <c r="G386" s="2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2:47" ht="15.75" customHeight="1" x14ac:dyDescent="0.2">
      <c r="B387" s="2"/>
      <c r="C387" s="28"/>
      <c r="D387" s="28"/>
      <c r="E387" s="28"/>
      <c r="F387" s="28"/>
      <c r="G387" s="2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2:47" ht="15.75" customHeight="1" x14ac:dyDescent="0.2">
      <c r="B388" s="2"/>
      <c r="C388" s="28"/>
      <c r="D388" s="28"/>
      <c r="E388" s="28"/>
      <c r="F388" s="28"/>
      <c r="G388" s="2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2:47" ht="15.75" customHeight="1" x14ac:dyDescent="0.2">
      <c r="B389" s="2"/>
      <c r="C389" s="28"/>
      <c r="D389" s="28"/>
      <c r="E389" s="28"/>
      <c r="F389" s="28"/>
      <c r="G389" s="2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2:47" ht="15.75" customHeight="1" x14ac:dyDescent="0.2">
      <c r="B390" s="2"/>
      <c r="C390" s="28"/>
      <c r="D390" s="28"/>
      <c r="E390" s="28"/>
      <c r="F390" s="28"/>
      <c r="G390" s="2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2:47" ht="15.75" customHeight="1" x14ac:dyDescent="0.2">
      <c r="B391" s="2"/>
      <c r="C391" s="28"/>
      <c r="D391" s="28"/>
      <c r="E391" s="28"/>
      <c r="F391" s="28"/>
      <c r="G391" s="2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2:47" ht="15.75" customHeight="1" x14ac:dyDescent="0.2">
      <c r="B392" s="2"/>
      <c r="C392" s="28"/>
      <c r="D392" s="28"/>
      <c r="E392" s="28"/>
      <c r="F392" s="28"/>
      <c r="G392" s="2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2:47" ht="15.75" customHeight="1" x14ac:dyDescent="0.2">
      <c r="B393" s="2"/>
      <c r="C393" s="28"/>
      <c r="D393" s="28"/>
      <c r="E393" s="28"/>
      <c r="F393" s="28"/>
      <c r="G393" s="2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2:47" ht="15.75" customHeight="1" x14ac:dyDescent="0.2">
      <c r="B394" s="2"/>
      <c r="C394" s="28"/>
      <c r="D394" s="28"/>
      <c r="E394" s="28"/>
      <c r="F394" s="28"/>
      <c r="G394" s="2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2:47" ht="15.75" customHeight="1" x14ac:dyDescent="0.2">
      <c r="B395" s="2"/>
      <c r="C395" s="28"/>
      <c r="D395" s="28"/>
      <c r="E395" s="28"/>
      <c r="F395" s="28"/>
      <c r="G395" s="2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2:47" ht="15.75" customHeight="1" x14ac:dyDescent="0.2">
      <c r="B396" s="2"/>
      <c r="C396" s="28"/>
      <c r="D396" s="28"/>
      <c r="E396" s="28"/>
      <c r="F396" s="28"/>
      <c r="G396" s="2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2:47" ht="15.75" customHeight="1" x14ac:dyDescent="0.2">
      <c r="B397" s="2"/>
      <c r="C397" s="28"/>
      <c r="D397" s="28"/>
      <c r="E397" s="28"/>
      <c r="F397" s="28"/>
      <c r="G397" s="2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2:47" ht="15.75" customHeight="1" x14ac:dyDescent="0.2">
      <c r="B398" s="2"/>
      <c r="C398" s="28"/>
      <c r="D398" s="28"/>
      <c r="E398" s="28"/>
      <c r="F398" s="28"/>
      <c r="G398" s="2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2:47" ht="15.75" customHeight="1" x14ac:dyDescent="0.2">
      <c r="B399" s="2"/>
      <c r="C399" s="28"/>
      <c r="D399" s="28"/>
      <c r="E399" s="28"/>
      <c r="F399" s="28"/>
      <c r="G399" s="2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2:47" ht="15.75" customHeight="1" x14ac:dyDescent="0.2">
      <c r="B400" s="2"/>
      <c r="C400" s="28"/>
      <c r="D400" s="28"/>
      <c r="E400" s="28"/>
      <c r="F400" s="28"/>
      <c r="G400" s="2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2:47" ht="15.75" customHeight="1" x14ac:dyDescent="0.2">
      <c r="B401" s="2"/>
      <c r="C401" s="28"/>
      <c r="D401" s="28"/>
      <c r="E401" s="28"/>
      <c r="F401" s="28"/>
      <c r="G401" s="2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2:47" ht="15.75" customHeight="1" x14ac:dyDescent="0.2">
      <c r="B402" s="2"/>
      <c r="C402" s="28"/>
      <c r="D402" s="28"/>
      <c r="E402" s="28"/>
      <c r="F402" s="28"/>
      <c r="G402" s="2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2:47" ht="15.75" customHeight="1" x14ac:dyDescent="0.2">
      <c r="B403" s="2"/>
      <c r="C403" s="28"/>
      <c r="D403" s="28"/>
      <c r="E403" s="28"/>
      <c r="F403" s="28"/>
      <c r="G403" s="2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2:47" ht="15.75" customHeight="1" x14ac:dyDescent="0.2">
      <c r="B404" s="2"/>
      <c r="C404" s="28"/>
      <c r="D404" s="28"/>
      <c r="E404" s="28"/>
      <c r="F404" s="28"/>
      <c r="G404" s="2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2:47" ht="15.75" customHeight="1" x14ac:dyDescent="0.2">
      <c r="B405" s="2"/>
      <c r="C405" s="28"/>
      <c r="D405" s="28"/>
      <c r="E405" s="28"/>
      <c r="F405" s="28"/>
      <c r="G405" s="2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2:47" ht="15.75" customHeight="1" x14ac:dyDescent="0.2">
      <c r="B406" s="2"/>
      <c r="C406" s="28"/>
      <c r="D406" s="28"/>
      <c r="E406" s="28"/>
      <c r="F406" s="28"/>
      <c r="G406" s="2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2:47" ht="15.75" customHeight="1" x14ac:dyDescent="0.2">
      <c r="B407" s="2"/>
      <c r="C407" s="28"/>
      <c r="D407" s="28"/>
      <c r="E407" s="28"/>
      <c r="F407" s="28"/>
      <c r="G407" s="2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2:47" ht="15.75" customHeight="1" x14ac:dyDescent="0.2">
      <c r="B408" s="2"/>
      <c r="C408" s="28"/>
      <c r="D408" s="28"/>
      <c r="E408" s="28"/>
      <c r="F408" s="28"/>
      <c r="G408" s="2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2:47" ht="15.75" customHeight="1" x14ac:dyDescent="0.2">
      <c r="B409" s="2"/>
      <c r="C409" s="28"/>
      <c r="D409" s="28"/>
      <c r="E409" s="28"/>
      <c r="F409" s="28"/>
      <c r="G409" s="2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2:47" ht="15.75" customHeight="1" x14ac:dyDescent="0.2">
      <c r="B410" s="2"/>
      <c r="C410" s="28"/>
      <c r="D410" s="28"/>
      <c r="E410" s="28"/>
      <c r="F410" s="28"/>
      <c r="G410" s="2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2:47" ht="15.75" customHeight="1" x14ac:dyDescent="0.2">
      <c r="B411" s="2"/>
      <c r="C411" s="28"/>
      <c r="D411" s="28"/>
      <c r="E411" s="28"/>
      <c r="F411" s="28"/>
      <c r="G411" s="2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2:47" ht="15.75" customHeight="1" x14ac:dyDescent="0.2">
      <c r="B412" s="2"/>
      <c r="C412" s="28"/>
      <c r="D412" s="28"/>
      <c r="E412" s="28"/>
      <c r="F412" s="28"/>
      <c r="G412" s="2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2:47" ht="15.75" customHeight="1" x14ac:dyDescent="0.2">
      <c r="B413" s="2"/>
      <c r="C413" s="28"/>
      <c r="D413" s="28"/>
      <c r="E413" s="28"/>
      <c r="F413" s="28"/>
      <c r="G413" s="2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2:47" ht="15.75" customHeight="1" x14ac:dyDescent="0.2">
      <c r="B414" s="2"/>
      <c r="C414" s="28"/>
      <c r="D414" s="28"/>
      <c r="E414" s="28"/>
      <c r="F414" s="28"/>
      <c r="G414" s="2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2:47" ht="15.75" customHeight="1" x14ac:dyDescent="0.2">
      <c r="B415" s="2"/>
      <c r="C415" s="28"/>
      <c r="D415" s="28"/>
      <c r="E415" s="28"/>
      <c r="F415" s="28"/>
      <c r="G415" s="2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2:47" ht="15.75" customHeight="1" x14ac:dyDescent="0.2">
      <c r="B416" s="2"/>
      <c r="C416" s="28"/>
      <c r="D416" s="28"/>
      <c r="E416" s="28"/>
      <c r="F416" s="28"/>
      <c r="G416" s="2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2:47" ht="15.75" customHeight="1" x14ac:dyDescent="0.2">
      <c r="B417" s="2"/>
      <c r="C417" s="28"/>
      <c r="D417" s="28"/>
      <c r="E417" s="28"/>
      <c r="F417" s="28"/>
      <c r="G417" s="2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2:47" ht="15.75" customHeight="1" x14ac:dyDescent="0.2">
      <c r="B418" s="2"/>
      <c r="C418" s="28"/>
      <c r="D418" s="28"/>
      <c r="E418" s="28"/>
      <c r="F418" s="28"/>
      <c r="G418" s="2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2:47" ht="15.75" customHeight="1" x14ac:dyDescent="0.2">
      <c r="B419" s="2"/>
      <c r="C419" s="28"/>
      <c r="D419" s="28"/>
      <c r="E419" s="28"/>
      <c r="F419" s="28"/>
      <c r="G419" s="2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2:47" ht="15.75" customHeight="1" x14ac:dyDescent="0.2">
      <c r="B420" s="2"/>
      <c r="C420" s="28"/>
      <c r="D420" s="28"/>
      <c r="E420" s="28"/>
      <c r="F420" s="28"/>
      <c r="G420" s="2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2:47" ht="15.75" customHeight="1" x14ac:dyDescent="0.2">
      <c r="B421" s="2"/>
      <c r="C421" s="28"/>
      <c r="D421" s="28"/>
      <c r="E421" s="28"/>
      <c r="F421" s="28"/>
      <c r="G421" s="2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2:47" ht="15.75" customHeight="1" x14ac:dyDescent="0.2">
      <c r="B422" s="2"/>
      <c r="C422" s="28"/>
      <c r="D422" s="28"/>
      <c r="E422" s="28"/>
      <c r="F422" s="28"/>
      <c r="G422" s="2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2:47" ht="15.75" customHeight="1" x14ac:dyDescent="0.2">
      <c r="B423" s="2"/>
      <c r="C423" s="28"/>
      <c r="D423" s="28"/>
      <c r="E423" s="28"/>
      <c r="F423" s="28"/>
      <c r="G423" s="2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2:47" ht="15.75" customHeight="1" x14ac:dyDescent="0.2">
      <c r="B424" s="2"/>
      <c r="C424" s="28"/>
      <c r="D424" s="28"/>
      <c r="E424" s="28"/>
      <c r="F424" s="28"/>
      <c r="G424" s="2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2:47" ht="15.75" customHeight="1" x14ac:dyDescent="0.2">
      <c r="B425" s="2"/>
      <c r="C425" s="28"/>
      <c r="D425" s="28"/>
      <c r="E425" s="28"/>
      <c r="F425" s="28"/>
      <c r="G425" s="2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2:47" ht="15.75" customHeight="1" x14ac:dyDescent="0.2">
      <c r="B426" s="2"/>
      <c r="C426" s="28"/>
      <c r="D426" s="28"/>
      <c r="E426" s="28"/>
      <c r="F426" s="28"/>
      <c r="G426" s="2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2:47" ht="15.75" customHeight="1" x14ac:dyDescent="0.2">
      <c r="B427" s="2"/>
      <c r="C427" s="28"/>
      <c r="D427" s="28"/>
      <c r="E427" s="28"/>
      <c r="F427" s="28"/>
      <c r="G427" s="2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2:47" ht="15.75" customHeight="1" x14ac:dyDescent="0.2">
      <c r="B428" s="2"/>
      <c r="C428" s="28"/>
      <c r="D428" s="28"/>
      <c r="E428" s="28"/>
      <c r="F428" s="28"/>
      <c r="G428" s="2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2:47" ht="15.75" customHeight="1" x14ac:dyDescent="0.2">
      <c r="B429" s="2"/>
      <c r="C429" s="28"/>
      <c r="D429" s="28"/>
      <c r="E429" s="28"/>
      <c r="F429" s="28"/>
      <c r="G429" s="2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2:47" ht="15.75" customHeight="1" x14ac:dyDescent="0.2">
      <c r="B430" s="2"/>
      <c r="C430" s="28"/>
      <c r="D430" s="28"/>
      <c r="E430" s="28"/>
      <c r="F430" s="28"/>
      <c r="G430" s="2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2:47" ht="15.75" customHeight="1" x14ac:dyDescent="0.2">
      <c r="B431" s="2"/>
      <c r="C431" s="28"/>
      <c r="D431" s="28"/>
      <c r="E431" s="28"/>
      <c r="F431" s="28"/>
      <c r="G431" s="2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2:47" ht="15.75" customHeight="1" x14ac:dyDescent="0.2">
      <c r="B432" s="2"/>
      <c r="C432" s="28"/>
      <c r="D432" s="28"/>
      <c r="E432" s="28"/>
      <c r="F432" s="28"/>
      <c r="G432" s="2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2:47" ht="15.75" customHeight="1" x14ac:dyDescent="0.2">
      <c r="B433" s="2"/>
      <c r="C433" s="28"/>
      <c r="D433" s="28"/>
      <c r="E433" s="28"/>
      <c r="F433" s="28"/>
      <c r="G433" s="2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2:47" ht="15.75" customHeight="1" x14ac:dyDescent="0.2">
      <c r="B434" s="2"/>
      <c r="C434" s="28"/>
      <c r="D434" s="28"/>
      <c r="E434" s="28"/>
      <c r="F434" s="28"/>
      <c r="G434" s="2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2:47" ht="15.75" customHeight="1" x14ac:dyDescent="0.2">
      <c r="B435" s="2"/>
      <c r="C435" s="28"/>
      <c r="D435" s="28"/>
      <c r="E435" s="28"/>
      <c r="F435" s="28"/>
      <c r="G435" s="2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2:47" ht="15.75" customHeight="1" x14ac:dyDescent="0.2">
      <c r="B436" s="2"/>
      <c r="C436" s="28"/>
      <c r="D436" s="28"/>
      <c r="E436" s="28"/>
      <c r="F436" s="28"/>
      <c r="G436" s="2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2:47" ht="15.75" customHeight="1" x14ac:dyDescent="0.2">
      <c r="B437" s="2"/>
      <c r="C437" s="28"/>
      <c r="D437" s="28"/>
      <c r="E437" s="28"/>
      <c r="F437" s="28"/>
      <c r="G437" s="2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2:47" ht="15.75" customHeight="1" x14ac:dyDescent="0.2">
      <c r="B438" s="2"/>
      <c r="C438" s="28"/>
      <c r="D438" s="28"/>
      <c r="E438" s="28"/>
      <c r="F438" s="28"/>
      <c r="G438" s="2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2:47" ht="15.75" customHeight="1" x14ac:dyDescent="0.2">
      <c r="B439" s="2"/>
      <c r="C439" s="28"/>
      <c r="D439" s="28"/>
      <c r="E439" s="28"/>
      <c r="F439" s="28"/>
      <c r="G439" s="2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2:47" ht="15.75" customHeight="1" x14ac:dyDescent="0.2">
      <c r="B440" s="2"/>
      <c r="C440" s="28"/>
      <c r="D440" s="28"/>
      <c r="E440" s="28"/>
      <c r="F440" s="28"/>
      <c r="G440" s="2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2:47" ht="15.75" customHeight="1" x14ac:dyDescent="0.2">
      <c r="B441" s="2"/>
      <c r="C441" s="28"/>
      <c r="D441" s="28"/>
      <c r="E441" s="28"/>
      <c r="F441" s="28"/>
      <c r="G441" s="2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2:47" ht="15.75" customHeight="1" x14ac:dyDescent="0.2">
      <c r="B442" s="2"/>
      <c r="C442" s="28"/>
      <c r="D442" s="28"/>
      <c r="E442" s="28"/>
      <c r="F442" s="28"/>
      <c r="G442" s="2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2:47" ht="15.75" customHeight="1" x14ac:dyDescent="0.2">
      <c r="B443" s="2"/>
      <c r="C443" s="28"/>
      <c r="D443" s="28"/>
      <c r="E443" s="28"/>
      <c r="F443" s="28"/>
      <c r="G443" s="2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2:47" ht="15.75" customHeight="1" x14ac:dyDescent="0.2">
      <c r="B444" s="2"/>
      <c r="C444" s="28"/>
      <c r="D444" s="28"/>
      <c r="E444" s="28"/>
      <c r="F444" s="28"/>
      <c r="G444" s="2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2:47" ht="15.75" customHeight="1" x14ac:dyDescent="0.2">
      <c r="B445" s="2"/>
      <c r="C445" s="28"/>
      <c r="D445" s="28"/>
      <c r="E445" s="28"/>
      <c r="F445" s="28"/>
      <c r="G445" s="2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2:47" ht="15.75" customHeight="1" x14ac:dyDescent="0.2">
      <c r="B446" s="2"/>
      <c r="C446" s="28"/>
      <c r="D446" s="28"/>
      <c r="E446" s="28"/>
      <c r="F446" s="28"/>
      <c r="G446" s="2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2:47" ht="15.75" customHeight="1" x14ac:dyDescent="0.2">
      <c r="B447" s="2"/>
      <c r="C447" s="28"/>
      <c r="D447" s="28"/>
      <c r="E447" s="28"/>
      <c r="F447" s="28"/>
      <c r="G447" s="2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2:47" ht="15.75" customHeight="1" x14ac:dyDescent="0.2">
      <c r="B448" s="2"/>
      <c r="C448" s="28"/>
      <c r="D448" s="28"/>
      <c r="E448" s="28"/>
      <c r="F448" s="28"/>
      <c r="G448" s="2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2:47" ht="15.75" customHeight="1" x14ac:dyDescent="0.2">
      <c r="B449" s="2"/>
      <c r="C449" s="28"/>
      <c r="D449" s="28"/>
      <c r="E449" s="28"/>
      <c r="F449" s="28"/>
      <c r="G449" s="2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2:47" ht="15.75" customHeight="1" x14ac:dyDescent="0.2">
      <c r="B450" s="2"/>
      <c r="C450" s="28"/>
      <c r="D450" s="28"/>
      <c r="E450" s="28"/>
      <c r="F450" s="28"/>
      <c r="G450" s="2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2:47" ht="15.75" customHeight="1" x14ac:dyDescent="0.2">
      <c r="B451" s="2"/>
      <c r="C451" s="28"/>
      <c r="D451" s="28"/>
      <c r="E451" s="28"/>
      <c r="F451" s="28"/>
      <c r="G451" s="2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2:47" ht="15.75" customHeight="1" x14ac:dyDescent="0.2">
      <c r="B452" s="2"/>
      <c r="C452" s="28"/>
      <c r="D452" s="28"/>
      <c r="E452" s="28"/>
      <c r="F452" s="28"/>
      <c r="G452" s="2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2:47" ht="15.75" customHeight="1" x14ac:dyDescent="0.2">
      <c r="B453" s="2"/>
      <c r="C453" s="28"/>
      <c r="D453" s="28"/>
      <c r="E453" s="28"/>
      <c r="F453" s="28"/>
      <c r="G453" s="2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2:47" ht="15.75" customHeight="1" x14ac:dyDescent="0.2">
      <c r="B454" s="2"/>
      <c r="C454" s="28"/>
      <c r="D454" s="28"/>
      <c r="E454" s="28"/>
      <c r="F454" s="28"/>
      <c r="G454" s="2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2:47" ht="15.75" customHeight="1" x14ac:dyDescent="0.2">
      <c r="B455" s="2"/>
      <c r="C455" s="28"/>
      <c r="D455" s="28"/>
      <c r="E455" s="28"/>
      <c r="F455" s="28"/>
      <c r="G455" s="2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2:47" ht="15.75" customHeight="1" x14ac:dyDescent="0.2">
      <c r="B456" s="2"/>
      <c r="C456" s="28"/>
      <c r="D456" s="28"/>
      <c r="E456" s="28"/>
      <c r="F456" s="28"/>
      <c r="G456" s="2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2:47" ht="15.75" customHeight="1" x14ac:dyDescent="0.2">
      <c r="B457" s="2"/>
      <c r="C457" s="28"/>
      <c r="D457" s="28"/>
      <c r="E457" s="28"/>
      <c r="F457" s="28"/>
      <c r="G457" s="2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2:47" ht="15.75" customHeight="1" x14ac:dyDescent="0.2">
      <c r="B458" s="2"/>
      <c r="C458" s="28"/>
      <c r="D458" s="28"/>
      <c r="E458" s="28"/>
      <c r="F458" s="28"/>
      <c r="G458" s="2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2:47" ht="15.75" customHeight="1" x14ac:dyDescent="0.2">
      <c r="B459" s="2"/>
      <c r="C459" s="28"/>
      <c r="D459" s="28"/>
      <c r="E459" s="28"/>
      <c r="F459" s="28"/>
      <c r="G459" s="2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2:47" ht="15.75" customHeight="1" x14ac:dyDescent="0.2">
      <c r="B460" s="2"/>
      <c r="C460" s="28"/>
      <c r="D460" s="28"/>
      <c r="E460" s="28"/>
      <c r="F460" s="28"/>
      <c r="G460" s="2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2:47" ht="15.75" customHeight="1" x14ac:dyDescent="0.2">
      <c r="B461" s="2"/>
      <c r="C461" s="28"/>
      <c r="D461" s="28"/>
      <c r="E461" s="28"/>
      <c r="F461" s="28"/>
      <c r="G461" s="2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2:47" ht="15.75" customHeight="1" x14ac:dyDescent="0.2">
      <c r="B462" s="2"/>
      <c r="C462" s="28"/>
      <c r="D462" s="28"/>
      <c r="E462" s="28"/>
      <c r="F462" s="28"/>
      <c r="G462" s="2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2:47" ht="15.75" customHeight="1" x14ac:dyDescent="0.2">
      <c r="B463" s="2"/>
      <c r="C463" s="28"/>
      <c r="D463" s="28"/>
      <c r="E463" s="28"/>
      <c r="F463" s="28"/>
      <c r="G463" s="2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2:47" ht="15.75" customHeight="1" x14ac:dyDescent="0.2">
      <c r="B464" s="2"/>
      <c r="C464" s="28"/>
      <c r="D464" s="28"/>
      <c r="E464" s="28"/>
      <c r="F464" s="28"/>
      <c r="G464" s="2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2:47" ht="15.75" customHeight="1" x14ac:dyDescent="0.2">
      <c r="B465" s="2"/>
      <c r="C465" s="28"/>
      <c r="D465" s="28"/>
      <c r="E465" s="28"/>
      <c r="F465" s="28"/>
      <c r="G465" s="2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2:47" ht="15.75" customHeight="1" x14ac:dyDescent="0.2">
      <c r="B466" s="2"/>
      <c r="C466" s="28"/>
      <c r="D466" s="28"/>
      <c r="E466" s="28"/>
      <c r="F466" s="28"/>
      <c r="G466" s="2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2:47" ht="15.75" customHeight="1" x14ac:dyDescent="0.2">
      <c r="B467" s="2"/>
      <c r="C467" s="28"/>
      <c r="D467" s="28"/>
      <c r="E467" s="28"/>
      <c r="F467" s="28"/>
      <c r="G467" s="2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2:47" ht="15.75" customHeight="1" x14ac:dyDescent="0.2">
      <c r="B468" s="2"/>
      <c r="C468" s="28"/>
      <c r="D468" s="28"/>
      <c r="E468" s="28"/>
      <c r="F468" s="28"/>
      <c r="G468" s="2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2:47" ht="15.75" customHeight="1" x14ac:dyDescent="0.2">
      <c r="B469" s="2"/>
      <c r="C469" s="28"/>
      <c r="D469" s="28"/>
      <c r="E469" s="28"/>
      <c r="F469" s="28"/>
      <c r="G469" s="2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2:47" ht="15.75" customHeight="1" x14ac:dyDescent="0.2">
      <c r="B470" s="2"/>
      <c r="C470" s="28"/>
      <c r="D470" s="28"/>
      <c r="E470" s="28"/>
      <c r="F470" s="28"/>
      <c r="G470" s="2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2:47" ht="15.75" customHeight="1" x14ac:dyDescent="0.2">
      <c r="B471" s="2"/>
      <c r="C471" s="28"/>
      <c r="D471" s="28"/>
      <c r="E471" s="28"/>
      <c r="F471" s="28"/>
      <c r="G471" s="2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2:47" ht="15.75" customHeight="1" x14ac:dyDescent="0.2">
      <c r="B472" s="2"/>
      <c r="C472" s="28"/>
      <c r="D472" s="28"/>
      <c r="E472" s="28"/>
      <c r="F472" s="28"/>
      <c r="G472" s="2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2:47" ht="15.75" customHeight="1" x14ac:dyDescent="0.2">
      <c r="B473" s="2"/>
      <c r="C473" s="28"/>
      <c r="D473" s="28"/>
      <c r="E473" s="28"/>
      <c r="F473" s="28"/>
      <c r="G473" s="2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2:47" ht="15.75" customHeight="1" x14ac:dyDescent="0.2">
      <c r="B474" s="2"/>
      <c r="C474" s="28"/>
      <c r="D474" s="28"/>
      <c r="E474" s="28"/>
      <c r="F474" s="28"/>
      <c r="G474" s="2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2:47" ht="15.75" customHeight="1" x14ac:dyDescent="0.2">
      <c r="B475" s="2"/>
      <c r="C475" s="28"/>
      <c r="D475" s="28"/>
      <c r="E475" s="28"/>
      <c r="F475" s="28"/>
      <c r="G475" s="2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2:47" ht="15.75" customHeight="1" x14ac:dyDescent="0.2">
      <c r="B476" s="2"/>
      <c r="C476" s="28"/>
      <c r="D476" s="28"/>
      <c r="E476" s="28"/>
      <c r="F476" s="28"/>
      <c r="G476" s="2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2:47" ht="15.75" customHeight="1" x14ac:dyDescent="0.2">
      <c r="B477" s="2"/>
      <c r="C477" s="28"/>
      <c r="D477" s="28"/>
      <c r="E477" s="28"/>
      <c r="F477" s="28"/>
      <c r="G477" s="2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2:47" ht="15.75" customHeight="1" x14ac:dyDescent="0.2">
      <c r="B478" s="2"/>
      <c r="C478" s="28"/>
      <c r="D478" s="28"/>
      <c r="E478" s="28"/>
      <c r="F478" s="28"/>
      <c r="G478" s="2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2:47" ht="15.75" customHeight="1" x14ac:dyDescent="0.2">
      <c r="B479" s="2"/>
      <c r="C479" s="28"/>
      <c r="D479" s="28"/>
      <c r="E479" s="28"/>
      <c r="F479" s="28"/>
      <c r="G479" s="2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2:47" ht="15.75" customHeight="1" x14ac:dyDescent="0.2">
      <c r="B480" s="2"/>
      <c r="C480" s="28"/>
      <c r="D480" s="28"/>
      <c r="E480" s="28"/>
      <c r="F480" s="28"/>
      <c r="G480" s="2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2:47" ht="15.75" customHeight="1" x14ac:dyDescent="0.2">
      <c r="B481" s="2"/>
      <c r="C481" s="28"/>
      <c r="D481" s="28"/>
      <c r="E481" s="28"/>
      <c r="F481" s="28"/>
      <c r="G481" s="2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2:47" ht="15.75" customHeight="1" x14ac:dyDescent="0.2">
      <c r="B482" s="2"/>
      <c r="C482" s="28"/>
      <c r="D482" s="28"/>
      <c r="E482" s="28"/>
      <c r="F482" s="28"/>
      <c r="G482" s="2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2:47" ht="15.75" customHeight="1" x14ac:dyDescent="0.2">
      <c r="B483" s="2"/>
      <c r="C483" s="28"/>
      <c r="D483" s="28"/>
      <c r="E483" s="28"/>
      <c r="F483" s="28"/>
      <c r="G483" s="2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2:47" ht="15.75" customHeight="1" x14ac:dyDescent="0.2">
      <c r="B484" s="2"/>
      <c r="C484" s="28"/>
      <c r="D484" s="28"/>
      <c r="E484" s="28"/>
      <c r="F484" s="28"/>
      <c r="G484" s="2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2:47" ht="15.75" customHeight="1" x14ac:dyDescent="0.2">
      <c r="B485" s="2"/>
      <c r="C485" s="28"/>
      <c r="D485" s="28"/>
      <c r="E485" s="28"/>
      <c r="F485" s="28"/>
      <c r="G485" s="2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2:47" ht="15.75" customHeight="1" x14ac:dyDescent="0.2">
      <c r="B486" s="2"/>
      <c r="C486" s="28"/>
      <c r="D486" s="28"/>
      <c r="E486" s="28"/>
      <c r="F486" s="28"/>
      <c r="G486" s="2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2:47" ht="15.75" customHeight="1" x14ac:dyDescent="0.2">
      <c r="B487" s="2"/>
      <c r="C487" s="28"/>
      <c r="D487" s="28"/>
      <c r="E487" s="28"/>
      <c r="F487" s="28"/>
      <c r="G487" s="2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2:47" ht="15.75" customHeight="1" x14ac:dyDescent="0.2">
      <c r="B488" s="2"/>
      <c r="C488" s="28"/>
      <c r="D488" s="28"/>
      <c r="E488" s="28"/>
      <c r="F488" s="28"/>
      <c r="G488" s="2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2:47" ht="15.75" customHeight="1" x14ac:dyDescent="0.2">
      <c r="B489" s="2"/>
      <c r="C489" s="28"/>
      <c r="D489" s="28"/>
      <c r="E489" s="28"/>
      <c r="F489" s="28"/>
      <c r="G489" s="2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2:47" ht="15.75" customHeight="1" x14ac:dyDescent="0.2">
      <c r="B490" s="2"/>
      <c r="C490" s="28"/>
      <c r="D490" s="28"/>
      <c r="E490" s="28"/>
      <c r="F490" s="28"/>
      <c r="G490" s="2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2:47" ht="15.75" customHeight="1" x14ac:dyDescent="0.2">
      <c r="B491" s="2"/>
      <c r="C491" s="28"/>
      <c r="D491" s="28"/>
      <c r="E491" s="28"/>
      <c r="F491" s="28"/>
      <c r="G491" s="2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2:47" ht="15.75" customHeight="1" x14ac:dyDescent="0.2">
      <c r="B492" s="2"/>
      <c r="C492" s="28"/>
      <c r="D492" s="28"/>
      <c r="E492" s="28"/>
      <c r="F492" s="28"/>
      <c r="G492" s="2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2:47" ht="15.75" customHeight="1" x14ac:dyDescent="0.2">
      <c r="B493" s="2"/>
      <c r="C493" s="28"/>
      <c r="D493" s="28"/>
      <c r="E493" s="28"/>
      <c r="F493" s="28"/>
      <c r="G493" s="2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2:47" ht="15.75" customHeight="1" x14ac:dyDescent="0.2">
      <c r="B494" s="2"/>
      <c r="C494" s="28"/>
      <c r="D494" s="28"/>
      <c r="E494" s="28"/>
      <c r="F494" s="28"/>
      <c r="G494" s="2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2:47" ht="15.75" customHeight="1" x14ac:dyDescent="0.2">
      <c r="B495" s="2"/>
      <c r="C495" s="28"/>
      <c r="D495" s="28"/>
      <c r="E495" s="28"/>
      <c r="F495" s="28"/>
      <c r="G495" s="2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2:47" ht="15.75" customHeight="1" x14ac:dyDescent="0.2">
      <c r="B496" s="2"/>
      <c r="C496" s="28"/>
      <c r="D496" s="28"/>
      <c r="E496" s="28"/>
      <c r="F496" s="28"/>
      <c r="G496" s="2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2:47" ht="15.75" customHeight="1" x14ac:dyDescent="0.2">
      <c r="B497" s="2"/>
      <c r="C497" s="28"/>
      <c r="D497" s="28"/>
      <c r="E497" s="28"/>
      <c r="F497" s="28"/>
      <c r="G497" s="2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2:47" ht="15.75" customHeight="1" x14ac:dyDescent="0.2">
      <c r="B498" s="2"/>
      <c r="C498" s="28"/>
      <c r="D498" s="28"/>
      <c r="E498" s="28"/>
      <c r="F498" s="28"/>
      <c r="G498" s="2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2:47" ht="15.75" customHeight="1" x14ac:dyDescent="0.2">
      <c r="B499" s="2"/>
      <c r="C499" s="28"/>
      <c r="D499" s="28"/>
      <c r="E499" s="28"/>
      <c r="F499" s="28"/>
      <c r="G499" s="2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2:47" ht="15.75" customHeight="1" x14ac:dyDescent="0.2">
      <c r="B500" s="2"/>
      <c r="C500" s="28"/>
      <c r="D500" s="28"/>
      <c r="E500" s="28"/>
      <c r="F500" s="28"/>
      <c r="G500" s="2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2:47" ht="15.75" customHeight="1" x14ac:dyDescent="0.2">
      <c r="B501" s="2"/>
      <c r="C501" s="28"/>
      <c r="D501" s="28"/>
      <c r="E501" s="28"/>
      <c r="F501" s="28"/>
      <c r="G501" s="2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2:47" ht="15.75" customHeight="1" x14ac:dyDescent="0.2">
      <c r="B502" s="2"/>
      <c r="C502" s="28"/>
      <c r="D502" s="28"/>
      <c r="E502" s="28"/>
      <c r="F502" s="28"/>
      <c r="G502" s="2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2:47" ht="15.75" customHeight="1" x14ac:dyDescent="0.2">
      <c r="B503" s="2"/>
      <c r="C503" s="28"/>
      <c r="D503" s="28"/>
      <c r="E503" s="28"/>
      <c r="F503" s="28"/>
      <c r="G503" s="2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2:47" ht="15.75" customHeight="1" x14ac:dyDescent="0.2">
      <c r="B504" s="2"/>
      <c r="C504" s="28"/>
      <c r="D504" s="28"/>
      <c r="E504" s="28"/>
      <c r="F504" s="28"/>
      <c r="G504" s="2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2:47" ht="15.75" customHeight="1" x14ac:dyDescent="0.2">
      <c r="B505" s="2"/>
      <c r="C505" s="28"/>
      <c r="D505" s="28"/>
      <c r="E505" s="28"/>
      <c r="F505" s="28"/>
      <c r="G505" s="2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2:47" ht="15.75" customHeight="1" x14ac:dyDescent="0.2">
      <c r="B506" s="2"/>
      <c r="C506" s="28"/>
      <c r="D506" s="28"/>
      <c r="E506" s="28"/>
      <c r="F506" s="28"/>
      <c r="G506" s="2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2:47" ht="15.75" customHeight="1" x14ac:dyDescent="0.2">
      <c r="B507" s="2"/>
      <c r="C507" s="28"/>
      <c r="D507" s="28"/>
      <c r="E507" s="28"/>
      <c r="F507" s="28"/>
      <c r="G507" s="2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2:47" ht="15.75" customHeight="1" x14ac:dyDescent="0.2">
      <c r="B508" s="2"/>
      <c r="C508" s="28"/>
      <c r="D508" s="28"/>
      <c r="E508" s="28"/>
      <c r="F508" s="28"/>
      <c r="G508" s="2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2:47" ht="15.75" customHeight="1" x14ac:dyDescent="0.2">
      <c r="B509" s="2"/>
      <c r="C509" s="28"/>
      <c r="D509" s="28"/>
      <c r="E509" s="28"/>
      <c r="F509" s="28"/>
      <c r="G509" s="2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2:47" ht="15.75" customHeight="1" x14ac:dyDescent="0.2">
      <c r="B510" s="2"/>
      <c r="C510" s="28"/>
      <c r="D510" s="28"/>
      <c r="E510" s="28"/>
      <c r="F510" s="28"/>
      <c r="G510" s="2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2:47" ht="15.75" customHeight="1" x14ac:dyDescent="0.2">
      <c r="B511" s="2"/>
      <c r="C511" s="28"/>
      <c r="D511" s="28"/>
      <c r="E511" s="28"/>
      <c r="F511" s="28"/>
      <c r="G511" s="2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2:47" ht="15.75" customHeight="1" x14ac:dyDescent="0.2">
      <c r="B512" s="2"/>
      <c r="C512" s="28"/>
      <c r="D512" s="28"/>
      <c r="E512" s="28"/>
      <c r="F512" s="28"/>
      <c r="G512" s="2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2:47" ht="15.75" customHeight="1" x14ac:dyDescent="0.2">
      <c r="B513" s="2"/>
      <c r="C513" s="28"/>
      <c r="D513" s="28"/>
      <c r="E513" s="28"/>
      <c r="F513" s="28"/>
      <c r="G513" s="2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2:47" ht="15.75" customHeight="1" x14ac:dyDescent="0.2">
      <c r="B514" s="2"/>
      <c r="C514" s="28"/>
      <c r="D514" s="28"/>
      <c r="E514" s="28"/>
      <c r="F514" s="28"/>
      <c r="G514" s="2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2:47" ht="15.75" customHeight="1" x14ac:dyDescent="0.2">
      <c r="B515" s="2"/>
      <c r="C515" s="28"/>
      <c r="D515" s="28"/>
      <c r="E515" s="28"/>
      <c r="F515" s="28"/>
      <c r="G515" s="2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2:47" ht="15.75" customHeight="1" x14ac:dyDescent="0.2">
      <c r="B516" s="2"/>
      <c r="C516" s="28"/>
      <c r="D516" s="28"/>
      <c r="E516" s="28"/>
      <c r="F516" s="28"/>
      <c r="G516" s="2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2:47" ht="15.75" customHeight="1" x14ac:dyDescent="0.2">
      <c r="B517" s="2"/>
      <c r="C517" s="28"/>
      <c r="D517" s="28"/>
      <c r="E517" s="28"/>
      <c r="F517" s="28"/>
      <c r="G517" s="2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2:47" ht="15.75" customHeight="1" x14ac:dyDescent="0.2">
      <c r="B518" s="2"/>
      <c r="C518" s="28"/>
      <c r="D518" s="28"/>
      <c r="E518" s="28"/>
      <c r="F518" s="28"/>
      <c r="G518" s="2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2:47" ht="15.75" customHeight="1" x14ac:dyDescent="0.2">
      <c r="B519" s="2"/>
      <c r="C519" s="28"/>
      <c r="D519" s="28"/>
      <c r="E519" s="28"/>
      <c r="F519" s="28"/>
      <c r="G519" s="2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2:47" ht="15.75" customHeight="1" x14ac:dyDescent="0.2">
      <c r="B520" s="2"/>
      <c r="C520" s="28"/>
      <c r="D520" s="28"/>
      <c r="E520" s="28"/>
      <c r="F520" s="28"/>
      <c r="G520" s="2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2:47" ht="15.75" customHeight="1" x14ac:dyDescent="0.2">
      <c r="B521" s="2"/>
      <c r="C521" s="28"/>
      <c r="D521" s="28"/>
      <c r="E521" s="28"/>
      <c r="F521" s="28"/>
      <c r="G521" s="2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2:47" ht="15.75" customHeight="1" x14ac:dyDescent="0.2">
      <c r="B522" s="2"/>
      <c r="C522" s="28"/>
      <c r="D522" s="28"/>
      <c r="E522" s="28"/>
      <c r="F522" s="28"/>
      <c r="G522" s="2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2:47" ht="15.75" customHeight="1" x14ac:dyDescent="0.2">
      <c r="B523" s="2"/>
      <c r="C523" s="28"/>
      <c r="D523" s="28"/>
      <c r="E523" s="28"/>
      <c r="F523" s="28"/>
      <c r="G523" s="2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2:47" ht="15.75" customHeight="1" x14ac:dyDescent="0.2">
      <c r="B524" s="2"/>
      <c r="C524" s="28"/>
      <c r="D524" s="28"/>
      <c r="E524" s="28"/>
      <c r="F524" s="28"/>
      <c r="G524" s="2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2:47" ht="15.75" customHeight="1" x14ac:dyDescent="0.2">
      <c r="B525" s="2"/>
      <c r="C525" s="28"/>
      <c r="D525" s="28"/>
      <c r="E525" s="28"/>
      <c r="F525" s="28"/>
      <c r="G525" s="2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2:47" ht="15.75" customHeight="1" x14ac:dyDescent="0.2">
      <c r="B526" s="2"/>
      <c r="C526" s="28"/>
      <c r="D526" s="28"/>
      <c r="E526" s="28"/>
      <c r="F526" s="28"/>
      <c r="G526" s="2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2:47" ht="15.75" customHeight="1" x14ac:dyDescent="0.2">
      <c r="B527" s="2"/>
      <c r="C527" s="28"/>
      <c r="D527" s="28"/>
      <c r="E527" s="28"/>
      <c r="F527" s="28"/>
      <c r="G527" s="2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2:47" ht="15.75" customHeight="1" x14ac:dyDescent="0.2">
      <c r="B528" s="2"/>
      <c r="C528" s="28"/>
      <c r="D528" s="28"/>
      <c r="E528" s="28"/>
      <c r="F528" s="28"/>
      <c r="G528" s="2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2:47" ht="15.75" customHeight="1" x14ac:dyDescent="0.2">
      <c r="B529" s="2"/>
      <c r="C529" s="28"/>
      <c r="D529" s="28"/>
      <c r="E529" s="28"/>
      <c r="F529" s="28"/>
      <c r="G529" s="2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2:47" ht="15.75" customHeight="1" x14ac:dyDescent="0.2">
      <c r="B530" s="2"/>
      <c r="C530" s="28"/>
      <c r="D530" s="28"/>
      <c r="E530" s="28"/>
      <c r="F530" s="28"/>
      <c r="G530" s="2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2:47" ht="15.75" customHeight="1" x14ac:dyDescent="0.2">
      <c r="B531" s="2"/>
      <c r="C531" s="28"/>
      <c r="D531" s="28"/>
      <c r="E531" s="28"/>
      <c r="F531" s="28"/>
      <c r="G531" s="2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2:47" ht="15.75" customHeight="1" x14ac:dyDescent="0.2">
      <c r="B532" s="2"/>
      <c r="C532" s="28"/>
      <c r="D532" s="28"/>
      <c r="E532" s="28"/>
      <c r="F532" s="28"/>
      <c r="G532" s="2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2:47" ht="15.75" customHeight="1" x14ac:dyDescent="0.2">
      <c r="B533" s="2"/>
      <c r="C533" s="28"/>
      <c r="D533" s="28"/>
      <c r="E533" s="28"/>
      <c r="F533" s="28"/>
      <c r="G533" s="2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2:47" ht="15.75" customHeight="1" x14ac:dyDescent="0.2">
      <c r="B534" s="2"/>
      <c r="C534" s="28"/>
      <c r="D534" s="28"/>
      <c r="E534" s="28"/>
      <c r="F534" s="28"/>
      <c r="G534" s="2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2:47" ht="15.75" customHeight="1" x14ac:dyDescent="0.2">
      <c r="B535" s="2"/>
      <c r="C535" s="28"/>
      <c r="D535" s="28"/>
      <c r="E535" s="28"/>
      <c r="F535" s="28"/>
      <c r="G535" s="2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2:47" ht="15.75" customHeight="1" x14ac:dyDescent="0.2">
      <c r="B536" s="2"/>
      <c r="C536" s="28"/>
      <c r="D536" s="28"/>
      <c r="E536" s="28"/>
      <c r="F536" s="28"/>
      <c r="G536" s="2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2:47" ht="15.75" customHeight="1" x14ac:dyDescent="0.2">
      <c r="B537" s="2"/>
      <c r="C537" s="28"/>
      <c r="D537" s="28"/>
      <c r="E537" s="28"/>
      <c r="F537" s="28"/>
      <c r="G537" s="2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2:47" ht="15.75" customHeight="1" x14ac:dyDescent="0.2">
      <c r="B538" s="2"/>
      <c r="C538" s="28"/>
      <c r="D538" s="28"/>
      <c r="E538" s="28"/>
      <c r="F538" s="28"/>
      <c r="G538" s="2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2:47" ht="15.75" customHeight="1" x14ac:dyDescent="0.2">
      <c r="B539" s="2"/>
      <c r="C539" s="28"/>
      <c r="D539" s="28"/>
      <c r="E539" s="28"/>
      <c r="F539" s="28"/>
      <c r="G539" s="2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2:47" ht="15.75" customHeight="1" x14ac:dyDescent="0.2">
      <c r="B540" s="2"/>
      <c r="C540" s="28"/>
      <c r="D540" s="28"/>
      <c r="E540" s="28"/>
      <c r="F540" s="28"/>
      <c r="G540" s="2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2:47" ht="15.75" customHeight="1" x14ac:dyDescent="0.2">
      <c r="B541" s="2"/>
      <c r="C541" s="28"/>
      <c r="D541" s="28"/>
      <c r="E541" s="28"/>
      <c r="F541" s="28"/>
      <c r="G541" s="2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2:47" ht="15.75" customHeight="1" x14ac:dyDescent="0.2">
      <c r="B542" s="2"/>
      <c r="C542" s="28"/>
      <c r="D542" s="28"/>
      <c r="E542" s="28"/>
      <c r="F542" s="28"/>
      <c r="G542" s="2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2:47" ht="15.75" customHeight="1" x14ac:dyDescent="0.2">
      <c r="B543" s="2"/>
      <c r="C543" s="28"/>
      <c r="D543" s="28"/>
      <c r="E543" s="28"/>
      <c r="F543" s="28"/>
      <c r="G543" s="2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2:47" ht="15.75" customHeight="1" x14ac:dyDescent="0.2">
      <c r="B544" s="2"/>
      <c r="C544" s="28"/>
      <c r="D544" s="28"/>
      <c r="E544" s="28"/>
      <c r="F544" s="28"/>
      <c r="G544" s="2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2:47" ht="15.75" customHeight="1" x14ac:dyDescent="0.2">
      <c r="B545" s="2"/>
      <c r="C545" s="28"/>
      <c r="D545" s="28"/>
      <c r="E545" s="28"/>
      <c r="F545" s="28"/>
      <c r="G545" s="2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2:47" ht="15.75" customHeight="1" x14ac:dyDescent="0.2">
      <c r="B546" s="2"/>
      <c r="C546" s="28"/>
      <c r="D546" s="28"/>
      <c r="E546" s="28"/>
      <c r="F546" s="28"/>
      <c r="G546" s="2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2:47" ht="15.75" customHeight="1" x14ac:dyDescent="0.2">
      <c r="B547" s="2"/>
      <c r="C547" s="28"/>
      <c r="D547" s="28"/>
      <c r="E547" s="28"/>
      <c r="F547" s="28"/>
      <c r="G547" s="2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2:47" ht="15.75" customHeight="1" x14ac:dyDescent="0.2">
      <c r="B548" s="2"/>
      <c r="C548" s="28"/>
      <c r="D548" s="28"/>
      <c r="E548" s="28"/>
      <c r="F548" s="28"/>
      <c r="G548" s="2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2:47" ht="15.75" customHeight="1" x14ac:dyDescent="0.2">
      <c r="B549" s="2"/>
      <c r="C549" s="28"/>
      <c r="D549" s="28"/>
      <c r="E549" s="28"/>
      <c r="F549" s="28"/>
      <c r="G549" s="2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2:47" ht="15.75" customHeight="1" x14ac:dyDescent="0.2">
      <c r="B550" s="2"/>
      <c r="C550" s="28"/>
      <c r="D550" s="28"/>
      <c r="E550" s="28"/>
      <c r="F550" s="28"/>
      <c r="G550" s="2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2:47" ht="15.75" customHeight="1" x14ac:dyDescent="0.2">
      <c r="B551" s="2"/>
      <c r="C551" s="28"/>
      <c r="D551" s="28"/>
      <c r="E551" s="28"/>
      <c r="F551" s="28"/>
      <c r="G551" s="2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2:47" ht="15.75" customHeight="1" x14ac:dyDescent="0.2">
      <c r="B552" s="2"/>
      <c r="C552" s="28"/>
      <c r="D552" s="28"/>
      <c r="E552" s="28"/>
      <c r="F552" s="28"/>
      <c r="G552" s="2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2:47" ht="15.75" customHeight="1" x14ac:dyDescent="0.2">
      <c r="B553" s="2"/>
      <c r="C553" s="28"/>
      <c r="D553" s="28"/>
      <c r="E553" s="28"/>
      <c r="F553" s="28"/>
      <c r="G553" s="2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2:47" ht="15.75" customHeight="1" x14ac:dyDescent="0.2">
      <c r="B554" s="2"/>
      <c r="C554" s="28"/>
      <c r="D554" s="28"/>
      <c r="E554" s="28"/>
      <c r="F554" s="28"/>
      <c r="G554" s="2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2:47" ht="15.75" customHeight="1" x14ac:dyDescent="0.2">
      <c r="B555" s="2"/>
      <c r="C555" s="28"/>
      <c r="D555" s="28"/>
      <c r="E555" s="28"/>
      <c r="F555" s="28"/>
      <c r="G555" s="2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2:47" ht="15.75" customHeight="1" x14ac:dyDescent="0.2">
      <c r="B556" s="2"/>
      <c r="C556" s="28"/>
      <c r="D556" s="28"/>
      <c r="E556" s="28"/>
      <c r="F556" s="28"/>
      <c r="G556" s="2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2:47" ht="15.75" customHeight="1" x14ac:dyDescent="0.2">
      <c r="B557" s="2"/>
      <c r="C557" s="28"/>
      <c r="D557" s="28"/>
      <c r="E557" s="28"/>
      <c r="F557" s="28"/>
      <c r="G557" s="2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2:47" ht="15.75" customHeight="1" x14ac:dyDescent="0.2">
      <c r="B558" s="2"/>
      <c r="C558" s="28"/>
      <c r="D558" s="28"/>
      <c r="E558" s="28"/>
      <c r="F558" s="28"/>
      <c r="G558" s="2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2:47" ht="15.75" customHeight="1" x14ac:dyDescent="0.2">
      <c r="B559" s="2"/>
      <c r="C559" s="28"/>
      <c r="D559" s="28"/>
      <c r="E559" s="28"/>
      <c r="F559" s="28"/>
      <c r="G559" s="2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2:47" ht="15.75" customHeight="1" x14ac:dyDescent="0.2">
      <c r="B560" s="2"/>
      <c r="C560" s="28"/>
      <c r="D560" s="28"/>
      <c r="E560" s="28"/>
      <c r="F560" s="28"/>
      <c r="G560" s="2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2:47" ht="15.75" customHeight="1" x14ac:dyDescent="0.2">
      <c r="B561" s="2"/>
      <c r="C561" s="28"/>
      <c r="D561" s="28"/>
      <c r="E561" s="28"/>
      <c r="F561" s="28"/>
      <c r="G561" s="2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2:47" ht="15.75" customHeight="1" x14ac:dyDescent="0.2">
      <c r="B562" s="2"/>
      <c r="C562" s="28"/>
      <c r="D562" s="28"/>
      <c r="E562" s="28"/>
      <c r="F562" s="28"/>
      <c r="G562" s="2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2:47" ht="15.75" customHeight="1" x14ac:dyDescent="0.2">
      <c r="B563" s="2"/>
      <c r="C563" s="28"/>
      <c r="D563" s="28"/>
      <c r="E563" s="28"/>
      <c r="F563" s="28"/>
      <c r="G563" s="2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2:47" ht="15.75" customHeight="1" x14ac:dyDescent="0.2">
      <c r="B564" s="2"/>
      <c r="C564" s="28"/>
      <c r="D564" s="28"/>
      <c r="E564" s="28"/>
      <c r="F564" s="28"/>
      <c r="G564" s="2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2:47" ht="15.75" customHeight="1" x14ac:dyDescent="0.2">
      <c r="B565" s="2"/>
      <c r="C565" s="28"/>
      <c r="D565" s="28"/>
      <c r="E565" s="28"/>
      <c r="F565" s="28"/>
      <c r="G565" s="2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2:47" ht="15.75" customHeight="1" x14ac:dyDescent="0.2">
      <c r="B566" s="2"/>
      <c r="C566" s="28"/>
      <c r="D566" s="28"/>
      <c r="E566" s="28"/>
      <c r="F566" s="28"/>
      <c r="G566" s="2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2:47" ht="15.75" customHeight="1" x14ac:dyDescent="0.2">
      <c r="B567" s="2"/>
      <c r="C567" s="28"/>
      <c r="D567" s="28"/>
      <c r="E567" s="28"/>
      <c r="F567" s="28"/>
      <c r="G567" s="2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2:47" ht="15.75" customHeight="1" x14ac:dyDescent="0.2">
      <c r="B568" s="2"/>
      <c r="C568" s="28"/>
      <c r="D568" s="28"/>
      <c r="E568" s="28"/>
      <c r="F568" s="28"/>
      <c r="G568" s="2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2:47" ht="15.75" customHeight="1" x14ac:dyDescent="0.2">
      <c r="B569" s="2"/>
      <c r="C569" s="28"/>
      <c r="D569" s="28"/>
      <c r="E569" s="28"/>
      <c r="F569" s="28"/>
      <c r="G569" s="2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2:47" ht="15.75" customHeight="1" x14ac:dyDescent="0.2">
      <c r="B570" s="2"/>
      <c r="C570" s="28"/>
      <c r="D570" s="28"/>
      <c r="E570" s="28"/>
      <c r="F570" s="28"/>
      <c r="G570" s="2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2:47" ht="15.75" customHeight="1" x14ac:dyDescent="0.2">
      <c r="B571" s="2"/>
      <c r="C571" s="28"/>
      <c r="D571" s="28"/>
      <c r="E571" s="28"/>
      <c r="F571" s="28"/>
      <c r="G571" s="2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2:47" ht="15.75" customHeight="1" x14ac:dyDescent="0.2">
      <c r="B572" s="2"/>
      <c r="C572" s="28"/>
      <c r="D572" s="28"/>
      <c r="E572" s="28"/>
      <c r="F572" s="28"/>
      <c r="G572" s="2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2:47" ht="15.75" customHeight="1" x14ac:dyDescent="0.2">
      <c r="B573" s="2"/>
      <c r="C573" s="28"/>
      <c r="D573" s="28"/>
      <c r="E573" s="28"/>
      <c r="F573" s="28"/>
      <c r="G573" s="2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2:47" ht="15.75" customHeight="1" x14ac:dyDescent="0.2">
      <c r="B574" s="2"/>
      <c r="C574" s="28"/>
      <c r="D574" s="28"/>
      <c r="E574" s="28"/>
      <c r="F574" s="28"/>
      <c r="G574" s="2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2:47" ht="15.75" customHeight="1" x14ac:dyDescent="0.2">
      <c r="B575" s="2"/>
      <c r="C575" s="28"/>
      <c r="D575" s="28"/>
      <c r="E575" s="28"/>
      <c r="F575" s="28"/>
      <c r="G575" s="2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2:47" ht="15.75" customHeight="1" x14ac:dyDescent="0.2">
      <c r="B576" s="2"/>
      <c r="C576" s="28"/>
      <c r="D576" s="28"/>
      <c r="E576" s="28"/>
      <c r="F576" s="28"/>
      <c r="G576" s="2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2:47" ht="15.75" customHeight="1" x14ac:dyDescent="0.2">
      <c r="B577" s="2"/>
      <c r="C577" s="28"/>
      <c r="D577" s="28"/>
      <c r="E577" s="28"/>
      <c r="F577" s="28"/>
      <c r="G577" s="2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2:47" ht="15.75" customHeight="1" x14ac:dyDescent="0.2">
      <c r="B578" s="2"/>
      <c r="C578" s="28"/>
      <c r="D578" s="28"/>
      <c r="E578" s="28"/>
      <c r="F578" s="28"/>
      <c r="G578" s="2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2:47" ht="15.75" customHeight="1" x14ac:dyDescent="0.2">
      <c r="B579" s="2"/>
      <c r="C579" s="28"/>
      <c r="D579" s="28"/>
      <c r="E579" s="28"/>
      <c r="F579" s="28"/>
      <c r="G579" s="2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2:47" ht="15.75" customHeight="1" x14ac:dyDescent="0.2">
      <c r="B580" s="2"/>
      <c r="C580" s="28"/>
      <c r="D580" s="28"/>
      <c r="E580" s="28"/>
      <c r="F580" s="28"/>
      <c r="G580" s="2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2:47" ht="15.75" customHeight="1" x14ac:dyDescent="0.2">
      <c r="B581" s="2"/>
      <c r="C581" s="28"/>
      <c r="D581" s="28"/>
      <c r="E581" s="28"/>
      <c r="F581" s="28"/>
      <c r="G581" s="2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2:47" ht="15.75" customHeight="1" x14ac:dyDescent="0.2">
      <c r="B582" s="2"/>
      <c r="C582" s="28"/>
      <c r="D582" s="28"/>
      <c r="E582" s="28"/>
      <c r="F582" s="28"/>
      <c r="G582" s="2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2:47" ht="15.75" customHeight="1" x14ac:dyDescent="0.2">
      <c r="B583" s="2"/>
      <c r="C583" s="28"/>
      <c r="D583" s="28"/>
      <c r="E583" s="28"/>
      <c r="F583" s="28"/>
      <c r="G583" s="2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2:47" ht="15.75" customHeight="1" x14ac:dyDescent="0.2">
      <c r="B584" s="2"/>
      <c r="C584" s="28"/>
      <c r="D584" s="28"/>
      <c r="E584" s="28"/>
      <c r="F584" s="28"/>
      <c r="G584" s="2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2:47" ht="15.75" customHeight="1" x14ac:dyDescent="0.2">
      <c r="B585" s="2"/>
      <c r="C585" s="28"/>
      <c r="D585" s="28"/>
      <c r="E585" s="28"/>
      <c r="F585" s="28"/>
      <c r="G585" s="2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2:47" ht="15.75" customHeight="1" x14ac:dyDescent="0.2">
      <c r="B586" s="2"/>
      <c r="C586" s="28"/>
      <c r="D586" s="28"/>
      <c r="E586" s="28"/>
      <c r="F586" s="28"/>
      <c r="G586" s="2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2:47" ht="15.75" customHeight="1" x14ac:dyDescent="0.2">
      <c r="B587" s="2"/>
      <c r="C587" s="28"/>
      <c r="D587" s="28"/>
      <c r="E587" s="28"/>
      <c r="F587" s="28"/>
      <c r="G587" s="2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2:47" ht="15.75" customHeight="1" x14ac:dyDescent="0.2">
      <c r="B588" s="2"/>
      <c r="C588" s="28"/>
      <c r="D588" s="28"/>
      <c r="E588" s="28"/>
      <c r="F588" s="28"/>
      <c r="G588" s="2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2:47" ht="15.75" customHeight="1" x14ac:dyDescent="0.2">
      <c r="B589" s="2"/>
      <c r="C589" s="28"/>
      <c r="D589" s="28"/>
      <c r="E589" s="28"/>
      <c r="F589" s="28"/>
      <c r="G589" s="2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2:47" ht="15.75" customHeight="1" x14ac:dyDescent="0.2">
      <c r="B590" s="2"/>
      <c r="C590" s="28"/>
      <c r="D590" s="28"/>
      <c r="E590" s="28"/>
      <c r="F590" s="28"/>
      <c r="G590" s="2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2:47" ht="15.75" customHeight="1" x14ac:dyDescent="0.2">
      <c r="B591" s="2"/>
      <c r="C591" s="28"/>
      <c r="D591" s="28"/>
      <c r="E591" s="28"/>
      <c r="F591" s="28"/>
      <c r="G591" s="2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2:47" ht="15.75" customHeight="1" x14ac:dyDescent="0.2">
      <c r="B592" s="2"/>
      <c r="C592" s="28"/>
      <c r="D592" s="28"/>
      <c r="E592" s="28"/>
      <c r="F592" s="28"/>
      <c r="G592" s="2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2:47" ht="15.75" customHeight="1" x14ac:dyDescent="0.2">
      <c r="B593" s="2"/>
      <c r="C593" s="28"/>
      <c r="D593" s="28"/>
      <c r="E593" s="28"/>
      <c r="F593" s="28"/>
      <c r="G593" s="2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2:47" ht="15.75" customHeight="1" x14ac:dyDescent="0.2">
      <c r="B594" s="2"/>
      <c r="C594" s="28"/>
      <c r="D594" s="28"/>
      <c r="E594" s="28"/>
      <c r="F594" s="28"/>
      <c r="G594" s="2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2:47" ht="15.75" customHeight="1" x14ac:dyDescent="0.2">
      <c r="B595" s="2"/>
      <c r="C595" s="28"/>
      <c r="D595" s="28"/>
      <c r="E595" s="28"/>
      <c r="F595" s="28"/>
      <c r="G595" s="2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2:47" ht="15.75" customHeight="1" x14ac:dyDescent="0.2">
      <c r="B596" s="2"/>
      <c r="C596" s="28"/>
      <c r="D596" s="28"/>
      <c r="E596" s="28"/>
      <c r="F596" s="28"/>
      <c r="G596" s="2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2:47" ht="15.75" customHeight="1" x14ac:dyDescent="0.2">
      <c r="B597" s="2"/>
      <c r="C597" s="28"/>
      <c r="D597" s="28"/>
      <c r="E597" s="28"/>
      <c r="F597" s="28"/>
      <c r="G597" s="2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2:47" ht="15.75" customHeight="1" x14ac:dyDescent="0.2">
      <c r="B598" s="2"/>
      <c r="C598" s="28"/>
      <c r="D598" s="28"/>
      <c r="E598" s="28"/>
      <c r="F598" s="28"/>
      <c r="G598" s="2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2:47" ht="15.75" customHeight="1" x14ac:dyDescent="0.2">
      <c r="B599" s="2"/>
      <c r="C599" s="28"/>
      <c r="D599" s="28"/>
      <c r="E599" s="28"/>
      <c r="F599" s="28"/>
      <c r="G599" s="2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2:47" ht="15.75" customHeight="1" x14ac:dyDescent="0.2">
      <c r="B600" s="2"/>
      <c r="C600" s="28"/>
      <c r="D600" s="28"/>
      <c r="E600" s="28"/>
      <c r="F600" s="28"/>
      <c r="G600" s="2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2:47" ht="15.75" customHeight="1" x14ac:dyDescent="0.2">
      <c r="B601" s="2"/>
      <c r="C601" s="28"/>
      <c r="D601" s="28"/>
      <c r="E601" s="28"/>
      <c r="F601" s="28"/>
      <c r="G601" s="2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2:47" ht="15.75" customHeight="1" x14ac:dyDescent="0.2">
      <c r="B602" s="2"/>
      <c r="C602" s="28"/>
      <c r="D602" s="28"/>
      <c r="E602" s="28"/>
      <c r="F602" s="28"/>
      <c r="G602" s="2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2:47" ht="15.75" customHeight="1" x14ac:dyDescent="0.2">
      <c r="B603" s="2"/>
      <c r="C603" s="28"/>
      <c r="D603" s="28"/>
      <c r="E603" s="28"/>
      <c r="F603" s="28"/>
      <c r="G603" s="2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2:47" ht="15.75" customHeight="1" x14ac:dyDescent="0.2">
      <c r="B604" s="2"/>
      <c r="C604" s="28"/>
      <c r="D604" s="28"/>
      <c r="E604" s="28"/>
      <c r="F604" s="28"/>
      <c r="G604" s="2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2:47" ht="15.75" customHeight="1" x14ac:dyDescent="0.2">
      <c r="B605" s="2"/>
      <c r="C605" s="28"/>
      <c r="D605" s="28"/>
      <c r="E605" s="28"/>
      <c r="F605" s="28"/>
      <c r="G605" s="2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2:47" ht="15.75" customHeight="1" x14ac:dyDescent="0.2">
      <c r="B606" s="2"/>
      <c r="C606" s="28"/>
      <c r="D606" s="28"/>
      <c r="E606" s="28"/>
      <c r="F606" s="28"/>
      <c r="G606" s="2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2:47" ht="15.75" customHeight="1" x14ac:dyDescent="0.2">
      <c r="B607" s="2"/>
      <c r="C607" s="28"/>
      <c r="D607" s="28"/>
      <c r="E607" s="28"/>
      <c r="F607" s="28"/>
      <c r="G607" s="2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2:47" ht="15.75" customHeight="1" x14ac:dyDescent="0.2">
      <c r="B608" s="2"/>
      <c r="C608" s="28"/>
      <c r="D608" s="28"/>
      <c r="E608" s="28"/>
      <c r="F608" s="28"/>
      <c r="G608" s="2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2:47" ht="15.75" customHeight="1" x14ac:dyDescent="0.2">
      <c r="B609" s="2"/>
      <c r="C609" s="28"/>
      <c r="D609" s="28"/>
      <c r="E609" s="28"/>
      <c r="F609" s="28"/>
      <c r="G609" s="2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2:47" ht="15.75" customHeight="1" x14ac:dyDescent="0.2">
      <c r="B610" s="2"/>
      <c r="C610" s="28"/>
      <c r="D610" s="28"/>
      <c r="E610" s="28"/>
      <c r="F610" s="28"/>
      <c r="G610" s="2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2:47" ht="15.75" customHeight="1" x14ac:dyDescent="0.2">
      <c r="B611" s="2"/>
      <c r="C611" s="28"/>
      <c r="D611" s="28"/>
      <c r="E611" s="28"/>
      <c r="F611" s="28"/>
      <c r="G611" s="2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2:47" ht="15.75" customHeight="1" x14ac:dyDescent="0.2">
      <c r="B612" s="2"/>
      <c r="C612" s="28"/>
      <c r="D612" s="28"/>
      <c r="E612" s="28"/>
      <c r="F612" s="28"/>
      <c r="G612" s="2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2:47" ht="15.75" customHeight="1" x14ac:dyDescent="0.2">
      <c r="B613" s="2"/>
      <c r="C613" s="28"/>
      <c r="D613" s="28"/>
      <c r="E613" s="28"/>
      <c r="F613" s="28"/>
      <c r="G613" s="2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2:47" ht="15.75" customHeight="1" x14ac:dyDescent="0.2">
      <c r="B614" s="2"/>
      <c r="C614" s="28"/>
      <c r="D614" s="28"/>
      <c r="E614" s="28"/>
      <c r="F614" s="28"/>
      <c r="G614" s="2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2:47" ht="15.75" customHeight="1" x14ac:dyDescent="0.2">
      <c r="B615" s="2"/>
      <c r="C615" s="28"/>
      <c r="D615" s="28"/>
      <c r="E615" s="28"/>
      <c r="F615" s="28"/>
      <c r="G615" s="2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2:47" ht="15.75" customHeight="1" x14ac:dyDescent="0.2">
      <c r="B616" s="2"/>
      <c r="C616" s="28"/>
      <c r="D616" s="28"/>
      <c r="E616" s="28"/>
      <c r="F616" s="28"/>
      <c r="G616" s="2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2:47" ht="15.75" customHeight="1" x14ac:dyDescent="0.2">
      <c r="B617" s="2"/>
      <c r="C617" s="28"/>
      <c r="D617" s="28"/>
      <c r="E617" s="28"/>
      <c r="F617" s="28"/>
      <c r="G617" s="2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2:47" ht="15.75" customHeight="1" x14ac:dyDescent="0.2">
      <c r="B618" s="2"/>
      <c r="C618" s="28"/>
      <c r="D618" s="28"/>
      <c r="E618" s="28"/>
      <c r="F618" s="28"/>
      <c r="G618" s="2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2:47" ht="15.75" customHeight="1" x14ac:dyDescent="0.2">
      <c r="B619" s="2"/>
      <c r="C619" s="28"/>
      <c r="D619" s="28"/>
      <c r="E619" s="28"/>
      <c r="F619" s="28"/>
      <c r="G619" s="2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2:47" ht="15.75" customHeight="1" x14ac:dyDescent="0.2">
      <c r="B620" s="2"/>
      <c r="C620" s="28"/>
      <c r="D620" s="28"/>
      <c r="E620" s="28"/>
      <c r="F620" s="28"/>
      <c r="G620" s="2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2:47" ht="15.75" customHeight="1" x14ac:dyDescent="0.2">
      <c r="B621" s="2"/>
      <c r="C621" s="28"/>
      <c r="D621" s="28"/>
      <c r="E621" s="28"/>
      <c r="F621" s="28"/>
      <c r="G621" s="2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2:47" ht="15.75" customHeight="1" x14ac:dyDescent="0.2">
      <c r="B622" s="2"/>
      <c r="C622" s="28"/>
      <c r="D622" s="28"/>
      <c r="E622" s="28"/>
      <c r="F622" s="28"/>
      <c r="G622" s="2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2:47" ht="15.75" customHeight="1" x14ac:dyDescent="0.2">
      <c r="B623" s="2"/>
      <c r="C623" s="28"/>
      <c r="D623" s="28"/>
      <c r="E623" s="28"/>
      <c r="F623" s="28"/>
      <c r="G623" s="2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2:47" ht="15.75" customHeight="1" x14ac:dyDescent="0.2">
      <c r="B624" s="2"/>
      <c r="C624" s="28"/>
      <c r="D624" s="28"/>
      <c r="E624" s="28"/>
      <c r="F624" s="28"/>
      <c r="G624" s="2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2:47" ht="15.75" customHeight="1" x14ac:dyDescent="0.2">
      <c r="B625" s="2"/>
      <c r="C625" s="28"/>
      <c r="D625" s="28"/>
      <c r="E625" s="28"/>
      <c r="F625" s="28"/>
      <c r="G625" s="2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2:47" ht="15.75" customHeight="1" x14ac:dyDescent="0.2">
      <c r="B626" s="2"/>
      <c r="C626" s="28"/>
      <c r="D626" s="28"/>
      <c r="E626" s="28"/>
      <c r="F626" s="28"/>
      <c r="G626" s="2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2:47" ht="15.75" customHeight="1" x14ac:dyDescent="0.2">
      <c r="B627" s="2"/>
      <c r="C627" s="28"/>
      <c r="D627" s="28"/>
      <c r="E627" s="28"/>
      <c r="F627" s="28"/>
      <c r="G627" s="2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2:47" ht="15.75" customHeight="1" x14ac:dyDescent="0.2">
      <c r="B628" s="2"/>
      <c r="C628" s="28"/>
      <c r="D628" s="28"/>
      <c r="E628" s="28"/>
      <c r="F628" s="28"/>
      <c r="G628" s="2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2:47" ht="15.75" customHeight="1" x14ac:dyDescent="0.2">
      <c r="B629" s="2"/>
      <c r="C629" s="28"/>
      <c r="D629" s="28"/>
      <c r="E629" s="28"/>
      <c r="F629" s="28"/>
      <c r="G629" s="2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2:47" ht="15.75" customHeight="1" x14ac:dyDescent="0.2">
      <c r="B630" s="2"/>
      <c r="C630" s="28"/>
      <c r="D630" s="28"/>
      <c r="E630" s="28"/>
      <c r="F630" s="28"/>
      <c r="G630" s="2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2:47" ht="15.75" customHeight="1" x14ac:dyDescent="0.2">
      <c r="B631" s="2"/>
      <c r="C631" s="28"/>
      <c r="D631" s="28"/>
      <c r="E631" s="28"/>
      <c r="F631" s="28"/>
      <c r="G631" s="2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2:47" ht="15.75" customHeight="1" x14ac:dyDescent="0.2">
      <c r="B632" s="2"/>
      <c r="C632" s="28"/>
      <c r="D632" s="28"/>
      <c r="E632" s="28"/>
      <c r="F632" s="28"/>
      <c r="G632" s="2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2:47" ht="15.75" customHeight="1" x14ac:dyDescent="0.2">
      <c r="B633" s="2"/>
      <c r="C633" s="28"/>
      <c r="D633" s="28"/>
      <c r="E633" s="28"/>
      <c r="F633" s="28"/>
      <c r="G633" s="2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2:47" ht="15.75" customHeight="1" x14ac:dyDescent="0.2">
      <c r="B634" s="2"/>
      <c r="C634" s="28"/>
      <c r="D634" s="28"/>
      <c r="E634" s="28"/>
      <c r="F634" s="28"/>
      <c r="G634" s="2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2:47" ht="15.75" customHeight="1" x14ac:dyDescent="0.2">
      <c r="B635" s="2"/>
      <c r="C635" s="28"/>
      <c r="D635" s="28"/>
      <c r="E635" s="28"/>
      <c r="F635" s="28"/>
      <c r="G635" s="2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2:47" ht="15.75" customHeight="1" x14ac:dyDescent="0.2">
      <c r="B636" s="2"/>
      <c r="C636" s="28"/>
      <c r="D636" s="28"/>
      <c r="E636" s="28"/>
      <c r="F636" s="28"/>
      <c r="G636" s="2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2:47" ht="15.75" customHeight="1" x14ac:dyDescent="0.2"/>
    <row r="638" spans="2:47" ht="15.75" customHeight="1" x14ac:dyDescent="0.2"/>
    <row r="639" spans="2:47" ht="15.75" customHeight="1" x14ac:dyDescent="0.2"/>
    <row r="640" spans="2:47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</sheetData>
  <mergeCells count="2">
    <mergeCell ref="A3:F3"/>
    <mergeCell ref="A4:F4"/>
  </mergeCells>
  <phoneticPr fontId="13" type="noConversion"/>
  <pageMargins left="0.46" right="0.15748031496062992" top="0.15748031496062992" bottom="0.15748031496062992" header="0.15748031496062992" footer="0.15748031496062992"/>
  <pageSetup paperSize="9" scale="73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5"/>
  <sheetViews>
    <sheetView zoomScale="90" zoomScaleNormal="90" workbookViewId="0">
      <selection activeCell="A6" sqref="A6"/>
    </sheetView>
  </sheetViews>
  <sheetFormatPr defaultRowHeight="15" x14ac:dyDescent="0.25"/>
  <cols>
    <col min="1" max="1" width="6.140625" style="388" customWidth="1"/>
    <col min="2" max="2" width="61.7109375" style="362" customWidth="1"/>
    <col min="3" max="3" width="12.7109375" style="362" customWidth="1"/>
    <col min="4" max="4" width="13.28515625" style="362" customWidth="1"/>
    <col min="5" max="5" width="12.5703125" style="362" customWidth="1"/>
    <col min="6" max="6" width="6.28515625" style="388" customWidth="1"/>
    <col min="7" max="7" width="49.140625" style="362" customWidth="1"/>
    <col min="8" max="8" width="13.42578125" style="362" customWidth="1"/>
    <col min="9" max="9" width="13.140625" style="362" customWidth="1"/>
    <col min="10" max="10" width="13" style="362" customWidth="1"/>
    <col min="11" max="16384" width="9.140625" style="362"/>
  </cols>
  <sheetData>
    <row r="1" spans="1:10" x14ac:dyDescent="0.25">
      <c r="A1" s="360"/>
      <c r="B1" s="361"/>
      <c r="C1" s="361"/>
      <c r="D1" s="361"/>
      <c r="E1" s="361"/>
      <c r="F1" s="360"/>
      <c r="G1" s="361"/>
      <c r="H1" s="361"/>
      <c r="I1" s="361"/>
      <c r="J1" s="86" t="s">
        <v>535</v>
      </c>
    </row>
    <row r="2" spans="1:10" x14ac:dyDescent="0.25">
      <c r="A2" s="360"/>
      <c r="B2" s="361"/>
      <c r="C2" s="361"/>
      <c r="D2" s="361"/>
      <c r="E2" s="361"/>
      <c r="F2" s="360"/>
      <c r="G2" s="361"/>
      <c r="H2" s="361"/>
      <c r="I2" s="361"/>
      <c r="J2" s="363" t="str">
        <f>'1.Bev-kiad.'!H2</f>
        <v>az 1/2026.(II.26.) önkormányzati rendelethez</v>
      </c>
    </row>
    <row r="3" spans="1:10" x14ac:dyDescent="0.25">
      <c r="A3" s="360"/>
      <c r="B3" s="361"/>
      <c r="C3" s="361"/>
      <c r="D3" s="361"/>
      <c r="E3" s="361"/>
      <c r="F3" s="360"/>
      <c r="G3" s="361"/>
      <c r="H3" s="361"/>
      <c r="I3" s="361"/>
    </row>
    <row r="4" spans="1:10" ht="35.25" customHeight="1" x14ac:dyDescent="0.25">
      <c r="A4" s="360"/>
      <c r="B4" s="591" t="s">
        <v>659</v>
      </c>
      <c r="C4" s="592"/>
      <c r="D4" s="592"/>
      <c r="E4" s="592"/>
      <c r="F4" s="592"/>
      <c r="G4" s="592"/>
      <c r="H4" s="592"/>
      <c r="I4" s="592"/>
      <c r="J4" s="363"/>
    </row>
    <row r="5" spans="1:10" x14ac:dyDescent="0.25">
      <c r="A5" s="360"/>
      <c r="B5" s="364"/>
      <c r="C5" s="364"/>
      <c r="D5" s="363"/>
      <c r="E5" s="363"/>
      <c r="F5" s="365"/>
      <c r="G5" s="366"/>
      <c r="H5" s="366"/>
      <c r="I5" s="366"/>
      <c r="J5" s="363" t="s">
        <v>0</v>
      </c>
    </row>
    <row r="6" spans="1:10" ht="38.25" x14ac:dyDescent="0.25">
      <c r="A6" s="367"/>
      <c r="B6" s="368" t="s">
        <v>536</v>
      </c>
      <c r="C6" s="368" t="s">
        <v>610</v>
      </c>
      <c r="D6" s="368" t="s">
        <v>620</v>
      </c>
      <c r="E6" s="368" t="s">
        <v>621</v>
      </c>
      <c r="F6" s="367"/>
      <c r="G6" s="368" t="s">
        <v>537</v>
      </c>
      <c r="H6" s="368" t="str">
        <f>C6</f>
        <v>2025. évi eredeti előirányzat</v>
      </c>
      <c r="I6" s="368" t="str">
        <f>D6</f>
        <v>2024. évi várható teljesítés</v>
      </c>
      <c r="J6" s="368" t="str">
        <f>E6</f>
        <v>2023. évi
 teljesítés</v>
      </c>
    </row>
    <row r="7" spans="1:10" x14ac:dyDescent="0.25">
      <c r="A7" s="369"/>
      <c r="B7" s="370" t="s">
        <v>538</v>
      </c>
      <c r="C7" s="371">
        <f>SUM(C8+C14)</f>
        <v>74690</v>
      </c>
      <c r="D7" s="371">
        <f>SUM(D8+D14)</f>
        <v>74690</v>
      </c>
      <c r="E7" s="371">
        <f>SUM(E8+E14)</f>
        <v>77609</v>
      </c>
      <c r="F7" s="369"/>
      <c r="G7" s="370" t="s">
        <v>539</v>
      </c>
      <c r="H7" s="371">
        <f>SUM(H8+H14)</f>
        <v>108932</v>
      </c>
      <c r="I7" s="371">
        <f>SUM(I8+I14)</f>
        <v>101304</v>
      </c>
      <c r="J7" s="371">
        <f>SUM(J8+J14)</f>
        <v>605501</v>
      </c>
    </row>
    <row r="8" spans="1:10" x14ac:dyDescent="0.25">
      <c r="A8" s="369"/>
      <c r="B8" s="372" t="s">
        <v>540</v>
      </c>
      <c r="C8" s="373">
        <f>SUM(C9:C12)</f>
        <v>68702</v>
      </c>
      <c r="D8" s="373">
        <f>SUM(D9:D12)</f>
        <v>68702</v>
      </c>
      <c r="E8" s="373">
        <f>SUM(E9:E12)</f>
        <v>77609</v>
      </c>
      <c r="F8" s="369"/>
      <c r="G8" s="372" t="s">
        <v>541</v>
      </c>
      <c r="H8" s="373">
        <f>SUM(H9:H13)</f>
        <v>90042</v>
      </c>
      <c r="I8" s="373">
        <f>SUM(I9:I13)</f>
        <v>82414</v>
      </c>
      <c r="J8" s="373">
        <f>SUM(J9:J13)</f>
        <v>102528</v>
      </c>
    </row>
    <row r="9" spans="1:10" x14ac:dyDescent="0.25">
      <c r="A9" s="369" t="s">
        <v>102</v>
      </c>
      <c r="B9" s="374" t="s">
        <v>542</v>
      </c>
      <c r="C9" s="375">
        <f>'1.Bev-kiad.'!C10</f>
        <v>29737</v>
      </c>
      <c r="D9" s="375">
        <v>29737</v>
      </c>
      <c r="E9" s="375">
        <v>32910</v>
      </c>
      <c r="F9" s="376" t="s">
        <v>197</v>
      </c>
      <c r="G9" s="374" t="s">
        <v>543</v>
      </c>
      <c r="H9" s="375">
        <f>'2.működés'!D103</f>
        <v>36308</v>
      </c>
      <c r="I9" s="375">
        <v>32617</v>
      </c>
      <c r="J9" s="375">
        <v>34843</v>
      </c>
    </row>
    <row r="10" spans="1:10" ht="25.5" x14ac:dyDescent="0.25">
      <c r="A10" s="369" t="s">
        <v>122</v>
      </c>
      <c r="B10" s="374" t="s">
        <v>544</v>
      </c>
      <c r="C10" s="375">
        <f>'1.Bev-kiad.'!C23</f>
        <v>30431</v>
      </c>
      <c r="D10" s="375">
        <v>30431</v>
      </c>
      <c r="E10" s="375">
        <v>37325</v>
      </c>
      <c r="F10" s="376" t="s">
        <v>198</v>
      </c>
      <c r="G10" s="377" t="s">
        <v>545</v>
      </c>
      <c r="H10" s="375">
        <f>'2.működés'!D104</f>
        <v>4536</v>
      </c>
      <c r="I10" s="378">
        <v>3709</v>
      </c>
      <c r="J10" s="378">
        <v>4170</v>
      </c>
    </row>
    <row r="11" spans="1:10" x14ac:dyDescent="0.25">
      <c r="A11" s="369" t="s">
        <v>133</v>
      </c>
      <c r="B11" s="374" t="s">
        <v>546</v>
      </c>
      <c r="C11" s="375">
        <f>'1.Bev-kiad.'!C30</f>
        <v>8534</v>
      </c>
      <c r="D11" s="375">
        <v>8534</v>
      </c>
      <c r="E11" s="375">
        <v>7210</v>
      </c>
      <c r="F11" s="376" t="s">
        <v>199</v>
      </c>
      <c r="G11" s="377" t="s">
        <v>547</v>
      </c>
      <c r="H11" s="375">
        <f>'2.működés'!D105</f>
        <v>37734</v>
      </c>
      <c r="I11" s="378">
        <v>32535</v>
      </c>
      <c r="J11" s="378">
        <v>51524</v>
      </c>
    </row>
    <row r="12" spans="1:10" x14ac:dyDescent="0.25">
      <c r="A12" s="369" t="s">
        <v>171</v>
      </c>
      <c r="B12" s="374" t="s">
        <v>548</v>
      </c>
      <c r="C12" s="375">
        <f>'1.Bev-kiad.'!C47</f>
        <v>0</v>
      </c>
      <c r="D12" s="375">
        <v>0</v>
      </c>
      <c r="E12" s="375">
        <v>164</v>
      </c>
      <c r="F12" s="376" t="s">
        <v>200</v>
      </c>
      <c r="G12" s="377" t="s">
        <v>549</v>
      </c>
      <c r="H12" s="375">
        <f>'2.működés'!D106</f>
        <v>1500</v>
      </c>
      <c r="I12" s="378">
        <v>3589</v>
      </c>
      <c r="J12" s="378">
        <v>3528</v>
      </c>
    </row>
    <row r="13" spans="1:10" x14ac:dyDescent="0.25">
      <c r="A13" s="369"/>
      <c r="B13" s="374"/>
      <c r="C13" s="379"/>
      <c r="D13" s="379"/>
      <c r="E13" s="379"/>
      <c r="F13" s="376" t="s">
        <v>201</v>
      </c>
      <c r="G13" s="377" t="s">
        <v>550</v>
      </c>
      <c r="H13" s="378">
        <f>'2.működés'!C107</f>
        <v>9964</v>
      </c>
      <c r="I13" s="378">
        <v>9964</v>
      </c>
      <c r="J13" s="378">
        <v>8463</v>
      </c>
    </row>
    <row r="14" spans="1:10" x14ac:dyDescent="0.25">
      <c r="A14" s="369"/>
      <c r="B14" s="372" t="s">
        <v>551</v>
      </c>
      <c r="C14" s="373">
        <f>SUM(C15:C17)</f>
        <v>5988</v>
      </c>
      <c r="D14" s="373">
        <f>SUM(D15:D17)</f>
        <v>5988</v>
      </c>
      <c r="E14" s="373">
        <f>SUM(E15:E17)</f>
        <v>0</v>
      </c>
      <c r="F14" s="376"/>
      <c r="G14" s="372" t="s">
        <v>552</v>
      </c>
      <c r="H14" s="373">
        <f>SUM(H15:H17)</f>
        <v>18890</v>
      </c>
      <c r="I14" s="373">
        <f>SUM(I15:I17)</f>
        <v>18890</v>
      </c>
      <c r="J14" s="373">
        <f>SUM(J15:J17)</f>
        <v>502973</v>
      </c>
    </row>
    <row r="15" spans="1:10" x14ac:dyDescent="0.25">
      <c r="A15" s="369" t="s">
        <v>113</v>
      </c>
      <c r="B15" s="374" t="s">
        <v>553</v>
      </c>
      <c r="C15" s="375">
        <f>'1.Bev-kiad.'!C17</f>
        <v>5988</v>
      </c>
      <c r="D15" s="375">
        <v>5988</v>
      </c>
      <c r="E15" s="375">
        <v>0</v>
      </c>
      <c r="F15" s="376" t="s">
        <v>233</v>
      </c>
      <c r="G15" s="374" t="s">
        <v>48</v>
      </c>
      <c r="H15" s="375">
        <f>'1.Bev-kiad.'!C74</f>
        <v>9224</v>
      </c>
      <c r="I15" s="375">
        <v>9224</v>
      </c>
      <c r="J15" s="375">
        <v>494636</v>
      </c>
    </row>
    <row r="16" spans="1:10" x14ac:dyDescent="0.25">
      <c r="A16" s="369" t="s">
        <v>160</v>
      </c>
      <c r="B16" s="374" t="s">
        <v>554</v>
      </c>
      <c r="C16" s="375">
        <f>'1.Bev-kiad.'!C41</f>
        <v>0</v>
      </c>
      <c r="D16" s="375">
        <v>0</v>
      </c>
      <c r="E16" s="375">
        <v>0</v>
      </c>
      <c r="F16" s="376" t="s">
        <v>449</v>
      </c>
      <c r="G16" s="374" t="s">
        <v>49</v>
      </c>
      <c r="H16" s="375">
        <f>'1.Bev-kiad.'!C75</f>
        <v>1839</v>
      </c>
      <c r="I16" s="375">
        <v>1839</v>
      </c>
      <c r="J16" s="375">
        <v>4887</v>
      </c>
    </row>
    <row r="17" spans="1:10" x14ac:dyDescent="0.25">
      <c r="A17" s="369" t="s">
        <v>172</v>
      </c>
      <c r="B17" s="374" t="s">
        <v>555</v>
      </c>
      <c r="C17" s="375">
        <f>'1.Bev-kiad.'!C51</f>
        <v>0</v>
      </c>
      <c r="D17" s="375">
        <v>0</v>
      </c>
      <c r="E17" s="375">
        <v>0</v>
      </c>
      <c r="F17" s="376" t="s">
        <v>556</v>
      </c>
      <c r="G17" s="374" t="s">
        <v>557</v>
      </c>
      <c r="H17" s="375">
        <f>'1.Bev-kiad.'!C76</f>
        <v>7827</v>
      </c>
      <c r="I17" s="375">
        <v>7827</v>
      </c>
      <c r="J17" s="375">
        <v>3450</v>
      </c>
    </row>
    <row r="18" spans="1:10" x14ac:dyDescent="0.25">
      <c r="A18" s="369" t="s">
        <v>332</v>
      </c>
      <c r="B18" s="380" t="s">
        <v>558</v>
      </c>
      <c r="C18" s="373">
        <f>SUM(C24+C19)</f>
        <v>38695</v>
      </c>
      <c r="D18" s="373">
        <f>SUM(D24+D19)</f>
        <v>39646</v>
      </c>
      <c r="E18" s="373">
        <f>SUM(E24+E19)</f>
        <v>567691</v>
      </c>
      <c r="F18" s="376" t="s">
        <v>187</v>
      </c>
      <c r="G18" s="380" t="s">
        <v>559</v>
      </c>
      <c r="H18" s="373">
        <f>SUM(H19)</f>
        <v>1037</v>
      </c>
      <c r="I18" s="373">
        <f>SUM(I19)</f>
        <v>1037</v>
      </c>
      <c r="J18" s="373">
        <f>SUM(J19)</f>
        <v>1104</v>
      </c>
    </row>
    <row r="19" spans="1:10" x14ac:dyDescent="0.25">
      <c r="A19" s="369"/>
      <c r="B19" s="372" t="s">
        <v>560</v>
      </c>
      <c r="C19" s="373">
        <f>SUM(C20)</f>
        <v>38695</v>
      </c>
      <c r="D19" s="373">
        <f>SUM(D20+D23)</f>
        <v>39646</v>
      </c>
      <c r="E19" s="373">
        <f>SUM(E20)+E23</f>
        <v>567691</v>
      </c>
      <c r="F19" s="376"/>
      <c r="G19" s="372" t="s">
        <v>561</v>
      </c>
      <c r="H19" s="373">
        <f>SUM(H20:H21)</f>
        <v>1037</v>
      </c>
      <c r="I19" s="373">
        <f>SUM(I20:I21)</f>
        <v>1037</v>
      </c>
      <c r="J19" s="373">
        <f>SUM(J20:J21)</f>
        <v>1104</v>
      </c>
    </row>
    <row r="20" spans="1:10" x14ac:dyDescent="0.25">
      <c r="A20" s="369"/>
      <c r="B20" s="374" t="s">
        <v>562</v>
      </c>
      <c r="C20" s="375">
        <f>SUM(C21:C22)</f>
        <v>38695</v>
      </c>
      <c r="D20" s="375">
        <f>SUM(D21:D22)</f>
        <v>38695</v>
      </c>
      <c r="E20" s="375">
        <f>SUM(E21:E22)</f>
        <v>566673</v>
      </c>
      <c r="F20" s="376" t="s">
        <v>363</v>
      </c>
      <c r="G20" s="381" t="s">
        <v>563</v>
      </c>
      <c r="H20" s="382">
        <f>'1.Bev-kiad.'!C81</f>
        <v>1037</v>
      </c>
      <c r="I20" s="382">
        <v>1037</v>
      </c>
      <c r="J20" s="382">
        <v>1104</v>
      </c>
    </row>
    <row r="21" spans="1:10" x14ac:dyDescent="0.25">
      <c r="A21" s="369"/>
      <c r="B21" s="383" t="s">
        <v>564</v>
      </c>
      <c r="C21" s="375">
        <f>'1.Bev-kiad.'!C58</f>
        <v>25171</v>
      </c>
      <c r="D21" s="375">
        <v>25171</v>
      </c>
      <c r="E21" s="375">
        <v>23302</v>
      </c>
      <c r="F21" s="376"/>
      <c r="G21" s="384"/>
      <c r="H21" s="375"/>
      <c r="I21" s="375"/>
      <c r="J21" s="375"/>
    </row>
    <row r="22" spans="1:10" x14ac:dyDescent="0.25">
      <c r="A22" s="369"/>
      <c r="B22" s="383" t="s">
        <v>565</v>
      </c>
      <c r="C22" s="375">
        <f>'1.Bev-kiad.'!C59</f>
        <v>13524</v>
      </c>
      <c r="D22" s="375">
        <v>13524</v>
      </c>
      <c r="E22" s="375">
        <v>543371</v>
      </c>
      <c r="F22" s="376"/>
      <c r="G22" s="372" t="s">
        <v>566</v>
      </c>
      <c r="H22" s="385">
        <v>0</v>
      </c>
      <c r="I22" s="373">
        <v>0</v>
      </c>
      <c r="J22" s="373">
        <v>0</v>
      </c>
    </row>
    <row r="23" spans="1:10" x14ac:dyDescent="0.25">
      <c r="A23" s="369"/>
      <c r="B23" s="379" t="s">
        <v>567</v>
      </c>
      <c r="C23" s="386" t="s">
        <v>50</v>
      </c>
      <c r="D23" s="387">
        <v>951</v>
      </c>
      <c r="E23" s="375">
        <v>1018</v>
      </c>
      <c r="F23" s="376"/>
      <c r="G23" s="372"/>
      <c r="H23" s="385"/>
      <c r="I23" s="373"/>
      <c r="J23" s="373"/>
    </row>
    <row r="24" spans="1:10" x14ac:dyDescent="0.25">
      <c r="A24" s="369"/>
      <c r="B24" s="372" t="s">
        <v>568</v>
      </c>
      <c r="C24" s="373">
        <v>0</v>
      </c>
      <c r="D24" s="373">
        <v>0</v>
      </c>
      <c r="E24" s="373">
        <v>0</v>
      </c>
      <c r="F24" s="376"/>
      <c r="G24" s="372"/>
      <c r="H24" s="385"/>
      <c r="I24" s="373"/>
      <c r="J24" s="373"/>
    </row>
    <row r="25" spans="1:10" x14ac:dyDescent="0.25">
      <c r="A25" s="369"/>
      <c r="B25" s="370" t="s">
        <v>569</v>
      </c>
      <c r="C25" s="371">
        <f>SUM(C7+C18)</f>
        <v>113385</v>
      </c>
      <c r="D25" s="371">
        <f>SUM(D7+D18)</f>
        <v>114336</v>
      </c>
      <c r="E25" s="371">
        <f>SUM(E7+E18)</f>
        <v>645300</v>
      </c>
      <c r="F25" s="369"/>
      <c r="G25" s="370" t="s">
        <v>570</v>
      </c>
      <c r="H25" s="371">
        <f>SUM(H7+H18)</f>
        <v>109969</v>
      </c>
      <c r="I25" s="371">
        <f>SUM(I7+I18)</f>
        <v>102341</v>
      </c>
      <c r="J25" s="371">
        <f>SUM(J7+J18)</f>
        <v>606605</v>
      </c>
    </row>
  </sheetData>
  <mergeCells count="1">
    <mergeCell ref="B4:I4"/>
  </mergeCell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EB67-D651-455C-AF05-79A451345262}">
  <dimension ref="A1:E22"/>
  <sheetViews>
    <sheetView workbookViewId="0">
      <selection activeCell="E11" sqref="E11"/>
    </sheetView>
  </sheetViews>
  <sheetFormatPr defaultRowHeight="15" x14ac:dyDescent="0.25"/>
  <cols>
    <col min="1" max="1" width="6.140625" style="388" customWidth="1"/>
    <col min="2" max="2" width="39" style="362" customWidth="1"/>
    <col min="3" max="3" width="12.7109375" style="362" customWidth="1"/>
    <col min="4" max="4" width="13.28515625" style="362" customWidth="1"/>
    <col min="5" max="5" width="13.85546875" style="362" customWidth="1"/>
    <col min="6" max="16384" width="9.140625" style="362"/>
  </cols>
  <sheetData>
    <row r="1" spans="1:5" x14ac:dyDescent="0.25">
      <c r="A1" s="360"/>
      <c r="B1" s="361"/>
      <c r="E1" s="86" t="s">
        <v>899</v>
      </c>
    </row>
    <row r="2" spans="1:5" x14ac:dyDescent="0.25">
      <c r="A2" s="360"/>
      <c r="B2" s="361"/>
      <c r="E2" s="363" t="str">
        <f>'1.Bev-kiad.'!H2</f>
        <v>az 1/2026.(II.26.) önkormányzati rendelethez</v>
      </c>
    </row>
    <row r="3" spans="1:5" x14ac:dyDescent="0.25">
      <c r="A3" s="360"/>
      <c r="B3" s="361"/>
      <c r="C3" s="361"/>
      <c r="E3" s="363" t="s">
        <v>703</v>
      </c>
    </row>
    <row r="4" spans="1:5" x14ac:dyDescent="0.25">
      <c r="A4" s="360"/>
      <c r="B4" s="361"/>
      <c r="C4" s="361"/>
      <c r="D4" s="363"/>
      <c r="E4" s="361"/>
    </row>
    <row r="5" spans="1:5" ht="33.75" customHeight="1" x14ac:dyDescent="0.25">
      <c r="A5" s="591" t="s">
        <v>608</v>
      </c>
      <c r="B5" s="591"/>
      <c r="C5" s="591"/>
      <c r="D5" s="591"/>
      <c r="E5" s="591"/>
    </row>
    <row r="6" spans="1:5" ht="15.75" x14ac:dyDescent="0.25">
      <c r="A6" s="360"/>
      <c r="B6" s="395"/>
      <c r="D6" s="396"/>
      <c r="E6" s="396"/>
    </row>
    <row r="7" spans="1:5" x14ac:dyDescent="0.25">
      <c r="A7" s="360"/>
      <c r="B7" s="364"/>
      <c r="E7" s="363" t="s">
        <v>0</v>
      </c>
    </row>
    <row r="8" spans="1:5" ht="38.25" x14ac:dyDescent="0.25">
      <c r="A8" s="367"/>
      <c r="B8" s="368" t="s">
        <v>658</v>
      </c>
      <c r="C8" s="368" t="s">
        <v>610</v>
      </c>
      <c r="D8" s="368" t="s">
        <v>912</v>
      </c>
      <c r="E8" s="368" t="str">
        <f>'1.Bev-kiad.'!H8</f>
        <v>Módosított előirányzat 2025.12.31.</v>
      </c>
    </row>
    <row r="9" spans="1:5" x14ac:dyDescent="0.25">
      <c r="A9" s="369"/>
      <c r="B9" s="370" t="s">
        <v>583</v>
      </c>
      <c r="C9" s="371">
        <f>SUM(C10+C16)+C11</f>
        <v>0</v>
      </c>
      <c r="D9" s="371">
        <f>SUM(D10+D16)+D11</f>
        <v>84</v>
      </c>
      <c r="E9" s="371">
        <f t="shared" ref="E9" si="0">SUM(E10+E16)</f>
        <v>6673</v>
      </c>
    </row>
    <row r="10" spans="1:5" x14ac:dyDescent="0.25">
      <c r="A10" s="397">
        <v>1</v>
      </c>
      <c r="B10" s="372" t="s">
        <v>584</v>
      </c>
      <c r="C10" s="375">
        <f>'2.működés'!D109</f>
        <v>0</v>
      </c>
      <c r="D10" s="375">
        <f>'2.működés'!F109</f>
        <v>84</v>
      </c>
      <c r="E10" s="375">
        <f>'2.működés'!H109</f>
        <v>6673</v>
      </c>
    </row>
    <row r="11" spans="1:5" x14ac:dyDescent="0.25">
      <c r="A11" s="397">
        <v>2</v>
      </c>
      <c r="B11" s="372" t="s">
        <v>586</v>
      </c>
      <c r="C11" s="375">
        <f>'3.felh'!D65</f>
        <v>0</v>
      </c>
      <c r="D11" s="375">
        <f>'3.felh'!F65</f>
        <v>0</v>
      </c>
      <c r="E11" s="375">
        <v>0</v>
      </c>
    </row>
    <row r="12" spans="1:5" hidden="1" x14ac:dyDescent="0.25">
      <c r="A12" s="397"/>
      <c r="B12" s="374"/>
      <c r="C12" s="375"/>
      <c r="D12" s="375"/>
      <c r="E12" s="375"/>
    </row>
    <row r="13" spans="1:5" hidden="1" x14ac:dyDescent="0.25">
      <c r="A13" s="397"/>
      <c r="B13" s="374"/>
      <c r="C13" s="375"/>
      <c r="D13" s="375"/>
      <c r="E13" s="375"/>
    </row>
    <row r="14" spans="1:5" hidden="1" x14ac:dyDescent="0.25">
      <c r="A14" s="397"/>
      <c r="B14" s="374"/>
      <c r="C14" s="375"/>
      <c r="D14" s="375"/>
      <c r="E14" s="375"/>
    </row>
    <row r="15" spans="1:5" hidden="1" x14ac:dyDescent="0.25">
      <c r="A15" s="397"/>
      <c r="B15" s="374"/>
      <c r="C15" s="379"/>
      <c r="D15" s="379"/>
      <c r="E15" s="379"/>
    </row>
    <row r="16" spans="1:5" x14ac:dyDescent="0.25">
      <c r="A16" s="397">
        <v>3</v>
      </c>
      <c r="B16" s="372" t="s">
        <v>585</v>
      </c>
      <c r="C16" s="375">
        <f>SUM(C17)</f>
        <v>0</v>
      </c>
      <c r="D16" s="375">
        <f>SUM(D17)</f>
        <v>0</v>
      </c>
      <c r="E16" s="373">
        <f t="shared" ref="E16" si="1">SUM(E17)</f>
        <v>0</v>
      </c>
    </row>
    <row r="17" spans="1:5" hidden="1" x14ac:dyDescent="0.25">
      <c r="A17" s="369"/>
      <c r="B17" s="398"/>
      <c r="C17" s="399"/>
      <c r="D17" s="399">
        <f t="shared" ref="D17:E17" si="2">D18</f>
        <v>0</v>
      </c>
      <c r="E17" s="399">
        <f t="shared" si="2"/>
        <v>0</v>
      </c>
    </row>
    <row r="18" spans="1:5" hidden="1" x14ac:dyDescent="0.25">
      <c r="A18" s="369"/>
      <c r="B18" s="374"/>
      <c r="C18" s="375"/>
      <c r="D18" s="375"/>
      <c r="E18" s="375"/>
    </row>
    <row r="19" spans="1:5" hidden="1" x14ac:dyDescent="0.25">
      <c r="A19" s="369"/>
      <c r="B19" s="374"/>
      <c r="C19" s="375"/>
      <c r="D19" s="375"/>
      <c r="E19" s="375"/>
    </row>
    <row r="20" spans="1:5" hidden="1" x14ac:dyDescent="0.25">
      <c r="A20" s="369"/>
      <c r="B20" s="374"/>
      <c r="C20" s="375"/>
      <c r="D20" s="375"/>
      <c r="E20" s="375"/>
    </row>
    <row r="21" spans="1:5" hidden="1" x14ac:dyDescent="0.25">
      <c r="A21" s="369"/>
      <c r="B21" s="374"/>
      <c r="C21" s="375"/>
      <c r="D21" s="375"/>
      <c r="E21" s="375"/>
    </row>
    <row r="22" spans="1:5" hidden="1" x14ac:dyDescent="0.25">
      <c r="A22" s="369"/>
      <c r="B22" s="374"/>
      <c r="C22" s="375"/>
      <c r="D22" s="375"/>
      <c r="E22" s="375"/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858"/>
  <sheetViews>
    <sheetView topLeftCell="B1" zoomScale="90" zoomScaleNormal="90" workbookViewId="0">
      <selection activeCell="C99" sqref="C99"/>
    </sheetView>
  </sheetViews>
  <sheetFormatPr defaultRowHeight="12.75" x14ac:dyDescent="0.2"/>
  <cols>
    <col min="1" max="1" width="0" hidden="1" customWidth="1"/>
    <col min="2" max="2" width="8" style="2" customWidth="1"/>
    <col min="3" max="3" width="80.85546875" customWidth="1"/>
    <col min="4" max="4" width="44.42578125" customWidth="1"/>
    <col min="5" max="5" width="13.42578125" style="35" customWidth="1"/>
    <col min="6" max="6" width="6.42578125" hidden="1" customWidth="1"/>
    <col min="7" max="7" width="17.85546875" customWidth="1"/>
    <col min="8" max="8" width="17" customWidth="1"/>
  </cols>
  <sheetData>
    <row r="1" spans="2:34" ht="16.5" customHeight="1" x14ac:dyDescent="0.3">
      <c r="B1" s="54"/>
      <c r="C1" s="33"/>
      <c r="D1" s="33"/>
      <c r="E1" s="55" t="s">
        <v>445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2:34" ht="13.5" customHeight="1" x14ac:dyDescent="0.3">
      <c r="B2" s="54"/>
      <c r="C2" s="33"/>
      <c r="D2" s="33"/>
      <c r="E2" s="55" t="str">
        <f>'1.Bev-kiad.'!H2</f>
        <v>az 1/2026.(II.26.) önkormányzati rendelethez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3.5" customHeight="1" x14ac:dyDescent="0.3">
      <c r="B3" s="54"/>
      <c r="C3" s="33"/>
      <c r="D3" s="33"/>
      <c r="E3" s="363" t="s">
        <v>862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.75" customHeight="1" x14ac:dyDescent="0.35">
      <c r="B4" s="54"/>
      <c r="C4" s="590" t="s">
        <v>354</v>
      </c>
      <c r="D4" s="590"/>
      <c r="E4" s="59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2:34" ht="18.75" customHeight="1" x14ac:dyDescent="0.35">
      <c r="B5" s="590" t="s">
        <v>704</v>
      </c>
      <c r="C5" s="590"/>
      <c r="D5" s="590"/>
      <c r="E5" s="59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3.5" thickBot="1" x14ac:dyDescent="0.25">
      <c r="B6" s="54"/>
      <c r="C6" s="1"/>
      <c r="D6" s="1"/>
      <c r="E6" s="55" t="s"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8.75" customHeight="1" x14ac:dyDescent="0.2">
      <c r="B7" s="593" t="s">
        <v>100</v>
      </c>
      <c r="C7" s="595" t="s">
        <v>705</v>
      </c>
      <c r="D7" s="595" t="s">
        <v>706</v>
      </c>
      <c r="E7" s="598" t="s">
        <v>39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3.5" thickBot="1" x14ac:dyDescent="0.25">
      <c r="B8" s="594"/>
      <c r="C8" s="596"/>
      <c r="D8" s="597"/>
      <c r="E8" s="59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2:34" ht="18.75" customHeight="1" x14ac:dyDescent="0.2">
      <c r="B9" s="256" t="s">
        <v>101</v>
      </c>
      <c r="C9" s="495" t="s">
        <v>338</v>
      </c>
      <c r="D9" s="495"/>
      <c r="E9" s="257">
        <f>SUM(E10+E35+E41+E46+E59+E62+E66)</f>
        <v>9440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2:34" ht="15" x14ac:dyDescent="0.25">
      <c r="B10" s="258" t="s">
        <v>102</v>
      </c>
      <c r="C10" s="22" t="s">
        <v>202</v>
      </c>
      <c r="D10" s="22"/>
      <c r="E10" s="259">
        <f>SUM(E11:E34)</f>
        <v>310</v>
      </c>
      <c r="F10" s="2"/>
      <c r="G10" s="2"/>
      <c r="H10" s="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2:34" ht="38.25" hidden="1" x14ac:dyDescent="0.2">
      <c r="B11" s="496" t="s">
        <v>191</v>
      </c>
      <c r="C11" s="497" t="s">
        <v>707</v>
      </c>
      <c r="D11" s="498" t="s">
        <v>708</v>
      </c>
      <c r="E11" s="499">
        <v>0</v>
      </c>
      <c r="F11" s="2"/>
      <c r="G11" s="2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2:34" s="405" customFormat="1" ht="25.5" hidden="1" x14ac:dyDescent="0.2">
      <c r="B12" s="496" t="s">
        <v>191</v>
      </c>
      <c r="C12" s="500" t="s">
        <v>709</v>
      </c>
      <c r="D12" s="500"/>
      <c r="E12" s="499">
        <v>0</v>
      </c>
      <c r="F12" s="71"/>
      <c r="G12" s="71"/>
      <c r="H12" s="7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2:34" hidden="1" x14ac:dyDescent="0.2">
      <c r="B13" s="260" t="s">
        <v>191</v>
      </c>
      <c r="C13" s="159" t="s">
        <v>710</v>
      </c>
      <c r="D13" s="501" t="s">
        <v>874</v>
      </c>
      <c r="E13" s="261"/>
      <c r="F13" s="2"/>
      <c r="G13" s="2"/>
      <c r="H13" s="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2:34" ht="38.25" hidden="1" x14ac:dyDescent="0.2">
      <c r="B14" s="496" t="s">
        <v>191</v>
      </c>
      <c r="C14" s="497" t="s">
        <v>707</v>
      </c>
      <c r="D14" s="498" t="s">
        <v>875</v>
      </c>
      <c r="E14" s="499"/>
      <c r="F14" s="2"/>
      <c r="G14" s="2"/>
      <c r="H14" s="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2:34" hidden="1" x14ac:dyDescent="0.2">
      <c r="B15" s="260" t="s">
        <v>192</v>
      </c>
      <c r="C15" s="159" t="s">
        <v>712</v>
      </c>
      <c r="D15" s="501" t="s">
        <v>713</v>
      </c>
      <c r="E15" s="261"/>
      <c r="F15" s="2"/>
      <c r="G15" s="2"/>
      <c r="H15" s="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2:34" x14ac:dyDescent="0.2">
      <c r="B16" s="260" t="s">
        <v>601</v>
      </c>
      <c r="C16" s="159" t="s">
        <v>923</v>
      </c>
      <c r="D16" s="501" t="s">
        <v>878</v>
      </c>
      <c r="E16" s="261">
        <v>1</v>
      </c>
      <c r="F16" s="2"/>
      <c r="G16" s="2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2:34" hidden="1" x14ac:dyDescent="0.2">
      <c r="B17" s="260" t="s">
        <v>193</v>
      </c>
      <c r="C17" s="159" t="s">
        <v>714</v>
      </c>
      <c r="D17" s="501" t="s">
        <v>878</v>
      </c>
      <c r="E17" s="261"/>
      <c r="F17" s="2"/>
      <c r="G17" s="2"/>
      <c r="H17" s="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2:34" hidden="1" x14ac:dyDescent="0.2">
      <c r="B18" s="260" t="s">
        <v>193</v>
      </c>
      <c r="C18" s="159" t="s">
        <v>715</v>
      </c>
      <c r="D18" s="501" t="s">
        <v>878</v>
      </c>
      <c r="E18" s="261"/>
      <c r="F18" s="2"/>
      <c r="G18" s="2"/>
      <c r="H18" s="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idden="1" x14ac:dyDescent="0.2">
      <c r="B19" s="260" t="s">
        <v>193</v>
      </c>
      <c r="C19" s="159" t="s">
        <v>716</v>
      </c>
      <c r="D19" s="501" t="s">
        <v>878</v>
      </c>
      <c r="E19" s="261"/>
      <c r="F19" s="2"/>
      <c r="G19" s="2"/>
      <c r="H19" s="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hidden="1" x14ac:dyDescent="0.2">
      <c r="B20" s="260" t="s">
        <v>193</v>
      </c>
      <c r="C20" s="159" t="s">
        <v>717</v>
      </c>
      <c r="D20" s="501" t="s">
        <v>878</v>
      </c>
      <c r="E20" s="261"/>
      <c r="F20" s="2"/>
      <c r="G20" s="2"/>
      <c r="H20" s="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idden="1" x14ac:dyDescent="0.2">
      <c r="B21" s="260" t="s">
        <v>193</v>
      </c>
      <c r="C21" s="159" t="s">
        <v>718</v>
      </c>
      <c r="D21" s="501" t="s">
        <v>878</v>
      </c>
      <c r="E21" s="261"/>
      <c r="F21" s="2"/>
      <c r="G21" s="2"/>
      <c r="H21" s="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x14ac:dyDescent="0.2">
      <c r="B22" s="260" t="s">
        <v>601</v>
      </c>
      <c r="C22" s="159" t="s">
        <v>924</v>
      </c>
      <c r="D22" s="501" t="s">
        <v>878</v>
      </c>
      <c r="E22" s="261">
        <v>-1</v>
      </c>
      <c r="F22" s="2"/>
      <c r="G22" s="2"/>
      <c r="H22" s="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hidden="1" x14ac:dyDescent="0.2">
      <c r="B23" s="260" t="s">
        <v>194</v>
      </c>
      <c r="C23" s="159" t="s">
        <v>719</v>
      </c>
      <c r="D23" s="501" t="s">
        <v>711</v>
      </c>
      <c r="E23" s="261"/>
      <c r="F23" s="2"/>
      <c r="G23" s="2"/>
      <c r="H23" s="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idden="1" x14ac:dyDescent="0.2">
      <c r="B24" s="260" t="s">
        <v>194</v>
      </c>
      <c r="C24" s="159" t="s">
        <v>720</v>
      </c>
      <c r="D24" s="501" t="s">
        <v>711</v>
      </c>
      <c r="E24" s="261"/>
      <c r="F24" s="2"/>
      <c r="G24" s="2"/>
      <c r="H24" s="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s="405" customFormat="1" ht="13.5" hidden="1" customHeight="1" x14ac:dyDescent="0.2">
      <c r="B25" s="496" t="s">
        <v>195</v>
      </c>
      <c r="C25" s="500" t="s">
        <v>721</v>
      </c>
      <c r="D25" s="498" t="s">
        <v>722</v>
      </c>
      <c r="E25" s="499"/>
      <c r="F25" s="71"/>
      <c r="G25" s="71"/>
      <c r="H25" s="7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2:34" ht="12" hidden="1" customHeight="1" x14ac:dyDescent="0.2">
      <c r="B26" s="260" t="s">
        <v>195</v>
      </c>
      <c r="C26" s="159" t="s">
        <v>723</v>
      </c>
      <c r="D26" s="501" t="s">
        <v>876</v>
      </c>
      <c r="E26" s="261"/>
      <c r="F26" s="2"/>
      <c r="G26" s="2"/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idden="1" x14ac:dyDescent="0.2">
      <c r="B27" s="260" t="s">
        <v>195</v>
      </c>
      <c r="C27" s="159" t="s">
        <v>724</v>
      </c>
      <c r="D27" s="501" t="s">
        <v>878</v>
      </c>
      <c r="E27" s="261"/>
      <c r="F27" s="2"/>
      <c r="G27" s="2"/>
      <c r="H27" s="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idden="1" x14ac:dyDescent="0.2">
      <c r="B28" s="260" t="s">
        <v>195</v>
      </c>
      <c r="C28" s="159" t="s">
        <v>725</v>
      </c>
      <c r="D28" s="501" t="s">
        <v>878</v>
      </c>
      <c r="E28" s="261"/>
      <c r="F28" s="2"/>
      <c r="G28" s="2"/>
      <c r="H28" s="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idden="1" x14ac:dyDescent="0.2">
      <c r="B29" s="260" t="s">
        <v>195</v>
      </c>
      <c r="C29" s="159" t="s">
        <v>726</v>
      </c>
      <c r="D29" s="501" t="s">
        <v>878</v>
      </c>
      <c r="E29" s="261">
        <v>0</v>
      </c>
      <c r="F29" s="2"/>
      <c r="G29" s="2"/>
      <c r="H29" s="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hidden="1" x14ac:dyDescent="0.2">
      <c r="B30" s="260" t="s">
        <v>727</v>
      </c>
      <c r="C30" s="159" t="s">
        <v>728</v>
      </c>
      <c r="D30" s="501" t="s">
        <v>878</v>
      </c>
      <c r="E30" s="261">
        <v>0</v>
      </c>
      <c r="F30" s="2"/>
      <c r="G30" s="2"/>
      <c r="H30" s="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hidden="1" x14ac:dyDescent="0.2">
      <c r="B31" s="260" t="s">
        <v>107</v>
      </c>
      <c r="C31" s="8" t="s">
        <v>729</v>
      </c>
      <c r="D31" s="501" t="s">
        <v>878</v>
      </c>
      <c r="E31" s="261">
        <v>0</v>
      </c>
      <c r="F31" s="2"/>
      <c r="G31" s="2"/>
      <c r="H31" s="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ht="13.5" hidden="1" customHeight="1" x14ac:dyDescent="0.2">
      <c r="B32" s="260" t="s">
        <v>107</v>
      </c>
      <c r="C32" s="8" t="s">
        <v>730</v>
      </c>
      <c r="D32" s="501" t="s">
        <v>878</v>
      </c>
      <c r="E32" s="261">
        <v>0</v>
      </c>
      <c r="F32" s="2"/>
      <c r="G32" s="2"/>
      <c r="H32" s="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idden="1" x14ac:dyDescent="0.2">
      <c r="B33" s="260" t="s">
        <v>107</v>
      </c>
      <c r="C33" s="8" t="s">
        <v>731</v>
      </c>
      <c r="D33" s="501" t="s">
        <v>878</v>
      </c>
      <c r="E33" s="261">
        <v>0</v>
      </c>
      <c r="F33" s="2"/>
      <c r="G33" s="2"/>
      <c r="H33" s="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x14ac:dyDescent="0.2">
      <c r="B34" s="260" t="s">
        <v>107</v>
      </c>
      <c r="C34" s="159" t="s">
        <v>925</v>
      </c>
      <c r="D34" s="501" t="s">
        <v>926</v>
      </c>
      <c r="E34" s="261">
        <v>310</v>
      </c>
      <c r="F34" s="2"/>
      <c r="G34" s="2"/>
      <c r="H34" s="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13.5" customHeight="1" x14ac:dyDescent="0.25">
      <c r="B35" s="258" t="s">
        <v>113</v>
      </c>
      <c r="C35" s="22" t="s">
        <v>203</v>
      </c>
      <c r="D35" s="22"/>
      <c r="E35" s="259">
        <f>SUM(E36:E40)</f>
        <v>0</v>
      </c>
      <c r="F35" s="2"/>
      <c r="G35" s="2"/>
      <c r="H35" s="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hidden="1" x14ac:dyDescent="0.2">
      <c r="B36" s="260" t="s">
        <v>113</v>
      </c>
      <c r="C36" s="20" t="s">
        <v>732</v>
      </c>
      <c r="D36" s="20"/>
      <c r="E36" s="261">
        <v>0</v>
      </c>
      <c r="F36" s="2"/>
      <c r="G36" s="2"/>
      <c r="H36" s="7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hidden="1" x14ac:dyDescent="0.2">
      <c r="B37" s="260" t="s">
        <v>117</v>
      </c>
      <c r="C37" s="8" t="s">
        <v>908</v>
      </c>
      <c r="D37" s="501" t="s">
        <v>877</v>
      </c>
      <c r="E37" s="261"/>
      <c r="F37" s="2"/>
      <c r="G37" s="2"/>
      <c r="H37" s="7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idden="1" x14ac:dyDescent="0.2">
      <c r="B38" s="260" t="s">
        <v>117</v>
      </c>
      <c r="C38" s="8" t="s">
        <v>733</v>
      </c>
      <c r="D38" s="8"/>
      <c r="E38" s="261">
        <v>0</v>
      </c>
      <c r="F38" s="2"/>
      <c r="G38" s="2"/>
      <c r="H38" s="7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2:34" hidden="1" x14ac:dyDescent="0.2">
      <c r="B39" s="260" t="s">
        <v>117</v>
      </c>
      <c r="C39" s="8" t="s">
        <v>734</v>
      </c>
      <c r="D39" s="8"/>
      <c r="E39" s="261">
        <v>0</v>
      </c>
      <c r="F39" s="2"/>
      <c r="G39" s="2"/>
      <c r="H39" s="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2:34" hidden="1" x14ac:dyDescent="0.2">
      <c r="B40" s="260" t="s">
        <v>117</v>
      </c>
      <c r="C40" s="8" t="s">
        <v>735</v>
      </c>
      <c r="D40" s="8"/>
      <c r="E40" s="261">
        <v>0</v>
      </c>
      <c r="F40" s="2"/>
      <c r="G40" s="2"/>
      <c r="H40" s="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2:34" ht="15" x14ac:dyDescent="0.25">
      <c r="B41" s="258" t="s">
        <v>122</v>
      </c>
      <c r="C41" s="22" t="s">
        <v>83</v>
      </c>
      <c r="D41" s="22"/>
      <c r="E41" s="262">
        <f>SUM(E42:E45)</f>
        <v>8300</v>
      </c>
      <c r="F41" s="2"/>
      <c r="G41" s="2"/>
      <c r="H41" s="7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2:34" x14ac:dyDescent="0.2">
      <c r="B42" s="260" t="s">
        <v>927</v>
      </c>
      <c r="C42" s="8" t="s">
        <v>928</v>
      </c>
      <c r="D42" s="501" t="s">
        <v>883</v>
      </c>
      <c r="E42" s="261">
        <v>250</v>
      </c>
      <c r="F42" s="2"/>
      <c r="G42" s="2"/>
      <c r="H42" s="7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2:34" x14ac:dyDescent="0.2">
      <c r="B43" s="260" t="s">
        <v>929</v>
      </c>
      <c r="C43" s="8" t="s">
        <v>930</v>
      </c>
      <c r="D43" s="501" t="s">
        <v>883</v>
      </c>
      <c r="E43" s="261">
        <v>100</v>
      </c>
      <c r="F43" s="2"/>
      <c r="G43" s="2"/>
      <c r="H43" s="7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x14ac:dyDescent="0.2">
      <c r="B44" s="260" t="s">
        <v>404</v>
      </c>
      <c r="C44" s="8" t="s">
        <v>736</v>
      </c>
      <c r="D44" s="501" t="s">
        <v>883</v>
      </c>
      <c r="E44" s="261">
        <v>7900</v>
      </c>
      <c r="F44" s="2"/>
      <c r="G44" s="2"/>
      <c r="H44" s="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x14ac:dyDescent="0.2">
      <c r="B45" s="260" t="s">
        <v>426</v>
      </c>
      <c r="C45" s="8" t="s">
        <v>931</v>
      </c>
      <c r="D45" s="501" t="s">
        <v>883</v>
      </c>
      <c r="E45" s="261">
        <v>50</v>
      </c>
      <c r="F45" s="2"/>
      <c r="G45" s="2"/>
      <c r="H45" s="7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2:34" s="502" customFormat="1" ht="15" x14ac:dyDescent="0.25">
      <c r="B46" s="258" t="s">
        <v>133</v>
      </c>
      <c r="C46" s="22" t="s">
        <v>204</v>
      </c>
      <c r="D46" s="22"/>
      <c r="E46" s="262">
        <f>SUM(E47:E58)</f>
        <v>830</v>
      </c>
      <c r="F46" s="2"/>
      <c r="G46" s="2"/>
      <c r="H46" s="7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3.5" customHeight="1" x14ac:dyDescent="0.2">
      <c r="B47" s="260" t="s">
        <v>137</v>
      </c>
      <c r="C47" s="8" t="s">
        <v>932</v>
      </c>
      <c r="D47" s="501" t="s">
        <v>883</v>
      </c>
      <c r="E47" s="261">
        <v>575</v>
      </c>
      <c r="F47" s="2"/>
      <c r="G47" s="2"/>
      <c r="H47" s="7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s="405" customFormat="1" x14ac:dyDescent="0.2">
      <c r="B48" s="496" t="s">
        <v>138</v>
      </c>
      <c r="C48" s="491" t="s">
        <v>868</v>
      </c>
      <c r="D48" s="498" t="s">
        <v>880</v>
      </c>
      <c r="E48" s="499">
        <v>230</v>
      </c>
      <c r="F48" s="71"/>
      <c r="G48" s="71"/>
      <c r="H48" s="82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 ht="13.5" hidden="1" customHeight="1" x14ac:dyDescent="0.2">
      <c r="B49" s="260" t="s">
        <v>138</v>
      </c>
      <c r="C49" s="8" t="s">
        <v>737</v>
      </c>
      <c r="D49" s="8"/>
      <c r="E49" s="261"/>
      <c r="F49" s="2"/>
      <c r="G49" s="2"/>
      <c r="H49" s="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2:34" hidden="1" x14ac:dyDescent="0.2">
      <c r="B50" s="260" t="s">
        <v>139</v>
      </c>
      <c r="C50" s="20" t="s">
        <v>738</v>
      </c>
      <c r="D50" s="20"/>
      <c r="E50" s="261"/>
      <c r="F50" s="2"/>
      <c r="G50" s="2"/>
      <c r="H50" s="7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2:34" hidden="1" x14ac:dyDescent="0.2">
      <c r="B51" s="260" t="s">
        <v>140</v>
      </c>
      <c r="C51" s="20" t="s">
        <v>739</v>
      </c>
      <c r="D51" s="20"/>
      <c r="E51" s="261"/>
      <c r="F51" s="2"/>
      <c r="G51" s="2"/>
      <c r="H51" s="7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2:34" ht="13.5" hidden="1" customHeight="1" x14ac:dyDescent="0.2">
      <c r="B52" s="260" t="s">
        <v>144</v>
      </c>
      <c r="C52" s="20" t="s">
        <v>740</v>
      </c>
      <c r="D52" s="501" t="s">
        <v>741</v>
      </c>
      <c r="E52" s="261"/>
      <c r="F52" s="2"/>
      <c r="G52" s="2"/>
      <c r="H52" s="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2:34" ht="13.5" hidden="1" customHeight="1" x14ac:dyDescent="0.2">
      <c r="B53" s="260" t="s">
        <v>146</v>
      </c>
      <c r="C53" s="20" t="s">
        <v>742</v>
      </c>
      <c r="D53" s="20"/>
      <c r="E53" s="261"/>
      <c r="F53" s="2"/>
      <c r="G53" s="2"/>
      <c r="H53" s="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s="405" customFormat="1" ht="25.5" hidden="1" x14ac:dyDescent="0.2">
      <c r="B54" s="496" t="s">
        <v>156</v>
      </c>
      <c r="C54" s="491" t="s">
        <v>873</v>
      </c>
      <c r="D54" s="498" t="s">
        <v>881</v>
      </c>
      <c r="E54" s="499"/>
      <c r="F54" s="71"/>
      <c r="G54" s="71"/>
      <c r="H54" s="82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 s="405" customFormat="1" ht="25.5" hidden="1" x14ac:dyDescent="0.2">
      <c r="B55" s="496" t="s">
        <v>367</v>
      </c>
      <c r="C55" s="281" t="s">
        <v>743</v>
      </c>
      <c r="D55" s="498" t="s">
        <v>744</v>
      </c>
      <c r="E55" s="499">
        <v>0</v>
      </c>
      <c r="F55" s="71"/>
      <c r="G55" s="71"/>
      <c r="H55" s="7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 ht="13.5" customHeight="1" x14ac:dyDescent="0.2">
      <c r="B56" s="260" t="s">
        <v>367</v>
      </c>
      <c r="C56" s="20" t="s">
        <v>745</v>
      </c>
      <c r="D56" s="501" t="s">
        <v>883</v>
      </c>
      <c r="E56" s="261">
        <v>25</v>
      </c>
      <c r="F56" s="2"/>
      <c r="G56" s="2"/>
      <c r="H56" s="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2:34" ht="13.5" hidden="1" customHeight="1" x14ac:dyDescent="0.2">
      <c r="B57" s="260" t="s">
        <v>367</v>
      </c>
      <c r="C57" s="20" t="s">
        <v>746</v>
      </c>
      <c r="D57" s="20"/>
      <c r="E57" s="261">
        <v>0</v>
      </c>
      <c r="F57" s="2"/>
      <c r="G57" s="2"/>
      <c r="H57" s="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2:34" ht="13.5" hidden="1" customHeight="1" x14ac:dyDescent="0.2">
      <c r="B58" s="260"/>
      <c r="C58" s="20"/>
      <c r="D58" s="20"/>
      <c r="E58" s="261">
        <v>0</v>
      </c>
      <c r="F58" s="2"/>
      <c r="G58" s="2"/>
      <c r="H58" s="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2:34" ht="15" x14ac:dyDescent="0.25">
      <c r="B59" s="258" t="s">
        <v>160</v>
      </c>
      <c r="C59" s="22" t="s">
        <v>205</v>
      </c>
      <c r="D59" s="22"/>
      <c r="E59" s="262">
        <f>SUM(E60:E61)</f>
        <v>0</v>
      </c>
      <c r="F59" s="2"/>
      <c r="G59" s="2"/>
      <c r="H59" s="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2:34" ht="13.5" hidden="1" customHeight="1" x14ac:dyDescent="0.2">
      <c r="B60" s="503" t="s">
        <v>163</v>
      </c>
      <c r="C60" s="20" t="s">
        <v>869</v>
      </c>
      <c r="D60" s="501" t="s">
        <v>879</v>
      </c>
      <c r="E60" s="261"/>
      <c r="F60" s="2"/>
      <c r="G60" s="2"/>
      <c r="H60" s="7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2:34" ht="13.5" hidden="1" customHeight="1" x14ac:dyDescent="0.2">
      <c r="B61" s="503" t="s">
        <v>162</v>
      </c>
      <c r="C61" s="20"/>
      <c r="D61" s="20"/>
      <c r="E61" s="499">
        <v>0</v>
      </c>
      <c r="F61" s="2"/>
      <c r="G61" s="2"/>
      <c r="H61" s="7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2:34" ht="15.75" customHeight="1" x14ac:dyDescent="0.25">
      <c r="B62" s="258" t="s">
        <v>171</v>
      </c>
      <c r="C62" s="22" t="s">
        <v>206</v>
      </c>
      <c r="D62" s="22"/>
      <c r="E62" s="262">
        <f>SUM(E63:E65)</f>
        <v>0</v>
      </c>
      <c r="F62" s="2"/>
      <c r="G62" s="2"/>
      <c r="H62" s="7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2:34" s="405" customFormat="1" hidden="1" x14ac:dyDescent="0.2">
      <c r="B63" s="514" t="s">
        <v>406</v>
      </c>
      <c r="C63" s="491" t="s">
        <v>870</v>
      </c>
      <c r="D63" s="498" t="s">
        <v>882</v>
      </c>
      <c r="E63" s="499"/>
      <c r="F63" s="71"/>
      <c r="G63" s="71"/>
      <c r="H63" s="82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3.5" hidden="1" customHeight="1" x14ac:dyDescent="0.2">
      <c r="B64" s="263" t="s">
        <v>406</v>
      </c>
      <c r="C64" s="8" t="s">
        <v>747</v>
      </c>
      <c r="D64" s="8"/>
      <c r="E64" s="261">
        <v>0</v>
      </c>
      <c r="F64" s="2"/>
      <c r="G64" s="2"/>
      <c r="H64" s="7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2:34" ht="13.5" hidden="1" customHeight="1" x14ac:dyDescent="0.2">
      <c r="B65" s="263" t="s">
        <v>748</v>
      </c>
      <c r="C65" s="8" t="s">
        <v>749</v>
      </c>
      <c r="D65" s="8"/>
      <c r="E65" s="261">
        <v>0</v>
      </c>
      <c r="F65" s="2"/>
      <c r="G65" s="2"/>
      <c r="H65" s="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2:34" ht="14.25" customHeight="1" x14ac:dyDescent="0.25">
      <c r="B66" s="258" t="s">
        <v>172</v>
      </c>
      <c r="C66" s="22" t="s">
        <v>207</v>
      </c>
      <c r="D66" s="22"/>
      <c r="E66" s="262">
        <f>SUM(E67:E67)</f>
        <v>0</v>
      </c>
      <c r="F66" s="2"/>
      <c r="G66" s="2"/>
      <c r="H66" s="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2:34" ht="13.5" hidden="1" customHeight="1" x14ac:dyDescent="0.2">
      <c r="B67" s="260" t="s">
        <v>407</v>
      </c>
      <c r="C67" s="20" t="s">
        <v>750</v>
      </c>
      <c r="D67" s="20"/>
      <c r="E67" s="261">
        <v>0</v>
      </c>
      <c r="F67" s="2"/>
      <c r="G67" s="2"/>
      <c r="H67" s="7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2:34" ht="15" x14ac:dyDescent="0.25">
      <c r="B68" s="504" t="s">
        <v>332</v>
      </c>
      <c r="C68" s="203" t="s">
        <v>334</v>
      </c>
      <c r="D68" s="203"/>
      <c r="E68" s="262">
        <f>SUM(E69+E74)</f>
        <v>1027</v>
      </c>
      <c r="F68" s="2"/>
      <c r="G68" s="2"/>
      <c r="H68" s="7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2:34" ht="15" x14ac:dyDescent="0.25">
      <c r="B69" s="504"/>
      <c r="C69" s="22" t="s">
        <v>346</v>
      </c>
      <c r="D69" s="22"/>
      <c r="E69" s="262">
        <f>SUM(E70+E73)</f>
        <v>1027</v>
      </c>
      <c r="F69" s="2"/>
      <c r="G69" s="2"/>
      <c r="H69" s="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2:34" ht="13.5" customHeight="1" x14ac:dyDescent="0.2">
      <c r="B70" s="260"/>
      <c r="C70" s="196" t="s">
        <v>751</v>
      </c>
      <c r="D70" s="196"/>
      <c r="E70" s="261">
        <v>0</v>
      </c>
      <c r="F70" s="2"/>
      <c r="G70" s="2"/>
      <c r="H70" s="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2:34" s="265" customFormat="1" ht="13.5" hidden="1" customHeight="1" x14ac:dyDescent="0.2">
      <c r="B71" s="505"/>
      <c r="C71" s="506" t="s">
        <v>752</v>
      </c>
      <c r="D71" s="506"/>
      <c r="E71" s="268">
        <v>0</v>
      </c>
      <c r="F71" s="266"/>
      <c r="G71" s="266"/>
      <c r="H71" s="7"/>
      <c r="I71" s="266"/>
      <c r="J71" s="266"/>
      <c r="K71" s="266"/>
      <c r="L71" s="266"/>
      <c r="M71" s="266"/>
      <c r="N71" s="266"/>
      <c r="O71" s="266"/>
      <c r="P71" s="266"/>
      <c r="Q71" s="266"/>
      <c r="R71" s="266"/>
      <c r="S71" s="266"/>
      <c r="T71" s="266"/>
      <c r="U71" s="266"/>
      <c r="V71" s="266"/>
      <c r="W71" s="266"/>
      <c r="X71" s="266"/>
      <c r="Y71" s="266"/>
      <c r="Z71" s="266"/>
      <c r="AA71" s="266"/>
      <c r="AB71" s="266"/>
      <c r="AC71" s="266"/>
      <c r="AD71" s="266"/>
      <c r="AE71" s="266"/>
      <c r="AF71" s="266"/>
      <c r="AG71" s="266"/>
      <c r="AH71" s="266"/>
    </row>
    <row r="72" spans="2:34" s="265" customFormat="1" ht="13.5" hidden="1" customHeight="1" x14ac:dyDescent="0.2">
      <c r="B72" s="505"/>
      <c r="C72" s="506" t="s">
        <v>753</v>
      </c>
      <c r="D72" s="506"/>
      <c r="E72" s="268">
        <v>0</v>
      </c>
      <c r="F72" s="266"/>
      <c r="G72" s="266"/>
      <c r="H72" s="7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</row>
    <row r="73" spans="2:34" s="265" customFormat="1" ht="13.5" customHeight="1" x14ac:dyDescent="0.2">
      <c r="B73" s="505"/>
      <c r="C73" s="196" t="s">
        <v>754</v>
      </c>
      <c r="D73" s="501" t="s">
        <v>755</v>
      </c>
      <c r="E73" s="261">
        <v>1027</v>
      </c>
      <c r="F73" s="266"/>
      <c r="G73" s="266"/>
      <c r="H73" s="7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66"/>
      <c r="AG73" s="266"/>
      <c r="AH73" s="266"/>
    </row>
    <row r="74" spans="2:34" ht="15.75" thickBot="1" x14ac:dyDescent="0.3">
      <c r="B74" s="260"/>
      <c r="C74" s="22" t="s">
        <v>342</v>
      </c>
      <c r="D74" s="22"/>
      <c r="E74" s="262">
        <f>SUM(E75:E75)</f>
        <v>0</v>
      </c>
      <c r="F74" s="2"/>
      <c r="H74" s="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2:34" ht="13.5" hidden="1" customHeight="1" x14ac:dyDescent="0.2">
      <c r="B75" s="264"/>
      <c r="C75" s="8" t="s">
        <v>756</v>
      </c>
      <c r="D75" s="11"/>
      <c r="E75" s="261">
        <v>0</v>
      </c>
      <c r="F75" s="2"/>
      <c r="H75" s="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2:34" ht="20.25" thickBot="1" x14ac:dyDescent="0.4">
      <c r="B76" s="507"/>
      <c r="C76" s="43" t="s">
        <v>757</v>
      </c>
      <c r="D76" s="508"/>
      <c r="E76" s="44">
        <f>SUM(E9+E68)</f>
        <v>10467</v>
      </c>
      <c r="F76" s="7">
        <f>E76-E197</f>
        <v>0</v>
      </c>
      <c r="G76" s="74"/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2:34" ht="15.75" x14ac:dyDescent="0.25">
      <c r="B77" s="256" t="s">
        <v>188</v>
      </c>
      <c r="C77" s="509" t="s">
        <v>337</v>
      </c>
      <c r="D77" s="509"/>
      <c r="E77" s="267">
        <f>SUM(E78+E170)</f>
        <v>10467</v>
      </c>
      <c r="F77" s="2"/>
      <c r="H77" s="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2:34" ht="15" x14ac:dyDescent="0.25">
      <c r="B78" s="258" t="s">
        <v>185</v>
      </c>
      <c r="C78" s="22" t="s">
        <v>9</v>
      </c>
      <c r="D78" s="22"/>
      <c r="E78" s="259">
        <f>SUM(E79:E169)</f>
        <v>10467</v>
      </c>
      <c r="F78" s="2"/>
      <c r="H78" s="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2:34" x14ac:dyDescent="0.2">
      <c r="B79" s="260" t="s">
        <v>429</v>
      </c>
      <c r="C79" s="8" t="s">
        <v>936</v>
      </c>
      <c r="D79" s="501" t="s">
        <v>884</v>
      </c>
      <c r="E79" s="261">
        <v>488</v>
      </c>
      <c r="F79" s="2"/>
      <c r="H79" s="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2:34" hidden="1" x14ac:dyDescent="0.2">
      <c r="B80" s="260" t="s">
        <v>758</v>
      </c>
      <c r="C80" s="8" t="s">
        <v>759</v>
      </c>
      <c r="D80" s="501" t="s">
        <v>884</v>
      </c>
      <c r="E80" s="261"/>
      <c r="F80" s="2"/>
      <c r="H80" s="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2:34" hidden="1" x14ac:dyDescent="0.2">
      <c r="B81" s="260" t="s">
        <v>758</v>
      </c>
      <c r="C81" s="8" t="s">
        <v>760</v>
      </c>
      <c r="D81" s="501" t="s">
        <v>884</v>
      </c>
      <c r="E81" s="261"/>
      <c r="F81" s="2"/>
      <c r="H81" s="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2:34" hidden="1" x14ac:dyDescent="0.2">
      <c r="B82" s="260" t="s">
        <v>761</v>
      </c>
      <c r="C82" s="8" t="s">
        <v>762</v>
      </c>
      <c r="D82" s="501" t="s">
        <v>884</v>
      </c>
      <c r="E82" s="261"/>
      <c r="F82" s="2"/>
      <c r="H82" s="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2:34" hidden="1" x14ac:dyDescent="0.2">
      <c r="B83" s="260" t="s">
        <v>763</v>
      </c>
      <c r="C83" s="8" t="s">
        <v>764</v>
      </c>
      <c r="D83" s="501" t="s">
        <v>884</v>
      </c>
      <c r="E83" s="261"/>
      <c r="F83" s="2"/>
      <c r="H83" s="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2:34" x14ac:dyDescent="0.2">
      <c r="B84" s="260" t="s">
        <v>766</v>
      </c>
      <c r="C84" s="8" t="s">
        <v>937</v>
      </c>
      <c r="D84" s="501" t="s">
        <v>884</v>
      </c>
      <c r="E84" s="261">
        <v>240</v>
      </c>
      <c r="F84" s="2"/>
      <c r="H84" s="7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2:34" hidden="1" x14ac:dyDescent="0.2">
      <c r="B85" s="260" t="s">
        <v>766</v>
      </c>
      <c r="C85" s="8" t="s">
        <v>767</v>
      </c>
      <c r="D85" s="501" t="s">
        <v>884</v>
      </c>
      <c r="E85" s="261"/>
      <c r="F85" s="2"/>
      <c r="H85" s="7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2:34" hidden="1" x14ac:dyDescent="0.2">
      <c r="B86" s="260" t="s">
        <v>768</v>
      </c>
      <c r="C86" s="8" t="s">
        <v>769</v>
      </c>
      <c r="D86" s="501" t="s">
        <v>884</v>
      </c>
      <c r="E86" s="261"/>
      <c r="F86" s="2"/>
      <c r="H86" s="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2:34" hidden="1" x14ac:dyDescent="0.2">
      <c r="B87" s="260" t="s">
        <v>768</v>
      </c>
      <c r="C87" s="8" t="s">
        <v>770</v>
      </c>
      <c r="D87" s="501" t="s">
        <v>884</v>
      </c>
      <c r="E87" s="261"/>
      <c r="F87" s="2"/>
      <c r="H87" s="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2:34" hidden="1" x14ac:dyDescent="0.2">
      <c r="B88" s="260" t="s">
        <v>771</v>
      </c>
      <c r="C88" s="8" t="s">
        <v>772</v>
      </c>
      <c r="D88" s="501" t="s">
        <v>884</v>
      </c>
      <c r="E88" s="261"/>
      <c r="F88" s="2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2:34" x14ac:dyDescent="0.2">
      <c r="B89" s="260" t="s">
        <v>771</v>
      </c>
      <c r="C89" s="8" t="s">
        <v>938</v>
      </c>
      <c r="D89" s="501" t="s">
        <v>884</v>
      </c>
      <c r="E89" s="261">
        <v>-333</v>
      </c>
      <c r="F89" s="2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2:34" hidden="1" x14ac:dyDescent="0.2">
      <c r="B90" s="260" t="s">
        <v>771</v>
      </c>
      <c r="C90" s="8" t="s">
        <v>898</v>
      </c>
      <c r="D90" s="501" t="s">
        <v>884</v>
      </c>
      <c r="E90" s="261"/>
      <c r="F90" s="2"/>
      <c r="H90" s="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2:34" hidden="1" x14ac:dyDescent="0.2">
      <c r="B91" s="260" t="s">
        <v>771</v>
      </c>
      <c r="C91" s="8" t="s">
        <v>872</v>
      </c>
      <c r="D91" s="501" t="s">
        <v>884</v>
      </c>
      <c r="E91" s="261"/>
      <c r="F91" s="2"/>
      <c r="H91" s="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2:34" hidden="1" x14ac:dyDescent="0.2">
      <c r="B92" s="260" t="s">
        <v>771</v>
      </c>
      <c r="C92" s="8" t="s">
        <v>872</v>
      </c>
      <c r="D92" s="501" t="s">
        <v>884</v>
      </c>
      <c r="E92" s="261"/>
      <c r="F92" s="2"/>
      <c r="H92" s="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2:34" hidden="1" x14ac:dyDescent="0.2">
      <c r="B93" s="260" t="s">
        <v>603</v>
      </c>
      <c r="C93" s="8" t="s">
        <v>872</v>
      </c>
      <c r="D93" s="501" t="s">
        <v>884</v>
      </c>
      <c r="E93" s="261"/>
      <c r="F93" s="2"/>
      <c r="H93" s="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2:34" s="405" customFormat="1" hidden="1" x14ac:dyDescent="0.2">
      <c r="B94" s="496" t="s">
        <v>603</v>
      </c>
      <c r="C94" s="491" t="s">
        <v>863</v>
      </c>
      <c r="D94" s="501" t="s">
        <v>884</v>
      </c>
      <c r="E94" s="499"/>
      <c r="F94" s="71"/>
      <c r="H94" s="7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</row>
    <row r="95" spans="2:34" hidden="1" x14ac:dyDescent="0.2">
      <c r="B95" s="260" t="s">
        <v>603</v>
      </c>
      <c r="C95" s="8" t="s">
        <v>773</v>
      </c>
      <c r="D95" s="501" t="s">
        <v>884</v>
      </c>
      <c r="E95" s="261"/>
      <c r="F95" s="2"/>
      <c r="H95" s="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2:34" x14ac:dyDescent="0.2">
      <c r="B96" s="260" t="s">
        <v>603</v>
      </c>
      <c r="C96" s="149" t="s">
        <v>946</v>
      </c>
      <c r="D96" s="501" t="s">
        <v>884</v>
      </c>
      <c r="E96" s="261">
        <v>60</v>
      </c>
      <c r="F96" s="2"/>
      <c r="H96" s="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2:34" s="405" customFormat="1" hidden="1" x14ac:dyDescent="0.2">
      <c r="B97" s="496" t="s">
        <v>450</v>
      </c>
      <c r="C97" s="491" t="s">
        <v>866</v>
      </c>
      <c r="D97" s="498" t="s">
        <v>886</v>
      </c>
      <c r="E97" s="499"/>
      <c r="F97" s="71"/>
      <c r="H97" s="7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</row>
    <row r="98" spans="2:34" hidden="1" x14ac:dyDescent="0.2">
      <c r="B98" s="260" t="s">
        <v>450</v>
      </c>
      <c r="C98" s="8" t="s">
        <v>897</v>
      </c>
      <c r="D98" s="501" t="s">
        <v>884</v>
      </c>
      <c r="E98" s="261"/>
      <c r="F98" s="2"/>
      <c r="H98" s="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2:34" s="405" customFormat="1" x14ac:dyDescent="0.2">
      <c r="B99" s="496" t="s">
        <v>434</v>
      </c>
      <c r="C99" s="491" t="s">
        <v>940</v>
      </c>
      <c r="D99" s="501" t="s">
        <v>884</v>
      </c>
      <c r="E99" s="499">
        <v>141</v>
      </c>
      <c r="F99" s="71"/>
      <c r="H99" s="82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</row>
    <row r="100" spans="2:34" x14ac:dyDescent="0.2">
      <c r="B100" s="260" t="s">
        <v>434</v>
      </c>
      <c r="C100" s="8" t="s">
        <v>939</v>
      </c>
      <c r="D100" s="501" t="s">
        <v>884</v>
      </c>
      <c r="E100" s="261">
        <v>-201</v>
      </c>
      <c r="F100" s="2"/>
      <c r="H100" s="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2:34" s="405" customFormat="1" hidden="1" x14ac:dyDescent="0.2">
      <c r="B101" s="496" t="s">
        <v>198</v>
      </c>
      <c r="C101" s="491" t="s">
        <v>864</v>
      </c>
      <c r="D101" s="498" t="s">
        <v>885</v>
      </c>
      <c r="E101" s="499"/>
      <c r="F101" s="71"/>
      <c r="H101" s="82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</row>
    <row r="102" spans="2:34" hidden="1" x14ac:dyDescent="0.2">
      <c r="B102" s="496" t="s">
        <v>198</v>
      </c>
      <c r="C102" s="491" t="s">
        <v>864</v>
      </c>
      <c r="D102" s="501" t="s">
        <v>884</v>
      </c>
      <c r="E102" s="261"/>
      <c r="F102" s="2"/>
      <c r="H102" s="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2:34" s="405" customFormat="1" hidden="1" x14ac:dyDescent="0.2">
      <c r="B103" s="496" t="s">
        <v>419</v>
      </c>
      <c r="C103" s="491" t="s">
        <v>774</v>
      </c>
      <c r="D103" s="501" t="s">
        <v>884</v>
      </c>
      <c r="E103" s="499"/>
      <c r="F103" s="71"/>
      <c r="H103" s="7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</row>
    <row r="104" spans="2:34" hidden="1" x14ac:dyDescent="0.2">
      <c r="B104" s="260" t="s">
        <v>419</v>
      </c>
      <c r="C104" s="8" t="s">
        <v>776</v>
      </c>
      <c r="D104" s="501" t="s">
        <v>884</v>
      </c>
      <c r="E104" s="261"/>
      <c r="F104" s="2"/>
      <c r="H104" s="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2:34" hidden="1" x14ac:dyDescent="0.2">
      <c r="B105" s="260" t="s">
        <v>419</v>
      </c>
      <c r="C105" s="8" t="s">
        <v>777</v>
      </c>
      <c r="D105" s="501" t="s">
        <v>884</v>
      </c>
      <c r="E105" s="261"/>
      <c r="F105" s="2"/>
      <c r="H105" s="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2:34" hidden="1" x14ac:dyDescent="0.2">
      <c r="B106" s="260" t="s">
        <v>419</v>
      </c>
      <c r="C106" s="8" t="s">
        <v>778</v>
      </c>
      <c r="D106" s="501" t="s">
        <v>884</v>
      </c>
      <c r="E106" s="261"/>
      <c r="F106" s="2"/>
      <c r="H106" s="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2:34" hidden="1" x14ac:dyDescent="0.2">
      <c r="B107" s="260" t="s">
        <v>419</v>
      </c>
      <c r="C107" s="8" t="s">
        <v>779</v>
      </c>
      <c r="D107" s="501" t="s">
        <v>884</v>
      </c>
      <c r="E107" s="261"/>
      <c r="F107" s="2"/>
      <c r="H107" s="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2:34" hidden="1" x14ac:dyDescent="0.2">
      <c r="B108" s="260" t="s">
        <v>419</v>
      </c>
      <c r="C108" s="8" t="s">
        <v>780</v>
      </c>
      <c r="D108" s="501" t="s">
        <v>884</v>
      </c>
      <c r="E108" s="261"/>
      <c r="F108" s="2"/>
      <c r="H108" s="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2:34" hidden="1" x14ac:dyDescent="0.2">
      <c r="B109" s="260" t="s">
        <v>781</v>
      </c>
      <c r="C109" s="8" t="s">
        <v>782</v>
      </c>
      <c r="D109" s="501" t="s">
        <v>884</v>
      </c>
      <c r="E109" s="261"/>
      <c r="F109" s="2"/>
      <c r="H109" s="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2:34" hidden="1" x14ac:dyDescent="0.2">
      <c r="B110" s="260" t="s">
        <v>781</v>
      </c>
      <c r="C110" s="8" t="s">
        <v>900</v>
      </c>
      <c r="D110" s="501" t="s">
        <v>884</v>
      </c>
      <c r="E110" s="261"/>
      <c r="F110" s="2"/>
      <c r="H110" s="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2:34" hidden="1" x14ac:dyDescent="0.2">
      <c r="B111" s="260" t="s">
        <v>436</v>
      </c>
      <c r="C111" s="8" t="s">
        <v>783</v>
      </c>
      <c r="D111" s="501" t="s">
        <v>884</v>
      </c>
      <c r="E111" s="261"/>
      <c r="F111" s="2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2:34" hidden="1" x14ac:dyDescent="0.2">
      <c r="B112" s="260" t="s">
        <v>904</v>
      </c>
      <c r="C112" s="8" t="s">
        <v>901</v>
      </c>
      <c r="D112" s="501" t="s">
        <v>884</v>
      </c>
      <c r="E112" s="261"/>
      <c r="F112" s="2"/>
      <c r="H112" s="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2:34" hidden="1" x14ac:dyDescent="0.2">
      <c r="B113" s="260" t="s">
        <v>420</v>
      </c>
      <c r="C113" s="8" t="s">
        <v>784</v>
      </c>
      <c r="D113" s="501" t="s">
        <v>884</v>
      </c>
      <c r="E113" s="261"/>
      <c r="F113" s="2"/>
      <c r="H113" s="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2:34" hidden="1" x14ac:dyDescent="0.2">
      <c r="B114" s="260" t="s">
        <v>420</v>
      </c>
      <c r="C114" s="8" t="s">
        <v>865</v>
      </c>
      <c r="D114" s="501" t="s">
        <v>884</v>
      </c>
      <c r="E114" s="261"/>
      <c r="F114" s="2"/>
      <c r="H114" s="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2:34" hidden="1" x14ac:dyDescent="0.2">
      <c r="B115" s="260" t="s">
        <v>420</v>
      </c>
      <c r="C115" s="8" t="s">
        <v>867</v>
      </c>
      <c r="D115" s="501" t="s">
        <v>887</v>
      </c>
      <c r="E115" s="261"/>
      <c r="F115" s="2"/>
      <c r="H115" s="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2:34" hidden="1" x14ac:dyDescent="0.2">
      <c r="B116" s="260" t="s">
        <v>451</v>
      </c>
      <c r="C116" s="8" t="s">
        <v>785</v>
      </c>
      <c r="D116" s="501" t="s">
        <v>786</v>
      </c>
      <c r="E116" s="261"/>
      <c r="F116" s="2"/>
      <c r="H116" s="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2:34" hidden="1" x14ac:dyDescent="0.2">
      <c r="B117" s="260" t="s">
        <v>451</v>
      </c>
      <c r="C117" s="8" t="s">
        <v>787</v>
      </c>
      <c r="D117" s="8"/>
      <c r="E117" s="261"/>
      <c r="F117" s="2"/>
      <c r="H117" s="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2:34" s="405" customFormat="1" x14ac:dyDescent="0.2">
      <c r="B118" s="496" t="s">
        <v>435</v>
      </c>
      <c r="C118" s="491" t="s">
        <v>941</v>
      </c>
      <c r="D118" s="498" t="s">
        <v>942</v>
      </c>
      <c r="E118" s="499">
        <v>555</v>
      </c>
      <c r="F118" s="71"/>
      <c r="H118" s="82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</row>
    <row r="119" spans="2:34" hidden="1" x14ac:dyDescent="0.2">
      <c r="B119" s="260" t="s">
        <v>435</v>
      </c>
      <c r="C119" s="8" t="s">
        <v>894</v>
      </c>
      <c r="D119" s="510" t="s">
        <v>896</v>
      </c>
      <c r="E119" s="261"/>
      <c r="F119" s="2"/>
      <c r="H119" s="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2:34" hidden="1" x14ac:dyDescent="0.2">
      <c r="B120" s="260" t="s">
        <v>435</v>
      </c>
      <c r="C120" s="8" t="s">
        <v>788</v>
      </c>
      <c r="D120" s="8"/>
      <c r="E120" s="261"/>
      <c r="F120" s="2"/>
      <c r="H120" s="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2:34" ht="25.5" hidden="1" x14ac:dyDescent="0.2">
      <c r="B121" s="496" t="s">
        <v>435</v>
      </c>
      <c r="C121" s="20" t="s">
        <v>789</v>
      </c>
      <c r="D121" s="20"/>
      <c r="E121" s="499"/>
      <c r="F121" s="2"/>
      <c r="H121" s="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2:34" x14ac:dyDescent="0.2">
      <c r="B122" s="496" t="s">
        <v>602</v>
      </c>
      <c r="C122" s="20" t="s">
        <v>890</v>
      </c>
      <c r="D122" s="501" t="s">
        <v>888</v>
      </c>
      <c r="E122" s="499">
        <v>1200</v>
      </c>
      <c r="F122" s="2"/>
      <c r="H122" s="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2:34" s="405" customFormat="1" ht="25.5" hidden="1" x14ac:dyDescent="0.2">
      <c r="B123" s="496" t="s">
        <v>413</v>
      </c>
      <c r="C123" s="281" t="s">
        <v>790</v>
      </c>
      <c r="D123" s="498" t="s">
        <v>791</v>
      </c>
      <c r="E123" s="499"/>
      <c r="F123" s="71"/>
      <c r="H123" s="7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</row>
    <row r="124" spans="2:34" hidden="1" x14ac:dyDescent="0.2">
      <c r="B124" s="260" t="s">
        <v>413</v>
      </c>
      <c r="C124" s="8" t="s">
        <v>792</v>
      </c>
      <c r="D124" s="501" t="s">
        <v>793</v>
      </c>
      <c r="E124" s="261"/>
      <c r="F124" s="2"/>
      <c r="H124" s="7"/>
      <c r="I124" s="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2:34" hidden="1" x14ac:dyDescent="0.2">
      <c r="B125" s="260" t="s">
        <v>413</v>
      </c>
      <c r="C125" s="491" t="s">
        <v>871</v>
      </c>
      <c r="D125" s="501" t="s">
        <v>889</v>
      </c>
      <c r="E125" s="261"/>
      <c r="F125" s="2"/>
      <c r="H125" s="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2:34" hidden="1" x14ac:dyDescent="0.2">
      <c r="B126" s="260" t="s">
        <v>413</v>
      </c>
      <c r="C126" s="8" t="s">
        <v>918</v>
      </c>
      <c r="D126" s="501" t="s">
        <v>884</v>
      </c>
      <c r="E126" s="261"/>
      <c r="F126" s="2"/>
      <c r="H126" s="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2:34" hidden="1" x14ac:dyDescent="0.2">
      <c r="B127" s="260" t="s">
        <v>413</v>
      </c>
      <c r="C127" s="8" t="s">
        <v>794</v>
      </c>
      <c r="D127" s="8"/>
      <c r="E127" s="261"/>
      <c r="F127" s="2"/>
      <c r="H127" s="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2:34" hidden="1" x14ac:dyDescent="0.2">
      <c r="B128" s="260" t="s">
        <v>413</v>
      </c>
      <c r="C128" s="8" t="s">
        <v>795</v>
      </c>
      <c r="D128" s="8"/>
      <c r="E128" s="261"/>
      <c r="F128" s="2"/>
      <c r="H128" s="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2:34" hidden="1" x14ac:dyDescent="0.2">
      <c r="B129" s="260" t="s">
        <v>413</v>
      </c>
      <c r="C129" s="8" t="s">
        <v>796</v>
      </c>
      <c r="D129" s="8"/>
      <c r="E129" s="261"/>
      <c r="F129" s="2"/>
      <c r="H129" s="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2:34" hidden="1" x14ac:dyDescent="0.2">
      <c r="B130" s="260" t="s">
        <v>413</v>
      </c>
      <c r="C130" s="8" t="s">
        <v>797</v>
      </c>
      <c r="D130" s="8"/>
      <c r="E130" s="261"/>
      <c r="F130" s="2"/>
      <c r="H130" s="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2:34" hidden="1" x14ac:dyDescent="0.2">
      <c r="B131" s="260" t="s">
        <v>413</v>
      </c>
      <c r="C131" s="8" t="s">
        <v>798</v>
      </c>
      <c r="D131" s="8"/>
      <c r="E131" s="261"/>
      <c r="F131" s="2"/>
      <c r="H131" s="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2:34" hidden="1" x14ac:dyDescent="0.2">
      <c r="B132" s="260" t="s">
        <v>413</v>
      </c>
      <c r="C132" s="8" t="s">
        <v>799</v>
      </c>
      <c r="D132" s="8"/>
      <c r="E132" s="261"/>
      <c r="F132" s="2"/>
      <c r="H132" s="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2:34" hidden="1" x14ac:dyDescent="0.2">
      <c r="B133" s="260" t="s">
        <v>413</v>
      </c>
      <c r="C133" s="8" t="s">
        <v>800</v>
      </c>
      <c r="D133" s="8"/>
      <c r="E133" s="261"/>
      <c r="F133" s="2"/>
      <c r="H133" s="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2:34" hidden="1" x14ac:dyDescent="0.2">
      <c r="B134" s="260" t="s">
        <v>413</v>
      </c>
      <c r="C134" s="8" t="s">
        <v>801</v>
      </c>
      <c r="D134" s="8"/>
      <c r="E134" s="261"/>
      <c r="F134" s="2"/>
      <c r="H134" s="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2:34" hidden="1" x14ac:dyDescent="0.2">
      <c r="B135" s="260" t="s">
        <v>430</v>
      </c>
      <c r="C135" s="8" t="s">
        <v>802</v>
      </c>
      <c r="D135" s="8"/>
      <c r="E135" s="261"/>
      <c r="F135" s="2"/>
      <c r="H135" s="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2:34" hidden="1" x14ac:dyDescent="0.2">
      <c r="B136" s="260" t="s">
        <v>430</v>
      </c>
      <c r="C136" s="8" t="s">
        <v>803</v>
      </c>
      <c r="D136" s="8"/>
      <c r="E136" s="261"/>
      <c r="F136" s="2"/>
      <c r="H136" s="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2:34" hidden="1" x14ac:dyDescent="0.2">
      <c r="B137" s="260" t="s">
        <v>430</v>
      </c>
      <c r="C137" s="8" t="s">
        <v>804</v>
      </c>
      <c r="D137" s="8"/>
      <c r="E137" s="261"/>
      <c r="F137" s="2"/>
      <c r="H137" s="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2:34" hidden="1" x14ac:dyDescent="0.2">
      <c r="B138" s="260" t="s">
        <v>430</v>
      </c>
      <c r="C138" s="8" t="s">
        <v>805</v>
      </c>
      <c r="D138" s="8"/>
      <c r="E138" s="261"/>
      <c r="F138" s="2"/>
      <c r="H138" s="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2:34" hidden="1" x14ac:dyDescent="0.2">
      <c r="B139" s="260" t="s">
        <v>430</v>
      </c>
      <c r="C139" s="8" t="s">
        <v>806</v>
      </c>
      <c r="D139" s="8"/>
      <c r="E139" s="261"/>
      <c r="F139" s="2"/>
      <c r="H139" s="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2:34" hidden="1" x14ac:dyDescent="0.2">
      <c r="B140" s="260" t="s">
        <v>413</v>
      </c>
      <c r="C140" s="8" t="s">
        <v>807</v>
      </c>
      <c r="D140" s="501" t="s">
        <v>884</v>
      </c>
      <c r="E140" s="261"/>
      <c r="F140" s="2"/>
      <c r="H140" s="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2:34" s="405" customFormat="1" ht="25.5" hidden="1" x14ac:dyDescent="0.2">
      <c r="B141" s="496" t="s">
        <v>430</v>
      </c>
      <c r="C141" s="491" t="s">
        <v>808</v>
      </c>
      <c r="D141" s="498" t="s">
        <v>775</v>
      </c>
      <c r="E141" s="499"/>
      <c r="F141" s="71"/>
      <c r="H141" s="7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</row>
    <row r="142" spans="2:34" x14ac:dyDescent="0.2">
      <c r="B142" s="260" t="s">
        <v>430</v>
      </c>
      <c r="C142" s="8" t="s">
        <v>943</v>
      </c>
      <c r="D142" s="501" t="s">
        <v>884</v>
      </c>
      <c r="E142" s="261">
        <v>180</v>
      </c>
      <c r="F142" s="2"/>
      <c r="H142" s="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2:34" s="405" customFormat="1" ht="25.5" hidden="1" x14ac:dyDescent="0.2">
      <c r="B143" s="496" t="s">
        <v>430</v>
      </c>
      <c r="C143" s="281" t="s">
        <v>903</v>
      </c>
      <c r="D143" s="519" t="s">
        <v>902</v>
      </c>
      <c r="E143" s="499"/>
      <c r="F143" s="71"/>
      <c r="H143" s="82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</row>
    <row r="144" spans="2:34" hidden="1" x14ac:dyDescent="0.2">
      <c r="B144" s="260" t="s">
        <v>809</v>
      </c>
      <c r="C144" s="8" t="s">
        <v>810</v>
      </c>
      <c r="D144" s="510" t="s">
        <v>811</v>
      </c>
      <c r="E144" s="261"/>
      <c r="F144" s="2"/>
      <c r="H144" s="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2:34" x14ac:dyDescent="0.2">
      <c r="B145" s="496" t="s">
        <v>944</v>
      </c>
      <c r="C145" s="491" t="s">
        <v>580</v>
      </c>
      <c r="D145" s="501" t="s">
        <v>884</v>
      </c>
      <c r="E145" s="499">
        <v>-300</v>
      </c>
      <c r="F145" s="2"/>
      <c r="H145" s="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2:34" s="405" customFormat="1" hidden="1" x14ac:dyDescent="0.2">
      <c r="B146" s="496" t="s">
        <v>414</v>
      </c>
      <c r="C146" s="491" t="s">
        <v>895</v>
      </c>
      <c r="D146" s="501" t="s">
        <v>884</v>
      </c>
      <c r="E146" s="499"/>
      <c r="F146" s="71"/>
      <c r="H146" s="7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</row>
    <row r="147" spans="2:34" hidden="1" x14ac:dyDescent="0.2">
      <c r="B147" s="260" t="s">
        <v>812</v>
      </c>
      <c r="C147" s="8" t="s">
        <v>813</v>
      </c>
      <c r="D147" s="501" t="s">
        <v>891</v>
      </c>
      <c r="E147" s="261"/>
      <c r="F147" s="2"/>
      <c r="H147" s="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2:34" hidden="1" x14ac:dyDescent="0.2">
      <c r="B148" s="260" t="s">
        <v>812</v>
      </c>
      <c r="C148" s="8" t="s">
        <v>814</v>
      </c>
      <c r="D148" s="501" t="s">
        <v>891</v>
      </c>
      <c r="E148" s="261"/>
      <c r="F148" s="2"/>
      <c r="H148" s="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2:34" hidden="1" x14ac:dyDescent="0.2">
      <c r="B149" s="260" t="s">
        <v>815</v>
      </c>
      <c r="C149" s="8" t="s">
        <v>816</v>
      </c>
      <c r="D149" s="501" t="s">
        <v>891</v>
      </c>
      <c r="E149" s="261"/>
      <c r="F149" s="2"/>
      <c r="H149" s="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2:34" hidden="1" x14ac:dyDescent="0.2">
      <c r="B150" s="260" t="s">
        <v>433</v>
      </c>
      <c r="C150" s="515" t="s">
        <v>892</v>
      </c>
      <c r="D150" s="501" t="s">
        <v>893</v>
      </c>
      <c r="E150" s="261"/>
      <c r="F150" s="2"/>
      <c r="G150" s="2"/>
      <c r="H150" s="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2:34" hidden="1" x14ac:dyDescent="0.2">
      <c r="B151" s="260" t="s">
        <v>529</v>
      </c>
      <c r="C151" s="8" t="s">
        <v>817</v>
      </c>
      <c r="D151" s="8"/>
      <c r="E151" s="261"/>
      <c r="F151" s="2"/>
      <c r="G151" s="2"/>
      <c r="H151" s="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2:34" ht="25.5" hidden="1" x14ac:dyDescent="0.2">
      <c r="B152" s="496" t="s">
        <v>818</v>
      </c>
      <c r="C152" s="281" t="s">
        <v>819</v>
      </c>
      <c r="D152" s="498" t="s">
        <v>820</v>
      </c>
      <c r="E152" s="499"/>
      <c r="F152" s="2"/>
      <c r="G152" s="7"/>
      <c r="H152" s="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2:34" hidden="1" x14ac:dyDescent="0.2">
      <c r="B153" s="260" t="s">
        <v>503</v>
      </c>
      <c r="C153" s="16" t="s">
        <v>821</v>
      </c>
      <c r="D153" s="501" t="s">
        <v>822</v>
      </c>
      <c r="E153" s="261"/>
      <c r="F153" s="2"/>
      <c r="G153" s="2"/>
      <c r="H153" s="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2:34" hidden="1" x14ac:dyDescent="0.2">
      <c r="B154" s="260" t="s">
        <v>503</v>
      </c>
      <c r="C154" s="16" t="s">
        <v>823</v>
      </c>
      <c r="D154" s="501"/>
      <c r="E154" s="261"/>
      <c r="F154" s="2"/>
      <c r="G154" s="2"/>
      <c r="H154" s="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2:34" hidden="1" x14ac:dyDescent="0.2">
      <c r="B155" s="260" t="s">
        <v>503</v>
      </c>
      <c r="C155" s="16" t="s">
        <v>824</v>
      </c>
      <c r="D155" s="501"/>
      <c r="E155" s="261"/>
      <c r="F155" s="2"/>
      <c r="G155" s="2"/>
      <c r="H155" s="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2:34" hidden="1" x14ac:dyDescent="0.2">
      <c r="B156" s="260" t="s">
        <v>503</v>
      </c>
      <c r="C156" s="16" t="s">
        <v>825</v>
      </c>
      <c r="D156" s="501"/>
      <c r="E156" s="261"/>
      <c r="F156" s="2"/>
      <c r="G156" s="2"/>
      <c r="H156" s="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2:34" hidden="1" x14ac:dyDescent="0.2">
      <c r="B157" s="260" t="s">
        <v>503</v>
      </c>
      <c r="C157" s="16" t="s">
        <v>826</v>
      </c>
      <c r="D157" s="501" t="s">
        <v>827</v>
      </c>
      <c r="E157" s="261"/>
      <c r="F157" s="2"/>
      <c r="G157" s="2"/>
      <c r="H157" s="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2:34" hidden="1" x14ac:dyDescent="0.2">
      <c r="B158" s="260" t="s">
        <v>503</v>
      </c>
      <c r="C158" s="16" t="s">
        <v>828</v>
      </c>
      <c r="D158" s="501"/>
      <c r="E158" s="261"/>
      <c r="F158" s="2"/>
      <c r="G158" s="2"/>
      <c r="H158" s="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2:34" hidden="1" x14ac:dyDescent="0.2">
      <c r="B159" s="260" t="s">
        <v>503</v>
      </c>
      <c r="C159" s="16" t="s">
        <v>829</v>
      </c>
      <c r="D159" s="501"/>
      <c r="E159" s="261"/>
      <c r="F159" s="2"/>
      <c r="G159" s="2"/>
      <c r="H159" s="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2:34" hidden="1" x14ac:dyDescent="0.2">
      <c r="B160" s="260" t="s">
        <v>503</v>
      </c>
      <c r="C160" s="16" t="s">
        <v>830</v>
      </c>
      <c r="D160" s="501"/>
      <c r="E160" s="261"/>
      <c r="F160" s="2"/>
      <c r="G160" s="2"/>
      <c r="H160" s="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2:34" hidden="1" x14ac:dyDescent="0.2">
      <c r="B161" s="260" t="s">
        <v>503</v>
      </c>
      <c r="C161" s="16" t="s">
        <v>831</v>
      </c>
      <c r="D161" s="501"/>
      <c r="E161" s="261"/>
      <c r="F161" s="2"/>
      <c r="G161" s="2"/>
      <c r="H161" s="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2:34" hidden="1" x14ac:dyDescent="0.2">
      <c r="B162" s="260" t="s">
        <v>503</v>
      </c>
      <c r="C162" s="16" t="s">
        <v>832</v>
      </c>
      <c r="D162" s="501"/>
      <c r="E162" s="261"/>
      <c r="F162" s="2"/>
      <c r="G162" s="2"/>
      <c r="H162" s="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2:34" hidden="1" x14ac:dyDescent="0.2">
      <c r="B163" s="260" t="s">
        <v>503</v>
      </c>
      <c r="C163" s="16" t="s">
        <v>833</v>
      </c>
      <c r="D163" s="501"/>
      <c r="E163" s="261"/>
      <c r="F163" s="2"/>
      <c r="G163" s="2"/>
      <c r="H163" s="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2:34" s="405" customFormat="1" ht="15" customHeight="1" x14ac:dyDescent="0.2">
      <c r="B164" s="496" t="s">
        <v>933</v>
      </c>
      <c r="C164" s="491" t="s">
        <v>934</v>
      </c>
      <c r="D164" s="510" t="s">
        <v>935</v>
      </c>
      <c r="E164" s="261">
        <v>1848</v>
      </c>
      <c r="F164" s="71"/>
      <c r="G164" s="71"/>
      <c r="H164" s="82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</row>
    <row r="165" spans="2:34" hidden="1" x14ac:dyDescent="0.2">
      <c r="B165" s="260" t="s">
        <v>432</v>
      </c>
      <c r="C165" s="16" t="s">
        <v>834</v>
      </c>
      <c r="D165" s="501" t="s">
        <v>765</v>
      </c>
      <c r="E165" s="261"/>
      <c r="F165" s="2"/>
      <c r="G165" s="2"/>
      <c r="H165" s="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2:34" hidden="1" x14ac:dyDescent="0.2">
      <c r="B166" s="260" t="s">
        <v>432</v>
      </c>
      <c r="C166" s="16" t="s">
        <v>835</v>
      </c>
      <c r="D166" s="501" t="s">
        <v>836</v>
      </c>
      <c r="E166" s="261"/>
      <c r="F166" s="2"/>
      <c r="G166" s="2"/>
      <c r="H166" s="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2:34" hidden="1" x14ac:dyDescent="0.2">
      <c r="B167" s="260" t="s">
        <v>432</v>
      </c>
      <c r="C167" s="8" t="s">
        <v>837</v>
      </c>
      <c r="D167" s="501" t="s">
        <v>765</v>
      </c>
      <c r="E167" s="261"/>
      <c r="F167" s="2"/>
      <c r="G167" s="2"/>
      <c r="H167" s="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2:34" ht="63.75" hidden="1" x14ac:dyDescent="0.2">
      <c r="B168" s="496" t="s">
        <v>432</v>
      </c>
      <c r="C168" s="521" t="s">
        <v>910</v>
      </c>
      <c r="D168" s="520" t="s">
        <v>905</v>
      </c>
      <c r="E168" s="499"/>
      <c r="F168" s="2"/>
      <c r="G168" s="7"/>
      <c r="H168" s="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2:34" ht="13.5" customHeight="1" x14ac:dyDescent="0.2">
      <c r="B169" s="260" t="s">
        <v>412</v>
      </c>
      <c r="C169" s="8" t="s">
        <v>838</v>
      </c>
      <c r="D169" s="501" t="s">
        <v>879</v>
      </c>
      <c r="E169" s="261">
        <v>6589</v>
      </c>
      <c r="F169" s="2"/>
      <c r="G169" s="7"/>
      <c r="H169" s="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2:34" ht="15" x14ac:dyDescent="0.25">
      <c r="B170" s="258" t="s">
        <v>839</v>
      </c>
      <c r="C170" s="22" t="s">
        <v>208</v>
      </c>
      <c r="D170" s="22"/>
      <c r="E170" s="262">
        <f>SUM(E171:E189)+E192+E193</f>
        <v>0</v>
      </c>
      <c r="F170" s="2"/>
      <c r="G170" s="2"/>
      <c r="H170" s="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2:34" s="405" customFormat="1" hidden="1" x14ac:dyDescent="0.2">
      <c r="B171" s="496" t="s">
        <v>233</v>
      </c>
      <c r="C171" s="8"/>
      <c r="D171" s="501" t="s">
        <v>840</v>
      </c>
      <c r="E171" s="261"/>
      <c r="F171" s="71"/>
      <c r="G171" s="71"/>
      <c r="H171" s="7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</row>
    <row r="172" spans="2:34" s="502" customFormat="1" ht="13.5" hidden="1" customHeight="1" x14ac:dyDescent="0.2">
      <c r="B172" s="496" t="s">
        <v>233</v>
      </c>
      <c r="C172" s="281"/>
      <c r="D172" s="501" t="s">
        <v>840</v>
      </c>
      <c r="E172" s="261"/>
      <c r="F172" s="7"/>
      <c r="G172" s="2"/>
      <c r="H172" s="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2:34" s="502" customFormat="1" hidden="1" x14ac:dyDescent="0.2">
      <c r="B173" s="496" t="s">
        <v>233</v>
      </c>
      <c r="C173" s="8"/>
      <c r="D173" s="501" t="s">
        <v>841</v>
      </c>
      <c r="E173" s="261"/>
      <c r="F173" s="7"/>
      <c r="G173" s="2"/>
      <c r="H173" s="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2:34" s="502" customFormat="1" hidden="1" x14ac:dyDescent="0.2">
      <c r="B174" s="496" t="s">
        <v>233</v>
      </c>
      <c r="C174" s="20"/>
      <c r="D174" s="501" t="s">
        <v>765</v>
      </c>
      <c r="E174" s="261"/>
      <c r="F174" s="7"/>
      <c r="G174" s="2"/>
      <c r="H174" s="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2:34" s="502" customFormat="1" hidden="1" x14ac:dyDescent="0.2">
      <c r="B175" s="496" t="s">
        <v>233</v>
      </c>
      <c r="C175" s="8" t="s">
        <v>842</v>
      </c>
      <c r="D175" s="501" t="s">
        <v>765</v>
      </c>
      <c r="E175" s="261">
        <v>0</v>
      </c>
      <c r="F175" s="7"/>
      <c r="G175" s="2"/>
      <c r="H175" s="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2:34" s="502" customFormat="1" ht="13.5" hidden="1" customHeight="1" x14ac:dyDescent="0.2">
      <c r="B176" s="496" t="s">
        <v>233</v>
      </c>
      <c r="C176" s="8" t="s">
        <v>843</v>
      </c>
      <c r="D176" s="501" t="s">
        <v>765</v>
      </c>
      <c r="E176" s="261">
        <v>0</v>
      </c>
      <c r="F176" s="7"/>
      <c r="G176" s="2"/>
      <c r="H176" s="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2:34" s="502" customFormat="1" hidden="1" x14ac:dyDescent="0.2">
      <c r="B177" s="496" t="s">
        <v>449</v>
      </c>
      <c r="C177" s="8" t="s">
        <v>844</v>
      </c>
      <c r="D177" s="501" t="s">
        <v>765</v>
      </c>
      <c r="E177" s="261">
        <v>0</v>
      </c>
      <c r="F177" s="7"/>
      <c r="G177" s="2"/>
      <c r="H177" s="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2:34" s="502" customFormat="1" hidden="1" x14ac:dyDescent="0.2">
      <c r="B178" s="496" t="s">
        <v>449</v>
      </c>
      <c r="C178" s="8" t="s">
        <v>909</v>
      </c>
      <c r="D178" s="501" t="s">
        <v>877</v>
      </c>
      <c r="E178" s="261"/>
      <c r="F178" s="7"/>
      <c r="G178" s="2"/>
      <c r="H178" s="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2:34" s="502" customFormat="1" ht="13.5" hidden="1" customHeight="1" x14ac:dyDescent="0.2">
      <c r="B179" s="496" t="s">
        <v>449</v>
      </c>
      <c r="C179" s="8"/>
      <c r="D179" s="501" t="s">
        <v>765</v>
      </c>
      <c r="E179" s="261"/>
      <c r="F179" s="7"/>
      <c r="G179" s="2"/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2:34" s="502" customFormat="1" ht="13.5" hidden="1" customHeight="1" x14ac:dyDescent="0.2">
      <c r="B180" s="496" t="s">
        <v>449</v>
      </c>
      <c r="C180" s="8"/>
      <c r="D180" s="501" t="s">
        <v>765</v>
      </c>
      <c r="E180" s="261"/>
      <c r="F180" s="7"/>
      <c r="G180" s="2"/>
      <c r="H180" s="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2:34" s="502" customFormat="1" ht="13.5" hidden="1" customHeight="1" x14ac:dyDescent="0.2">
      <c r="B181" s="496" t="s">
        <v>449</v>
      </c>
      <c r="C181" s="8" t="s">
        <v>845</v>
      </c>
      <c r="D181" s="8"/>
      <c r="E181" s="261">
        <v>0</v>
      </c>
      <c r="F181" s="7"/>
      <c r="G181" s="2"/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2:34" s="502" customFormat="1" ht="13.5" hidden="1" customHeight="1" x14ac:dyDescent="0.2">
      <c r="B182" s="496" t="s">
        <v>449</v>
      </c>
      <c r="C182" s="8" t="s">
        <v>846</v>
      </c>
      <c r="D182" s="8"/>
      <c r="E182" s="261">
        <v>0</v>
      </c>
      <c r="F182" s="7"/>
      <c r="G182" s="2"/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2:34" s="502" customFormat="1" ht="13.5" hidden="1" customHeight="1" x14ac:dyDescent="0.2">
      <c r="B183" s="496"/>
      <c r="C183" s="8"/>
      <c r="D183" s="8"/>
      <c r="E183" s="261">
        <v>0</v>
      </c>
      <c r="F183" s="7"/>
      <c r="G183" s="2"/>
      <c r="H183" s="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2:34" s="502" customFormat="1" hidden="1" x14ac:dyDescent="0.2">
      <c r="B184" s="496"/>
      <c r="C184" s="20" t="s">
        <v>847</v>
      </c>
      <c r="D184" s="20"/>
      <c r="E184" s="261">
        <v>0</v>
      </c>
      <c r="F184" s="7"/>
      <c r="G184" s="2"/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2:34" s="502" customFormat="1" ht="13.5" hidden="1" customHeight="1" x14ac:dyDescent="0.2">
      <c r="B185" s="496"/>
      <c r="C185" s="8"/>
      <c r="D185" s="8"/>
      <c r="E185" s="261">
        <v>0</v>
      </c>
      <c r="F185" s="7"/>
      <c r="G185" s="2"/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2:34" s="502" customFormat="1" ht="13.5" hidden="1" customHeight="1" x14ac:dyDescent="0.2">
      <c r="B186" s="496" t="s">
        <v>848</v>
      </c>
      <c r="C186" s="8" t="s">
        <v>849</v>
      </c>
      <c r="D186" s="8"/>
      <c r="E186" s="261">
        <v>0</v>
      </c>
      <c r="F186" s="7"/>
      <c r="G186" s="2"/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2:34" s="502" customFormat="1" ht="13.5" hidden="1" customHeight="1" x14ac:dyDescent="0.2">
      <c r="B187" s="496" t="s">
        <v>848</v>
      </c>
      <c r="C187" s="8" t="s">
        <v>850</v>
      </c>
      <c r="D187" s="8"/>
      <c r="E187" s="261">
        <v>0</v>
      </c>
      <c r="F187" s="2"/>
      <c r="G187" s="2"/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2:34" s="502" customFormat="1" ht="13.5" hidden="1" customHeight="1" x14ac:dyDescent="0.2">
      <c r="B188" s="496" t="s">
        <v>848</v>
      </c>
      <c r="C188" s="8" t="s">
        <v>851</v>
      </c>
      <c r="D188" s="8"/>
      <c r="E188" s="261">
        <v>0</v>
      </c>
      <c r="F188" s="2"/>
      <c r="G188" s="2"/>
      <c r="H188" s="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2:34" s="502" customFormat="1" ht="13.5" customHeight="1" x14ac:dyDescent="0.25">
      <c r="B189" s="260" t="s">
        <v>556</v>
      </c>
      <c r="C189" s="511" t="s">
        <v>852</v>
      </c>
      <c r="D189" s="511"/>
      <c r="E189" s="512">
        <f>SUM(E190:E191)</f>
        <v>0</v>
      </c>
      <c r="F189" s="2"/>
      <c r="G189" s="2"/>
      <c r="H189" s="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2:34" s="502" customFormat="1" ht="13.5" hidden="1" customHeight="1" x14ac:dyDescent="0.2">
      <c r="B190" s="260" t="s">
        <v>853</v>
      </c>
      <c r="C190" s="20" t="s">
        <v>854</v>
      </c>
      <c r="D190" s="20"/>
      <c r="E190" s="261">
        <v>0</v>
      </c>
      <c r="F190" s="2"/>
      <c r="G190" s="2"/>
      <c r="H190" s="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2:34" s="502" customFormat="1" ht="13.5" hidden="1" customHeight="1" x14ac:dyDescent="0.2">
      <c r="B191" s="260" t="s">
        <v>853</v>
      </c>
      <c r="C191" s="20" t="s">
        <v>855</v>
      </c>
      <c r="D191" s="20"/>
      <c r="E191" s="261">
        <v>0</v>
      </c>
      <c r="F191" s="2"/>
      <c r="G191" s="2"/>
      <c r="H191" s="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2:34" s="502" customFormat="1" ht="13.5" hidden="1" customHeight="1" x14ac:dyDescent="0.2">
      <c r="B192" s="260"/>
      <c r="C192" s="8" t="s">
        <v>856</v>
      </c>
      <c r="D192" s="8"/>
      <c r="E192" s="261">
        <v>0</v>
      </c>
      <c r="F192" s="2"/>
      <c r="G192" s="7">
        <f>'[3]3.felh'!H99</f>
        <v>0</v>
      </c>
      <c r="H192" s="7"/>
      <c r="I192" s="7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2:34" s="502" customFormat="1" ht="13.5" hidden="1" customHeight="1" x14ac:dyDescent="0.2">
      <c r="B193" s="260"/>
      <c r="C193" s="8" t="s">
        <v>857</v>
      </c>
      <c r="D193" s="8"/>
      <c r="E193" s="261">
        <v>0</v>
      </c>
      <c r="F193" s="2"/>
      <c r="G193" s="2"/>
      <c r="H193" s="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2:34" ht="16.5" customHeight="1" thickBot="1" x14ac:dyDescent="0.3">
      <c r="B194" s="258" t="s">
        <v>187</v>
      </c>
      <c r="C194" s="203" t="s">
        <v>351</v>
      </c>
      <c r="D194" s="203"/>
      <c r="E194" s="269">
        <f>SUM(E195:E196)</f>
        <v>0</v>
      </c>
      <c r="F194" s="2"/>
      <c r="G194" s="2"/>
      <c r="H194" s="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2:34" s="502" customFormat="1" ht="13.5" hidden="1" customHeight="1" x14ac:dyDescent="0.2">
      <c r="B195" s="264" t="s">
        <v>363</v>
      </c>
      <c r="C195" s="8" t="s">
        <v>563</v>
      </c>
      <c r="D195" s="501" t="s">
        <v>755</v>
      </c>
      <c r="E195" s="261"/>
      <c r="F195" s="2"/>
      <c r="G195" s="2"/>
      <c r="H195" s="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2:34" s="502" customFormat="1" ht="13.5" hidden="1" customHeight="1" thickBot="1" x14ac:dyDescent="0.25">
      <c r="B196" s="264" t="s">
        <v>858</v>
      </c>
      <c r="C196" s="193" t="s">
        <v>859</v>
      </c>
      <c r="D196" s="501" t="s">
        <v>860</v>
      </c>
      <c r="E196" s="261"/>
      <c r="F196" s="2"/>
      <c r="G196" s="2"/>
      <c r="H196" s="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2:34" ht="20.25" thickBot="1" x14ac:dyDescent="0.4">
      <c r="B197" s="507"/>
      <c r="C197" s="47" t="s">
        <v>861</v>
      </c>
      <c r="D197" s="513"/>
      <c r="E197" s="44">
        <f>SUM(E77+E194)</f>
        <v>10467</v>
      </c>
      <c r="F197" s="7">
        <f>E76-E197</f>
        <v>0</v>
      </c>
      <c r="G197" s="7"/>
      <c r="H197" s="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2:34" ht="15.75" customHeight="1" x14ac:dyDescent="0.2">
      <c r="E198" s="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2:34" ht="15.75" hidden="1" customHeight="1" x14ac:dyDescent="0.2">
      <c r="E199" s="74">
        <f>E76-E197</f>
        <v>0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2:34" ht="15.75" customHeight="1" x14ac:dyDescent="0.2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2:34" ht="15.75" customHeight="1" x14ac:dyDescent="0.2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2:34" ht="15.75" customHeight="1" x14ac:dyDescent="0.2">
      <c r="B20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2:34" ht="15.75" customHeight="1" x14ac:dyDescent="0.2">
      <c r="B2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2:34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2:34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2:34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2:34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2:34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2:34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2:34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2:34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2:34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2:34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2:34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2:34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2:34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2:34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2:34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2:34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2:34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2:34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2:34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2:34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2:34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2:34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2:34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2:34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2:34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2:34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2:34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2:34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2:34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2:34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2:34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2:34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2:34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2:34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2:34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2:34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2:34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2:34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2:34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2:34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2:34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2:34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2:34" ht="15.75" customHeight="1" x14ac:dyDescent="0.2">
      <c r="B24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2:34" ht="15.75" customHeight="1" x14ac:dyDescent="0.2">
      <c r="B24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2:34" ht="15.75" customHeight="1" x14ac:dyDescent="0.2">
      <c r="B2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2:34" ht="15.75" customHeight="1" x14ac:dyDescent="0.2">
      <c r="B2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2:34" ht="15.75" customHeight="1" x14ac:dyDescent="0.2">
      <c r="B25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2:34" ht="15.75" customHeight="1" x14ac:dyDescent="0.2"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2:34" ht="15.75" customHeight="1" x14ac:dyDescent="0.2">
      <c r="B25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2:34" ht="15.75" customHeight="1" x14ac:dyDescent="0.2">
      <c r="B25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2:34" ht="15.75" customHeight="1" x14ac:dyDescent="0.2">
      <c r="B25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2:34" ht="15.75" customHeight="1" x14ac:dyDescent="0.2">
      <c r="B25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2:34" ht="15.75" customHeight="1" x14ac:dyDescent="0.2">
      <c r="B25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2:34" ht="15.75" customHeight="1" x14ac:dyDescent="0.2">
      <c r="B25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2:34" ht="15.75" customHeight="1" x14ac:dyDescent="0.2">
      <c r="B25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2:34" ht="15.75" customHeight="1" x14ac:dyDescent="0.2">
      <c r="B25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2:34" ht="15.75" customHeight="1" x14ac:dyDescent="0.2">
      <c r="B26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2:34" ht="15.75" customHeight="1" x14ac:dyDescent="0.2">
      <c r="B26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2:34" ht="15.75" customHeight="1" x14ac:dyDescent="0.2">
      <c r="B26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2:34" ht="15.75" customHeight="1" x14ac:dyDescent="0.2">
      <c r="B2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2:34" ht="15.75" customHeight="1" x14ac:dyDescent="0.2">
      <c r="B26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2:34" ht="15.75" customHeight="1" x14ac:dyDescent="0.2">
      <c r="B26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2:34" ht="15.75" customHeight="1" x14ac:dyDescent="0.2">
      <c r="B26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2:34" ht="15.75" customHeight="1" x14ac:dyDescent="0.2">
      <c r="B26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2:34" ht="15.75" customHeight="1" x14ac:dyDescent="0.2">
      <c r="B26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2:34" ht="15.75" customHeight="1" x14ac:dyDescent="0.2">
      <c r="B26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2:34" ht="15.75" customHeight="1" x14ac:dyDescent="0.2">
      <c r="B27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2:34" ht="15.75" customHeight="1" x14ac:dyDescent="0.2">
      <c r="B27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2:34" ht="15.75" customHeight="1" x14ac:dyDescent="0.2">
      <c r="B27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2:34" ht="15.75" customHeight="1" x14ac:dyDescent="0.2">
      <c r="B27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2:34" ht="15.75" customHeight="1" x14ac:dyDescent="0.2">
      <c r="B27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2:34" ht="15.75" customHeight="1" x14ac:dyDescent="0.2">
      <c r="B27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2:34" ht="15.75" customHeight="1" x14ac:dyDescent="0.2">
      <c r="B27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2:34" ht="15.75" customHeight="1" x14ac:dyDescent="0.2">
      <c r="B27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2:34" ht="15.75" customHeight="1" x14ac:dyDescent="0.2">
      <c r="B278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2:34" ht="15.75" customHeight="1" x14ac:dyDescent="0.2">
      <c r="B279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2:34" ht="15.75" customHeight="1" x14ac:dyDescent="0.2">
      <c r="B280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2:34" ht="15.75" customHeight="1" x14ac:dyDescent="0.2">
      <c r="B28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2:34" ht="15.75" customHeight="1" x14ac:dyDescent="0.2">
      <c r="B282"/>
      <c r="C282" s="2"/>
      <c r="D282" s="2"/>
      <c r="E282" s="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2:34" ht="15.75" customHeight="1" x14ac:dyDescent="0.2">
      <c r="B283"/>
      <c r="C283" s="2"/>
      <c r="D283" s="2"/>
      <c r="E283" s="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2:34" ht="15.75" customHeight="1" x14ac:dyDescent="0.2">
      <c r="B284"/>
      <c r="C284" s="2"/>
      <c r="D284" s="2"/>
      <c r="E284" s="2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2:34" ht="15.75" customHeight="1" x14ac:dyDescent="0.2">
      <c r="B285"/>
      <c r="C285" s="2"/>
      <c r="D285" s="2"/>
      <c r="E285" s="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2:34" ht="15.75" customHeight="1" x14ac:dyDescent="0.2">
      <c r="B286"/>
      <c r="C286" s="2"/>
      <c r="D286" s="2"/>
      <c r="E286" s="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2:34" ht="15.75" customHeight="1" x14ac:dyDescent="0.2">
      <c r="B287"/>
      <c r="C287" s="2"/>
      <c r="D287" s="2"/>
      <c r="E287" s="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2:34" ht="15.75" customHeight="1" x14ac:dyDescent="0.2">
      <c r="B288"/>
      <c r="C288" s="2"/>
      <c r="D288" s="2"/>
      <c r="E288" s="2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2:34" ht="15.75" customHeight="1" x14ac:dyDescent="0.2">
      <c r="B289"/>
      <c r="C289" s="2"/>
      <c r="D289" s="2"/>
      <c r="E289" s="2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2:34" ht="15.75" customHeight="1" x14ac:dyDescent="0.2">
      <c r="B290"/>
      <c r="C290" s="2"/>
      <c r="D290" s="2"/>
      <c r="E290" s="2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2:34" ht="15.75" customHeight="1" x14ac:dyDescent="0.2">
      <c r="B291"/>
      <c r="C291" s="2"/>
      <c r="D291" s="2"/>
      <c r="E291" s="2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2:34" ht="15.75" customHeight="1" x14ac:dyDescent="0.2">
      <c r="B292"/>
      <c r="C292" s="2"/>
      <c r="D292" s="2"/>
      <c r="E292" s="2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2:34" ht="15.75" customHeight="1" x14ac:dyDescent="0.2">
      <c r="B293"/>
      <c r="C293" s="2"/>
      <c r="D293" s="2"/>
      <c r="E293" s="2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2:34" ht="15.75" customHeight="1" x14ac:dyDescent="0.2">
      <c r="B294"/>
      <c r="C294" s="2"/>
      <c r="D294" s="2"/>
      <c r="E294" s="2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2:34" ht="15.75" customHeight="1" x14ac:dyDescent="0.2">
      <c r="B295"/>
      <c r="C295" s="2"/>
      <c r="D295" s="2"/>
      <c r="E295" s="2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2:34" ht="15.75" customHeight="1" x14ac:dyDescent="0.2">
      <c r="B296"/>
      <c r="C296" s="2"/>
      <c r="D296" s="2"/>
      <c r="E296" s="2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2:34" ht="15.75" customHeight="1" x14ac:dyDescent="0.2">
      <c r="B297"/>
      <c r="C297" s="2"/>
      <c r="D297" s="2"/>
      <c r="E297" s="2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2:34" ht="15.75" customHeight="1" x14ac:dyDescent="0.2">
      <c r="B298"/>
      <c r="C298" s="2"/>
      <c r="D298" s="2"/>
      <c r="E298" s="2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2:34" ht="15.75" customHeight="1" x14ac:dyDescent="0.2">
      <c r="B299"/>
      <c r="C299" s="2"/>
      <c r="D299" s="2"/>
      <c r="E299" s="2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2:34" ht="15.75" customHeight="1" x14ac:dyDescent="0.2">
      <c r="B300"/>
      <c r="C300" s="2"/>
      <c r="D300" s="2"/>
      <c r="E300" s="2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2:34" ht="15.75" customHeight="1" x14ac:dyDescent="0.2">
      <c r="B301"/>
      <c r="C301" s="2"/>
      <c r="D301" s="2"/>
      <c r="E301" s="2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2:34" ht="15.75" customHeight="1" x14ac:dyDescent="0.2">
      <c r="B302"/>
      <c r="C302" s="2"/>
      <c r="D302" s="2"/>
      <c r="E302" s="2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2:34" ht="15.75" customHeight="1" x14ac:dyDescent="0.2">
      <c r="B303"/>
      <c r="C303" s="2"/>
      <c r="D303" s="2"/>
      <c r="E303" s="2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2:34" ht="15.75" customHeight="1" x14ac:dyDescent="0.2">
      <c r="B304"/>
      <c r="C304" s="2"/>
      <c r="D304" s="2"/>
      <c r="E304" s="2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2:34" ht="15.75" customHeight="1" x14ac:dyDescent="0.2">
      <c r="B305"/>
      <c r="C305" s="2"/>
      <c r="D305" s="2"/>
      <c r="E305" s="2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2:34" ht="15.75" customHeight="1" x14ac:dyDescent="0.2">
      <c r="B306"/>
      <c r="C306" s="2"/>
      <c r="D306" s="2"/>
      <c r="E306" s="2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2:34" ht="15.75" customHeight="1" x14ac:dyDescent="0.2">
      <c r="B307"/>
      <c r="C307" s="2"/>
      <c r="D307" s="2"/>
      <c r="E307" s="2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2:34" ht="15.75" customHeight="1" x14ac:dyDescent="0.2">
      <c r="B308"/>
      <c r="C308" s="2"/>
      <c r="D308" s="2"/>
      <c r="E308" s="2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2:34" ht="15.75" customHeight="1" x14ac:dyDescent="0.2">
      <c r="B309"/>
      <c r="C309" s="2"/>
      <c r="D309" s="2"/>
      <c r="E309" s="2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2:34" ht="15.75" customHeight="1" x14ac:dyDescent="0.2">
      <c r="B310"/>
      <c r="C310" s="2"/>
      <c r="D310" s="2"/>
      <c r="E310" s="2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2:34" ht="15.75" customHeight="1" x14ac:dyDescent="0.2">
      <c r="B311"/>
      <c r="C311" s="2"/>
      <c r="D311" s="2"/>
      <c r="E311" s="2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2:34" ht="15.75" customHeight="1" x14ac:dyDescent="0.2">
      <c r="B312"/>
      <c r="C312" s="2"/>
      <c r="D312" s="2"/>
      <c r="E312" s="2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2:34" ht="15.75" customHeight="1" x14ac:dyDescent="0.2">
      <c r="B313"/>
      <c r="C313" s="2"/>
      <c r="D313" s="2"/>
      <c r="E313" s="2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2:34" ht="15.75" customHeight="1" x14ac:dyDescent="0.2">
      <c r="B314"/>
      <c r="C314" s="2"/>
      <c r="D314" s="2"/>
      <c r="E314" s="2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2:34" ht="15.75" customHeight="1" x14ac:dyDescent="0.2">
      <c r="B315"/>
      <c r="C315" s="2"/>
      <c r="D315" s="2"/>
      <c r="E315" s="2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2:34" ht="15.75" customHeight="1" x14ac:dyDescent="0.2">
      <c r="B316"/>
      <c r="C316" s="2"/>
      <c r="D316" s="2"/>
      <c r="E316" s="2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2:34" ht="15.75" customHeight="1" x14ac:dyDescent="0.2">
      <c r="B317"/>
      <c r="C317" s="2"/>
      <c r="D317" s="2"/>
      <c r="E317" s="2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2:34" ht="15.75" customHeight="1" x14ac:dyDescent="0.2">
      <c r="B318"/>
      <c r="C318" s="2"/>
      <c r="D318" s="2"/>
      <c r="E318" s="2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2:34" ht="15.75" customHeight="1" x14ac:dyDescent="0.2">
      <c r="B319"/>
      <c r="C319" s="2"/>
      <c r="D319" s="2"/>
      <c r="E319" s="2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2:34" ht="15.75" customHeight="1" x14ac:dyDescent="0.2">
      <c r="B320"/>
      <c r="C320" s="2"/>
      <c r="D320" s="2"/>
      <c r="E320" s="2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2:34" ht="15.75" customHeight="1" x14ac:dyDescent="0.2">
      <c r="B321"/>
      <c r="C321" s="2"/>
      <c r="D321" s="2"/>
      <c r="E321" s="2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2:34" ht="15.75" customHeight="1" x14ac:dyDescent="0.2">
      <c r="B322"/>
      <c r="C322" s="2"/>
      <c r="D322" s="2"/>
      <c r="E322" s="2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2:34" ht="15.75" customHeight="1" x14ac:dyDescent="0.2">
      <c r="B323"/>
      <c r="C323" s="2"/>
      <c r="D323" s="2"/>
      <c r="E323" s="2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2:34" ht="15.75" customHeight="1" x14ac:dyDescent="0.2">
      <c r="B324"/>
      <c r="C324" s="2"/>
      <c r="D324" s="2"/>
      <c r="E324" s="2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2:34" ht="15.75" customHeight="1" x14ac:dyDescent="0.2">
      <c r="B325"/>
      <c r="C325" s="2"/>
      <c r="D325" s="2"/>
      <c r="E325" s="2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2:34" ht="15.75" customHeight="1" x14ac:dyDescent="0.2">
      <c r="B326"/>
      <c r="C326" s="2"/>
      <c r="D326" s="2"/>
      <c r="E326" s="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2:34" ht="15.75" customHeight="1" x14ac:dyDescent="0.2">
      <c r="B327"/>
      <c r="C327" s="2"/>
      <c r="D327" s="2"/>
      <c r="E327" s="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2:34" ht="15.75" customHeight="1" x14ac:dyDescent="0.2">
      <c r="B328"/>
      <c r="C328" s="2"/>
      <c r="D328" s="2"/>
      <c r="E328" s="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2:34" ht="15.75" customHeight="1" x14ac:dyDescent="0.2">
      <c r="B329"/>
      <c r="C329" s="2"/>
      <c r="D329" s="2"/>
      <c r="E329" s="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2:34" ht="15.75" customHeight="1" x14ac:dyDescent="0.2">
      <c r="B330"/>
      <c r="C330" s="2"/>
      <c r="D330" s="2"/>
      <c r="E330" s="2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2:34" ht="15.75" customHeight="1" x14ac:dyDescent="0.2">
      <c r="B331"/>
      <c r="C331" s="2"/>
      <c r="D331" s="2"/>
      <c r="E331" s="2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2:34" ht="15.75" customHeight="1" x14ac:dyDescent="0.2">
      <c r="B332"/>
      <c r="C332" s="2"/>
      <c r="D332" s="2"/>
      <c r="E332" s="2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2:34" ht="15.75" customHeight="1" x14ac:dyDescent="0.2">
      <c r="B333"/>
      <c r="C333" s="2"/>
      <c r="D333" s="2"/>
      <c r="E333" s="2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2:34" ht="15.75" customHeight="1" x14ac:dyDescent="0.2">
      <c r="B334"/>
      <c r="C334" s="2"/>
      <c r="D334" s="2"/>
      <c r="E334" s="2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2:34" ht="15.75" customHeight="1" x14ac:dyDescent="0.2">
      <c r="B335"/>
      <c r="C335" s="2"/>
      <c r="D335" s="2"/>
      <c r="E335" s="2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2:34" ht="15.75" customHeight="1" x14ac:dyDescent="0.2">
      <c r="B336"/>
      <c r="C336" s="2"/>
      <c r="D336" s="2"/>
      <c r="E336" s="2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2:34" ht="15.75" customHeight="1" x14ac:dyDescent="0.2">
      <c r="B337"/>
      <c r="C337" s="2"/>
      <c r="D337" s="2"/>
      <c r="E337" s="2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2:34" ht="15.75" customHeight="1" x14ac:dyDescent="0.2">
      <c r="B338"/>
      <c r="C338" s="2"/>
      <c r="D338" s="2"/>
      <c r="E338" s="2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2:34" ht="15.75" customHeight="1" x14ac:dyDescent="0.2">
      <c r="B339"/>
      <c r="C339" s="2"/>
      <c r="D339" s="2"/>
      <c r="E339" s="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2:34" ht="15.75" customHeight="1" x14ac:dyDescent="0.2">
      <c r="B340"/>
      <c r="C340" s="2"/>
      <c r="D340" s="2"/>
      <c r="E340" s="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2:34" ht="15.75" customHeight="1" x14ac:dyDescent="0.2">
      <c r="B341"/>
      <c r="C341" s="2"/>
      <c r="D341" s="2"/>
      <c r="E341" s="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2:34" ht="15.75" customHeight="1" x14ac:dyDescent="0.2">
      <c r="B342"/>
      <c r="C342" s="2"/>
      <c r="D342" s="2"/>
      <c r="E342" s="2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2:34" ht="15.75" customHeight="1" x14ac:dyDescent="0.2">
      <c r="B343"/>
      <c r="C343" s="2"/>
      <c r="D343" s="2"/>
      <c r="E343" s="2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2:34" ht="15.75" customHeight="1" x14ac:dyDescent="0.2">
      <c r="B344"/>
      <c r="C344" s="2"/>
      <c r="D344" s="2"/>
      <c r="E344" s="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2:34" ht="15.75" customHeight="1" x14ac:dyDescent="0.2">
      <c r="B345"/>
      <c r="C345" s="2"/>
      <c r="D345" s="2"/>
      <c r="E345" s="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2:34" ht="15.75" customHeight="1" x14ac:dyDescent="0.2">
      <c r="B346"/>
      <c r="C346" s="2"/>
      <c r="D346" s="2"/>
      <c r="E346" s="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2:34" ht="15.75" customHeight="1" x14ac:dyDescent="0.2">
      <c r="B347"/>
      <c r="C347" s="2"/>
      <c r="D347" s="2"/>
      <c r="E347" s="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2:34" ht="15.75" customHeight="1" x14ac:dyDescent="0.2">
      <c r="B348"/>
      <c r="C348" s="2"/>
      <c r="D348" s="2"/>
      <c r="E348" s="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2:34" ht="15.75" customHeight="1" x14ac:dyDescent="0.2">
      <c r="B349"/>
      <c r="C349" s="2"/>
      <c r="D349" s="2"/>
      <c r="E349" s="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2:34" ht="15.75" customHeight="1" x14ac:dyDescent="0.2">
      <c r="B350"/>
      <c r="C350" s="2"/>
      <c r="D350" s="2"/>
      <c r="E350" s="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2:34" ht="15.75" customHeight="1" x14ac:dyDescent="0.2">
      <c r="B351"/>
      <c r="C351" s="2"/>
      <c r="D351" s="2"/>
      <c r="E351" s="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2:34" ht="15.75" customHeight="1" x14ac:dyDescent="0.2">
      <c r="B352"/>
      <c r="C352" s="2"/>
      <c r="D352" s="2"/>
      <c r="E352" s="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2:34" ht="15.75" customHeight="1" x14ac:dyDescent="0.2">
      <c r="B353"/>
      <c r="C353" s="2"/>
      <c r="D353" s="2"/>
      <c r="E353" s="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2:34" ht="15.75" customHeight="1" x14ac:dyDescent="0.2">
      <c r="B354"/>
      <c r="C354" s="2"/>
      <c r="D354" s="2"/>
      <c r="E354" s="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2:34" ht="15.75" customHeight="1" x14ac:dyDescent="0.2">
      <c r="B355"/>
      <c r="C355" s="2"/>
      <c r="D355" s="2"/>
      <c r="E355" s="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2:34" ht="15.75" customHeight="1" x14ac:dyDescent="0.2">
      <c r="B356"/>
      <c r="C356" s="2"/>
      <c r="D356" s="2"/>
      <c r="E356" s="2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2:34" ht="15.75" customHeight="1" x14ac:dyDescent="0.2">
      <c r="B357"/>
      <c r="C357" s="2"/>
      <c r="D357" s="2"/>
      <c r="E357" s="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2:34" ht="15.75" customHeight="1" x14ac:dyDescent="0.2">
      <c r="B358"/>
      <c r="C358" s="2"/>
      <c r="D358" s="2"/>
      <c r="E358" s="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2:34" ht="15.75" customHeight="1" x14ac:dyDescent="0.2">
      <c r="B359"/>
      <c r="C359" s="2"/>
      <c r="D359" s="2"/>
      <c r="E359" s="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2:34" ht="15.75" customHeight="1" x14ac:dyDescent="0.2">
      <c r="B360"/>
      <c r="C360" s="2"/>
      <c r="D360" s="2"/>
      <c r="E360" s="2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2:34" ht="15.75" customHeight="1" x14ac:dyDescent="0.2">
      <c r="B361"/>
      <c r="C361" s="2"/>
      <c r="D361" s="2"/>
      <c r="E361" s="2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2:34" ht="15.75" customHeight="1" x14ac:dyDescent="0.2">
      <c r="B362"/>
      <c r="C362" s="2"/>
      <c r="D362" s="2"/>
      <c r="E362" s="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2:34" ht="15.75" customHeight="1" x14ac:dyDescent="0.2">
      <c r="B363"/>
      <c r="C363" s="2"/>
      <c r="D363" s="2"/>
      <c r="E363" s="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2:34" ht="15.75" customHeight="1" x14ac:dyDescent="0.2">
      <c r="B364"/>
      <c r="C364" s="2"/>
      <c r="D364" s="2"/>
      <c r="E364" s="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2:34" ht="15.75" customHeight="1" x14ac:dyDescent="0.2">
      <c r="B365"/>
      <c r="C365" s="2"/>
      <c r="D365" s="2"/>
      <c r="E365" s="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2:34" ht="15.75" customHeight="1" x14ac:dyDescent="0.2">
      <c r="B366"/>
      <c r="C366" s="2"/>
      <c r="D366" s="2"/>
      <c r="E366" s="2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2:34" ht="15.75" customHeight="1" x14ac:dyDescent="0.2">
      <c r="B367"/>
      <c r="C367" s="2"/>
      <c r="D367" s="2"/>
      <c r="E367" s="2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2:34" ht="15.75" customHeight="1" x14ac:dyDescent="0.2">
      <c r="B368"/>
      <c r="C368" s="2"/>
      <c r="D368" s="2"/>
      <c r="E368" s="2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2:34" ht="15.75" customHeight="1" x14ac:dyDescent="0.2">
      <c r="B369"/>
      <c r="C369" s="2"/>
      <c r="D369" s="2"/>
      <c r="E369" s="2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2:34" ht="15.75" customHeight="1" x14ac:dyDescent="0.2">
      <c r="B370"/>
      <c r="C370" s="2"/>
      <c r="D370" s="2"/>
      <c r="E370" s="2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2:34" ht="15.75" customHeight="1" x14ac:dyDescent="0.2">
      <c r="B371"/>
      <c r="C371" s="2"/>
      <c r="D371" s="2"/>
      <c r="E371" s="2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2:34" ht="15.75" customHeight="1" x14ac:dyDescent="0.2">
      <c r="B372"/>
      <c r="C372" s="2"/>
      <c r="D372" s="2"/>
      <c r="E372" s="2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2:34" ht="15.75" customHeight="1" x14ac:dyDescent="0.2">
      <c r="B373"/>
      <c r="C373" s="2"/>
      <c r="D373" s="2"/>
      <c r="E373" s="2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2:34" ht="15.75" customHeight="1" x14ac:dyDescent="0.2">
      <c r="B374"/>
      <c r="C374" s="2"/>
      <c r="D374" s="2"/>
      <c r="E374" s="28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2:34" ht="15.75" customHeight="1" x14ac:dyDescent="0.2">
      <c r="B375"/>
      <c r="C375" s="2"/>
      <c r="D375" s="2"/>
      <c r="E375" s="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2:34" ht="15.75" customHeight="1" x14ac:dyDescent="0.2">
      <c r="B376"/>
      <c r="C376" s="2"/>
      <c r="D376" s="2"/>
      <c r="E376" s="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2:34" ht="15.75" customHeight="1" x14ac:dyDescent="0.2">
      <c r="B377"/>
      <c r="C377" s="2"/>
      <c r="D377" s="2"/>
      <c r="E377" s="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2:34" ht="15.75" customHeight="1" x14ac:dyDescent="0.2">
      <c r="B378"/>
      <c r="C378" s="2"/>
      <c r="D378" s="2"/>
      <c r="E378" s="28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2:34" ht="15.75" customHeight="1" x14ac:dyDescent="0.2">
      <c r="B379"/>
      <c r="C379" s="2"/>
      <c r="D379" s="2"/>
      <c r="E379" s="28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2:34" ht="15.75" customHeight="1" x14ac:dyDescent="0.2">
      <c r="B380"/>
      <c r="C380" s="2"/>
      <c r="D380" s="2"/>
      <c r="E380" s="2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2:34" ht="15.75" customHeight="1" x14ac:dyDescent="0.2">
      <c r="B381"/>
      <c r="C381" s="2"/>
      <c r="D381" s="2"/>
      <c r="E381" s="2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2:34" ht="15.75" customHeight="1" x14ac:dyDescent="0.2">
      <c r="B382"/>
      <c r="C382" s="2"/>
      <c r="D382" s="2"/>
      <c r="E382" s="2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2:34" ht="15.75" customHeight="1" x14ac:dyDescent="0.2">
      <c r="B383"/>
      <c r="C383" s="2"/>
      <c r="D383" s="2"/>
      <c r="E383" s="2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2:34" ht="15.75" customHeight="1" x14ac:dyDescent="0.2">
      <c r="B384"/>
      <c r="C384" s="2"/>
      <c r="D384" s="2"/>
      <c r="E384" s="2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2:34" ht="15.75" customHeight="1" x14ac:dyDescent="0.2">
      <c r="B385"/>
      <c r="C385" s="2"/>
      <c r="D385" s="2"/>
      <c r="E385" s="2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2:34" ht="15.75" customHeight="1" x14ac:dyDescent="0.2">
      <c r="B386"/>
      <c r="C386" s="2"/>
      <c r="D386" s="2"/>
      <c r="E386" s="2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2:34" ht="15.75" customHeight="1" x14ac:dyDescent="0.2">
      <c r="B387"/>
      <c r="C387" s="2"/>
      <c r="D387" s="2"/>
      <c r="E387" s="2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2:34" ht="15.75" customHeight="1" x14ac:dyDescent="0.2">
      <c r="B388"/>
      <c r="C388" s="2"/>
      <c r="D388" s="2"/>
      <c r="E388" s="2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2:34" ht="15.75" customHeight="1" x14ac:dyDescent="0.2">
      <c r="B389"/>
      <c r="C389" s="2"/>
      <c r="D389" s="2"/>
      <c r="E389" s="2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2:34" ht="15.75" customHeight="1" x14ac:dyDescent="0.2">
      <c r="B390"/>
      <c r="C390" s="2"/>
      <c r="D390" s="2"/>
      <c r="E390" s="2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2:34" ht="15.75" customHeight="1" x14ac:dyDescent="0.2">
      <c r="B391"/>
      <c r="C391" s="2"/>
      <c r="D391" s="2"/>
      <c r="E391" s="2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2:34" ht="15.75" customHeight="1" x14ac:dyDescent="0.2">
      <c r="B392"/>
      <c r="C392" s="2"/>
      <c r="D392" s="2"/>
      <c r="E392" s="28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2:34" ht="15.75" customHeight="1" x14ac:dyDescent="0.2">
      <c r="B393"/>
      <c r="C393" s="2"/>
      <c r="D393" s="2"/>
      <c r="E393" s="2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2:34" ht="15.75" customHeight="1" x14ac:dyDescent="0.2">
      <c r="B394"/>
      <c r="C394" s="2"/>
      <c r="D394" s="2"/>
      <c r="E394" s="2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2:34" ht="15.75" customHeight="1" x14ac:dyDescent="0.2">
      <c r="B395"/>
      <c r="C395" s="2"/>
      <c r="D395" s="2"/>
      <c r="E395" s="2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2:34" ht="15.75" customHeight="1" x14ac:dyDescent="0.2">
      <c r="B396"/>
      <c r="C396" s="2"/>
      <c r="D396" s="2"/>
      <c r="E396" s="2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2:34" ht="15.75" customHeight="1" x14ac:dyDescent="0.2">
      <c r="B397"/>
      <c r="C397" s="2"/>
      <c r="D397" s="2"/>
      <c r="E397" s="2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2:34" ht="15.75" customHeight="1" x14ac:dyDescent="0.2">
      <c r="B398"/>
      <c r="C398" s="2"/>
      <c r="D398" s="2"/>
      <c r="E398" s="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2:34" ht="15.75" customHeight="1" x14ac:dyDescent="0.2">
      <c r="B399"/>
      <c r="C399" s="2"/>
      <c r="D399" s="2"/>
      <c r="E399" s="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2:34" ht="15.75" customHeight="1" x14ac:dyDescent="0.2">
      <c r="B400"/>
      <c r="C400" s="2"/>
      <c r="D400" s="2"/>
      <c r="E400" s="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2:34" ht="15.75" customHeight="1" x14ac:dyDescent="0.2">
      <c r="B401"/>
      <c r="C401" s="2"/>
      <c r="D401" s="2"/>
      <c r="E401" s="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2:34" ht="15.75" customHeight="1" x14ac:dyDescent="0.2">
      <c r="B402"/>
      <c r="C402" s="2"/>
      <c r="D402" s="2"/>
      <c r="E402" s="2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2:34" ht="15.75" customHeight="1" x14ac:dyDescent="0.2">
      <c r="B403"/>
      <c r="C403" s="2"/>
      <c r="D403" s="2"/>
      <c r="E403" s="2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2:34" ht="15.75" customHeight="1" x14ac:dyDescent="0.2">
      <c r="B404"/>
      <c r="C404" s="2"/>
      <c r="D404" s="2"/>
      <c r="E404" s="2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2:34" ht="15.75" customHeight="1" x14ac:dyDescent="0.2">
      <c r="B405"/>
      <c r="C405" s="2"/>
      <c r="D405" s="2"/>
      <c r="E405" s="2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2:34" ht="15.75" customHeight="1" x14ac:dyDescent="0.2">
      <c r="B406"/>
      <c r="C406" s="2"/>
      <c r="D406" s="2"/>
      <c r="E406" s="2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2:34" ht="15.75" customHeight="1" x14ac:dyDescent="0.2">
      <c r="B407"/>
      <c r="C407" s="2"/>
      <c r="D407" s="2"/>
      <c r="E407" s="2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2:34" ht="15.75" customHeight="1" x14ac:dyDescent="0.2">
      <c r="B408"/>
      <c r="C408" s="2"/>
      <c r="D408" s="2"/>
      <c r="E408" s="2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2:34" ht="15.75" customHeight="1" x14ac:dyDescent="0.2">
      <c r="B409"/>
      <c r="C409" s="2"/>
      <c r="D409" s="2"/>
      <c r="E409" s="2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2:34" ht="15.75" customHeight="1" x14ac:dyDescent="0.2">
      <c r="B410"/>
      <c r="C410" s="2"/>
      <c r="D410" s="2"/>
      <c r="E410" s="2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2:34" ht="15.75" customHeight="1" x14ac:dyDescent="0.2">
      <c r="B411"/>
      <c r="C411" s="2"/>
      <c r="D411" s="2"/>
      <c r="E411" s="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2:34" ht="15.75" customHeight="1" x14ac:dyDescent="0.2">
      <c r="B412"/>
      <c r="C412" s="2"/>
      <c r="D412" s="2"/>
      <c r="E412" s="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2:34" ht="15.75" customHeight="1" x14ac:dyDescent="0.2">
      <c r="B413"/>
      <c r="C413" s="2"/>
      <c r="D413" s="2"/>
      <c r="E413" s="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2:34" ht="15.75" customHeight="1" x14ac:dyDescent="0.2">
      <c r="B414"/>
      <c r="C414" s="2"/>
      <c r="D414" s="2"/>
      <c r="E414" s="28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2:34" ht="15.75" customHeight="1" x14ac:dyDescent="0.2">
      <c r="B415"/>
      <c r="C415" s="2"/>
      <c r="D415" s="2"/>
      <c r="E415" s="28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2:34" ht="15.75" customHeight="1" x14ac:dyDescent="0.2">
      <c r="B416"/>
      <c r="C416" s="2"/>
      <c r="D416" s="2"/>
      <c r="E416" s="28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2:34" ht="15.75" customHeight="1" x14ac:dyDescent="0.2">
      <c r="B417"/>
      <c r="C417" s="2"/>
      <c r="D417" s="2"/>
      <c r="E417" s="2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2:34" ht="15.75" customHeight="1" x14ac:dyDescent="0.2">
      <c r="B418"/>
      <c r="C418" s="2"/>
      <c r="D418" s="2"/>
      <c r="E418" s="2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2:34" ht="15.75" customHeight="1" x14ac:dyDescent="0.2">
      <c r="B419"/>
      <c r="C419" s="2"/>
      <c r="D419" s="2"/>
      <c r="E419" s="2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2:34" ht="15.75" customHeight="1" x14ac:dyDescent="0.2">
      <c r="B420"/>
      <c r="C420" s="2"/>
      <c r="D420" s="2"/>
      <c r="E420" s="2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2:34" ht="15.75" customHeight="1" x14ac:dyDescent="0.2">
      <c r="B421"/>
      <c r="C421" s="2"/>
      <c r="D421" s="2"/>
      <c r="E421" s="2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2:34" ht="15.75" customHeight="1" x14ac:dyDescent="0.2">
      <c r="B422"/>
      <c r="C422" s="2"/>
      <c r="D422" s="2"/>
      <c r="E422" s="2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2:34" ht="15.75" customHeight="1" x14ac:dyDescent="0.2">
      <c r="B423"/>
      <c r="C423" s="2"/>
      <c r="D423" s="2"/>
      <c r="E423" s="2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2:34" ht="15.75" customHeight="1" x14ac:dyDescent="0.2">
      <c r="B424"/>
      <c r="C424" s="2"/>
      <c r="D424" s="2"/>
      <c r="E424" s="2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2:34" ht="15.75" customHeight="1" x14ac:dyDescent="0.2">
      <c r="B425"/>
      <c r="C425" s="2"/>
      <c r="D425" s="2"/>
      <c r="E425" s="2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2:34" ht="15.75" customHeight="1" x14ac:dyDescent="0.2">
      <c r="B426"/>
      <c r="C426" s="2"/>
      <c r="D426" s="2"/>
      <c r="E426" s="2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2:34" ht="15.75" customHeight="1" x14ac:dyDescent="0.2">
      <c r="B427"/>
      <c r="C427" s="2"/>
      <c r="D427" s="2"/>
      <c r="E427" s="2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2:34" ht="15.75" customHeight="1" x14ac:dyDescent="0.2">
      <c r="B428"/>
      <c r="C428" s="2"/>
      <c r="D428" s="2"/>
      <c r="E428" s="2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2:34" ht="15.75" customHeight="1" x14ac:dyDescent="0.2">
      <c r="B429"/>
      <c r="C429" s="2"/>
      <c r="D429" s="2"/>
      <c r="E429" s="2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2:34" ht="15.75" customHeight="1" x14ac:dyDescent="0.2">
      <c r="B430"/>
      <c r="C430" s="2"/>
      <c r="D430" s="2"/>
      <c r="E430" s="2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2:34" ht="15.75" customHeight="1" x14ac:dyDescent="0.2">
      <c r="B431"/>
      <c r="C431" s="2"/>
      <c r="D431" s="2"/>
      <c r="E431" s="2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2:34" ht="15.75" customHeight="1" x14ac:dyDescent="0.2">
      <c r="B432"/>
      <c r="C432" s="2"/>
      <c r="D432" s="2"/>
      <c r="E432" s="2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2:34" ht="15.75" customHeight="1" x14ac:dyDescent="0.2">
      <c r="B433"/>
      <c r="C433" s="2"/>
      <c r="D433" s="2"/>
      <c r="E433" s="2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2:34" ht="15.75" customHeight="1" x14ac:dyDescent="0.2">
      <c r="B434"/>
      <c r="C434" s="2"/>
      <c r="D434" s="2"/>
      <c r="E434" s="2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2:34" ht="15.75" customHeight="1" x14ac:dyDescent="0.2">
      <c r="B435"/>
      <c r="C435" s="2"/>
      <c r="D435" s="2"/>
      <c r="E435" s="2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2:34" ht="15.75" customHeight="1" x14ac:dyDescent="0.2">
      <c r="B436"/>
      <c r="C436" s="2"/>
      <c r="D436" s="2"/>
      <c r="E436" s="2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2:34" ht="15.75" customHeight="1" x14ac:dyDescent="0.2">
      <c r="B437"/>
      <c r="C437" s="2"/>
      <c r="D437" s="2"/>
      <c r="E437" s="2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2:34" ht="15.75" customHeight="1" x14ac:dyDescent="0.2">
      <c r="B438"/>
      <c r="C438" s="2"/>
      <c r="D438" s="2"/>
      <c r="E438" s="2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2:34" ht="15.75" customHeight="1" x14ac:dyDescent="0.2">
      <c r="B439"/>
      <c r="C439" s="2"/>
      <c r="D439" s="2"/>
      <c r="E439" s="2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2:34" ht="15.75" customHeight="1" x14ac:dyDescent="0.2">
      <c r="B440"/>
      <c r="C440" s="2"/>
      <c r="D440" s="2"/>
      <c r="E440" s="2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2:34" ht="15.75" customHeight="1" x14ac:dyDescent="0.2">
      <c r="B441"/>
      <c r="C441" s="2"/>
      <c r="D441" s="2"/>
      <c r="E441" s="2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2:34" ht="15.75" customHeight="1" x14ac:dyDescent="0.2">
      <c r="B442"/>
      <c r="C442" s="2"/>
      <c r="D442" s="2"/>
      <c r="E442" s="2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2:34" ht="15.75" customHeight="1" x14ac:dyDescent="0.2">
      <c r="B443"/>
      <c r="C443" s="2"/>
      <c r="D443" s="2"/>
      <c r="E443" s="2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2:34" ht="15.75" customHeight="1" x14ac:dyDescent="0.2">
      <c r="B444"/>
      <c r="C444" s="2"/>
      <c r="D444" s="2"/>
      <c r="E444" s="2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2:34" ht="15.75" customHeight="1" x14ac:dyDescent="0.2">
      <c r="B445"/>
      <c r="C445" s="2"/>
      <c r="D445" s="2"/>
      <c r="E445" s="2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2:34" ht="15.75" customHeight="1" x14ac:dyDescent="0.2">
      <c r="B446"/>
      <c r="C446" s="2"/>
      <c r="D446" s="2"/>
      <c r="E446" s="2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2:34" ht="15.75" customHeight="1" x14ac:dyDescent="0.2">
      <c r="B447"/>
      <c r="C447" s="2"/>
      <c r="D447" s="2"/>
      <c r="E447" s="2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2:34" ht="15.75" customHeight="1" x14ac:dyDescent="0.2">
      <c r="B448"/>
      <c r="C448" s="2"/>
      <c r="D448" s="2"/>
      <c r="E448" s="2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2:34" ht="15.75" customHeight="1" x14ac:dyDescent="0.2">
      <c r="B449"/>
      <c r="C449" s="2"/>
      <c r="D449" s="2"/>
      <c r="E449" s="2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2:34" ht="15.75" customHeight="1" x14ac:dyDescent="0.2">
      <c r="B450"/>
      <c r="C450" s="2"/>
      <c r="D450" s="2"/>
      <c r="E450" s="2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2:34" ht="15.75" customHeight="1" x14ac:dyDescent="0.2">
      <c r="B451"/>
      <c r="C451" s="2"/>
      <c r="D451" s="2"/>
      <c r="E451" s="2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2:34" ht="15.75" customHeight="1" x14ac:dyDescent="0.2">
      <c r="B452"/>
      <c r="C452" s="2"/>
      <c r="D452" s="2"/>
      <c r="E452" s="2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2:34" ht="15.75" customHeight="1" x14ac:dyDescent="0.2">
      <c r="B453"/>
      <c r="C453" s="2"/>
      <c r="D453" s="2"/>
      <c r="E453" s="2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2:34" ht="15.75" customHeight="1" x14ac:dyDescent="0.2">
      <c r="B454"/>
      <c r="C454" s="2"/>
      <c r="D454" s="2"/>
      <c r="E454" s="2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2:34" ht="15.75" customHeight="1" x14ac:dyDescent="0.2">
      <c r="B455"/>
      <c r="C455" s="2"/>
      <c r="D455" s="2"/>
      <c r="E455" s="2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2:34" ht="15.75" customHeight="1" x14ac:dyDescent="0.2">
      <c r="B456"/>
      <c r="C456" s="2"/>
      <c r="D456" s="2"/>
      <c r="E456" s="2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2:34" ht="15.75" customHeight="1" x14ac:dyDescent="0.2">
      <c r="B457"/>
      <c r="C457" s="2"/>
      <c r="D457" s="2"/>
      <c r="E457" s="2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2:34" ht="15.75" customHeight="1" x14ac:dyDescent="0.2">
      <c r="B458"/>
      <c r="C458" s="2"/>
      <c r="D458" s="2"/>
      <c r="E458" s="2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2:34" ht="15.75" customHeight="1" x14ac:dyDescent="0.2">
      <c r="B459"/>
      <c r="C459" s="2"/>
      <c r="D459" s="2"/>
      <c r="E459" s="2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2:34" ht="15.75" customHeight="1" x14ac:dyDescent="0.2">
      <c r="B460"/>
      <c r="C460" s="2"/>
      <c r="D460" s="2"/>
      <c r="E460" s="2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2:34" ht="15.75" customHeight="1" x14ac:dyDescent="0.2">
      <c r="B461"/>
      <c r="C461" s="2"/>
      <c r="D461" s="2"/>
      <c r="E461" s="2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2:34" ht="15.75" customHeight="1" x14ac:dyDescent="0.2">
      <c r="B462"/>
      <c r="C462" s="2"/>
      <c r="D462" s="2"/>
      <c r="E462" s="2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2:34" ht="15.75" customHeight="1" x14ac:dyDescent="0.2">
      <c r="B463"/>
      <c r="C463" s="2"/>
      <c r="D463" s="2"/>
      <c r="E463" s="2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2:34" ht="15.75" customHeight="1" x14ac:dyDescent="0.2">
      <c r="B464"/>
      <c r="C464" s="2"/>
      <c r="D464" s="2"/>
      <c r="E464" s="2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2:34" ht="15.75" customHeight="1" x14ac:dyDescent="0.2">
      <c r="B465"/>
      <c r="C465" s="2"/>
      <c r="D465" s="2"/>
      <c r="E465" s="2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2:34" ht="15.75" customHeight="1" x14ac:dyDescent="0.2">
      <c r="B466"/>
      <c r="C466" s="2"/>
      <c r="D466" s="2"/>
      <c r="E466" s="2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2:34" ht="15.75" customHeight="1" x14ac:dyDescent="0.2">
      <c r="B467"/>
      <c r="C467" s="2"/>
      <c r="D467" s="2"/>
      <c r="E467" s="2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2:34" ht="15.75" customHeight="1" x14ac:dyDescent="0.2">
      <c r="B468"/>
      <c r="C468" s="2"/>
      <c r="D468" s="2"/>
      <c r="E468" s="2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2:34" ht="15.75" customHeight="1" x14ac:dyDescent="0.2">
      <c r="B469"/>
      <c r="C469" s="2"/>
      <c r="D469" s="2"/>
      <c r="E469" s="2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2:34" ht="15.75" customHeight="1" x14ac:dyDescent="0.2">
      <c r="B470"/>
      <c r="C470" s="2"/>
      <c r="D470" s="2"/>
      <c r="E470" s="2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2:34" ht="15.75" customHeight="1" x14ac:dyDescent="0.2">
      <c r="B471"/>
      <c r="C471" s="2"/>
      <c r="D471" s="2"/>
      <c r="E471" s="2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2:34" ht="15.75" customHeight="1" x14ac:dyDescent="0.2">
      <c r="B472"/>
      <c r="C472" s="2"/>
      <c r="D472" s="2"/>
      <c r="E472" s="2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2:34" ht="15.75" customHeight="1" x14ac:dyDescent="0.2">
      <c r="B473"/>
      <c r="C473" s="2"/>
      <c r="D473" s="2"/>
      <c r="E473" s="2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2:34" ht="15.75" customHeight="1" x14ac:dyDescent="0.2">
      <c r="B474"/>
      <c r="C474" s="2"/>
      <c r="D474" s="2"/>
      <c r="E474" s="2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2:34" ht="15.75" customHeight="1" x14ac:dyDescent="0.2">
      <c r="B475"/>
      <c r="C475" s="2"/>
      <c r="D475" s="2"/>
      <c r="E475" s="2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2:34" ht="15.75" customHeight="1" x14ac:dyDescent="0.2">
      <c r="B476"/>
      <c r="C476" s="2"/>
      <c r="D476" s="2"/>
      <c r="E476" s="2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2:34" ht="15.75" customHeight="1" x14ac:dyDescent="0.2">
      <c r="B477"/>
      <c r="C477" s="2"/>
      <c r="D477" s="2"/>
      <c r="E477" s="2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2:34" ht="15.75" customHeight="1" x14ac:dyDescent="0.2">
      <c r="B478"/>
      <c r="C478" s="2"/>
      <c r="D478" s="2"/>
      <c r="E478" s="2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2:34" ht="15.75" customHeight="1" x14ac:dyDescent="0.2">
      <c r="B479"/>
      <c r="C479" s="2"/>
      <c r="D479" s="2"/>
      <c r="E479" s="2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2:34" ht="15.75" customHeight="1" x14ac:dyDescent="0.2">
      <c r="B480"/>
      <c r="C480" s="2"/>
      <c r="D480" s="2"/>
      <c r="E480" s="2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2:34" ht="15.75" customHeight="1" x14ac:dyDescent="0.2">
      <c r="B481"/>
      <c r="C481" s="2"/>
      <c r="D481" s="2"/>
      <c r="E481" s="2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2:34" ht="15.75" customHeight="1" x14ac:dyDescent="0.2">
      <c r="B482"/>
      <c r="C482" s="2"/>
      <c r="D482" s="2"/>
      <c r="E482" s="2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2:34" ht="15.75" customHeight="1" x14ac:dyDescent="0.2">
      <c r="B483"/>
      <c r="C483" s="2"/>
      <c r="D483" s="2"/>
      <c r="E483" s="2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2:34" ht="15.75" customHeight="1" x14ac:dyDescent="0.2">
      <c r="B484"/>
      <c r="C484" s="2"/>
      <c r="D484" s="2"/>
      <c r="E484" s="2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2:34" ht="15.75" customHeight="1" x14ac:dyDescent="0.2">
      <c r="B485"/>
      <c r="C485" s="2"/>
      <c r="D485" s="2"/>
      <c r="E485" s="2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2:34" ht="15.75" customHeight="1" x14ac:dyDescent="0.2">
      <c r="B486"/>
      <c r="C486" s="2"/>
      <c r="D486" s="2"/>
      <c r="E486" s="2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2:34" ht="15.75" customHeight="1" x14ac:dyDescent="0.2">
      <c r="B487"/>
      <c r="C487" s="2"/>
      <c r="D487" s="2"/>
      <c r="E487" s="2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2:34" ht="15.75" customHeight="1" x14ac:dyDescent="0.2">
      <c r="B488"/>
      <c r="C488" s="2"/>
      <c r="D488" s="2"/>
      <c r="E488" s="2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2:34" ht="15.75" customHeight="1" x14ac:dyDescent="0.2">
      <c r="B489"/>
      <c r="C489" s="2"/>
      <c r="D489" s="2"/>
      <c r="E489" s="2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2:34" ht="15.75" customHeight="1" x14ac:dyDescent="0.2">
      <c r="B490"/>
      <c r="C490" s="2"/>
      <c r="D490" s="2"/>
      <c r="E490" s="28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2:34" ht="15.75" customHeight="1" x14ac:dyDescent="0.2">
      <c r="B491"/>
      <c r="C491" s="2"/>
      <c r="D491" s="2"/>
      <c r="E491" s="2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2:34" ht="15.75" customHeight="1" x14ac:dyDescent="0.2">
      <c r="B492"/>
      <c r="C492" s="2"/>
      <c r="D492" s="2"/>
      <c r="E492" s="2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2:34" ht="15.75" customHeight="1" x14ac:dyDescent="0.2">
      <c r="B493"/>
      <c r="C493" s="2"/>
      <c r="D493" s="2"/>
      <c r="E493" s="2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2:34" ht="15.75" customHeight="1" x14ac:dyDescent="0.2">
      <c r="B494"/>
      <c r="C494" s="2"/>
      <c r="D494" s="2"/>
      <c r="E494" s="2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2:34" ht="15.75" customHeight="1" x14ac:dyDescent="0.2">
      <c r="B495"/>
      <c r="C495" s="2"/>
      <c r="D495" s="2"/>
      <c r="E495" s="2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2:34" ht="15.75" customHeight="1" x14ac:dyDescent="0.2">
      <c r="B496"/>
      <c r="C496" s="2"/>
      <c r="D496" s="2"/>
      <c r="E496" s="28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2:34" ht="15.75" customHeight="1" x14ac:dyDescent="0.2">
      <c r="B497"/>
      <c r="C497" s="2"/>
      <c r="D497" s="2"/>
      <c r="E497" s="28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2:34" ht="15.75" customHeight="1" x14ac:dyDescent="0.2">
      <c r="B498"/>
      <c r="C498" s="2"/>
      <c r="D498" s="2"/>
      <c r="E498" s="28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2:34" ht="15.75" customHeight="1" x14ac:dyDescent="0.2">
      <c r="B499"/>
      <c r="C499" s="2"/>
      <c r="D499" s="2"/>
      <c r="E499" s="28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2:34" ht="15.75" customHeight="1" x14ac:dyDescent="0.2">
      <c r="B500"/>
      <c r="C500" s="2"/>
      <c r="D500" s="2"/>
      <c r="E500" s="28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2:34" ht="15.75" customHeight="1" x14ac:dyDescent="0.2">
      <c r="B501"/>
      <c r="C501" s="2"/>
      <c r="D501" s="2"/>
      <c r="E501" s="2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2:34" ht="15.75" customHeight="1" x14ac:dyDescent="0.2">
      <c r="B502"/>
      <c r="C502" s="2"/>
      <c r="D502" s="2"/>
      <c r="E502" s="2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2:34" ht="15.75" customHeight="1" x14ac:dyDescent="0.2">
      <c r="B503"/>
      <c r="C503" s="2"/>
      <c r="D503" s="2"/>
      <c r="E503" s="2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2:34" ht="15.75" customHeight="1" x14ac:dyDescent="0.2">
      <c r="B504"/>
      <c r="C504" s="2"/>
      <c r="D504" s="2"/>
      <c r="E504" s="28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2:34" ht="15.75" customHeight="1" x14ac:dyDescent="0.2">
      <c r="B505"/>
      <c r="C505" s="2"/>
      <c r="D505" s="2"/>
      <c r="E505" s="28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2:34" ht="15.75" customHeight="1" x14ac:dyDescent="0.2">
      <c r="B506"/>
      <c r="C506" s="2"/>
      <c r="D506" s="2"/>
      <c r="E506" s="2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2:34" ht="15.75" customHeight="1" x14ac:dyDescent="0.2">
      <c r="B507"/>
      <c r="C507" s="2"/>
      <c r="D507" s="2"/>
      <c r="E507" s="2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2:34" ht="15.75" customHeight="1" x14ac:dyDescent="0.2">
      <c r="B508"/>
      <c r="C508" s="2"/>
      <c r="D508" s="2"/>
      <c r="E508" s="2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2:34" ht="15.75" customHeight="1" x14ac:dyDescent="0.2">
      <c r="B509"/>
      <c r="C509" s="2"/>
      <c r="D509" s="2"/>
      <c r="E509" s="2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2:34" ht="15.75" customHeight="1" x14ac:dyDescent="0.2">
      <c r="B510"/>
      <c r="C510" s="2"/>
      <c r="D510" s="2"/>
      <c r="E510" s="2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2:34" ht="15.75" customHeight="1" x14ac:dyDescent="0.2">
      <c r="B511"/>
      <c r="C511" s="2"/>
      <c r="D511" s="2"/>
      <c r="E511" s="2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2:34" ht="15.75" customHeight="1" x14ac:dyDescent="0.2">
      <c r="B512"/>
      <c r="C512" s="2"/>
      <c r="D512" s="2"/>
      <c r="E512" s="2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2:34" ht="15.75" customHeight="1" x14ac:dyDescent="0.2">
      <c r="B513"/>
      <c r="C513" s="2"/>
      <c r="D513" s="2"/>
      <c r="E513" s="2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2:34" ht="15.75" customHeight="1" x14ac:dyDescent="0.2">
      <c r="B514"/>
      <c r="C514" s="2"/>
      <c r="D514" s="2"/>
      <c r="E514" s="2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2:34" ht="15.75" customHeight="1" x14ac:dyDescent="0.2">
      <c r="B515"/>
      <c r="C515" s="2"/>
      <c r="D515" s="2"/>
      <c r="E515" s="2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2:34" ht="15.75" customHeight="1" x14ac:dyDescent="0.2">
      <c r="B516"/>
      <c r="C516" s="2"/>
      <c r="D516" s="2"/>
      <c r="E516" s="2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2:34" ht="15.75" customHeight="1" x14ac:dyDescent="0.2">
      <c r="B517"/>
      <c r="C517" s="2"/>
      <c r="D517" s="2"/>
      <c r="E517" s="2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2:34" ht="15.75" customHeight="1" x14ac:dyDescent="0.2">
      <c r="B518"/>
      <c r="C518" s="2"/>
      <c r="D518" s="2"/>
      <c r="E518" s="2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2:34" ht="15.75" customHeight="1" x14ac:dyDescent="0.2">
      <c r="B519"/>
      <c r="C519" s="2"/>
      <c r="D519" s="2"/>
      <c r="E519" s="2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2:34" ht="15.75" customHeight="1" x14ac:dyDescent="0.2">
      <c r="B520"/>
      <c r="C520" s="2"/>
      <c r="D520" s="2"/>
      <c r="E520" s="2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2:34" ht="15.75" customHeight="1" x14ac:dyDescent="0.2">
      <c r="B521"/>
      <c r="C521" s="2"/>
      <c r="D521" s="2"/>
      <c r="E521" s="2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2:34" ht="15.75" customHeight="1" x14ac:dyDescent="0.2">
      <c r="B522"/>
      <c r="C522" s="2"/>
      <c r="D522" s="2"/>
      <c r="E522" s="2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2:34" ht="15.75" customHeight="1" x14ac:dyDescent="0.2">
      <c r="B523"/>
      <c r="C523" s="2"/>
      <c r="D523" s="2"/>
      <c r="E523" s="2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2:34" ht="15.75" customHeight="1" x14ac:dyDescent="0.2">
      <c r="B524"/>
      <c r="C524" s="2"/>
      <c r="D524" s="2"/>
      <c r="E524" s="2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2:34" ht="15.75" customHeight="1" x14ac:dyDescent="0.2">
      <c r="B525"/>
      <c r="C525" s="2"/>
      <c r="D525" s="2"/>
      <c r="E525" s="2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2:34" ht="15.75" customHeight="1" x14ac:dyDescent="0.2">
      <c r="B526"/>
      <c r="C526" s="2"/>
      <c r="D526" s="2"/>
      <c r="E526" s="2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2:34" ht="15.75" customHeight="1" x14ac:dyDescent="0.2">
      <c r="B527"/>
      <c r="C527" s="2"/>
      <c r="D527" s="2"/>
      <c r="E527" s="2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2:34" ht="15.75" customHeight="1" x14ac:dyDescent="0.2">
      <c r="B528"/>
      <c r="C528" s="2"/>
      <c r="D528" s="2"/>
      <c r="E528" s="2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2:34" ht="15.75" customHeight="1" x14ac:dyDescent="0.2">
      <c r="B529"/>
      <c r="C529" s="2"/>
      <c r="D529" s="2"/>
      <c r="E529" s="2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2:34" ht="15.75" customHeight="1" x14ac:dyDescent="0.2">
      <c r="B530"/>
      <c r="C530" s="2"/>
      <c r="D530" s="2"/>
      <c r="E530" s="2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2:34" ht="15.75" customHeight="1" x14ac:dyDescent="0.2">
      <c r="B531"/>
      <c r="C531" s="2"/>
      <c r="D531" s="2"/>
      <c r="E531" s="2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2:34" ht="15.75" customHeight="1" x14ac:dyDescent="0.2">
      <c r="B532"/>
      <c r="C532" s="2"/>
      <c r="D532" s="2"/>
      <c r="E532" s="28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2:34" ht="15.75" customHeight="1" x14ac:dyDescent="0.2">
      <c r="B533"/>
      <c r="C533" s="2"/>
      <c r="D533" s="2"/>
      <c r="E533" s="28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2:34" ht="15.75" customHeight="1" x14ac:dyDescent="0.2">
      <c r="B534"/>
      <c r="C534" s="2"/>
      <c r="D534" s="2"/>
      <c r="E534" s="2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2:34" ht="15.75" customHeight="1" x14ac:dyDescent="0.2">
      <c r="B535"/>
      <c r="C535" s="2"/>
      <c r="D535" s="2"/>
      <c r="E535" s="2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2:34" ht="15.75" customHeight="1" x14ac:dyDescent="0.2">
      <c r="B536"/>
      <c r="C536" s="2"/>
      <c r="D536" s="2"/>
      <c r="E536" s="2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2:34" ht="15.75" customHeight="1" x14ac:dyDescent="0.2">
      <c r="B537"/>
      <c r="C537" s="2"/>
      <c r="D537" s="2"/>
      <c r="E537" s="2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2:34" ht="15.75" customHeight="1" x14ac:dyDescent="0.2">
      <c r="B538"/>
      <c r="C538" s="2"/>
      <c r="D538" s="2"/>
      <c r="E538" s="2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2:34" ht="15.75" customHeight="1" x14ac:dyDescent="0.2">
      <c r="B539"/>
      <c r="C539" s="2"/>
      <c r="D539" s="2"/>
      <c r="E539" s="2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2:34" ht="15.75" customHeight="1" x14ac:dyDescent="0.2">
      <c r="B540"/>
      <c r="C540" s="2"/>
      <c r="D540" s="2"/>
      <c r="E540" s="2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2:34" ht="15.75" customHeight="1" x14ac:dyDescent="0.2">
      <c r="B541"/>
      <c r="C541" s="2"/>
      <c r="D541" s="2"/>
      <c r="E541" s="2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2:34" ht="15.75" customHeight="1" x14ac:dyDescent="0.2">
      <c r="B542"/>
      <c r="C542" s="2"/>
      <c r="D542" s="2"/>
      <c r="E542" s="2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2:34" ht="15.75" customHeight="1" x14ac:dyDescent="0.2">
      <c r="B543"/>
      <c r="C543" s="2"/>
      <c r="D543" s="2"/>
      <c r="E543" s="2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2:34" ht="15.75" customHeight="1" x14ac:dyDescent="0.2">
      <c r="B544"/>
      <c r="C544" s="2"/>
      <c r="D544" s="2"/>
      <c r="E544" s="2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2:34" ht="15.75" customHeight="1" x14ac:dyDescent="0.2">
      <c r="B545"/>
      <c r="C545" s="2"/>
      <c r="D545" s="2"/>
      <c r="E545" s="2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2:34" ht="15.75" customHeight="1" x14ac:dyDescent="0.2">
      <c r="B546"/>
      <c r="C546" s="2"/>
      <c r="D546" s="2"/>
      <c r="E546" s="2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2:34" ht="15.75" customHeight="1" x14ac:dyDescent="0.2">
      <c r="B547"/>
      <c r="C547" s="2"/>
      <c r="D547" s="2"/>
      <c r="E547" s="2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2:34" ht="15.75" customHeight="1" x14ac:dyDescent="0.2">
      <c r="B548"/>
      <c r="C548" s="2"/>
      <c r="D548" s="2"/>
      <c r="E548" s="2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2:34" ht="15.75" customHeight="1" x14ac:dyDescent="0.2">
      <c r="B549"/>
      <c r="C549" s="2"/>
      <c r="D549" s="2"/>
      <c r="E549" s="2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2:34" ht="15.75" customHeight="1" x14ac:dyDescent="0.2">
      <c r="B550"/>
      <c r="C550" s="2"/>
      <c r="D550" s="2"/>
      <c r="E550" s="2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2:34" ht="15.75" customHeight="1" x14ac:dyDescent="0.2">
      <c r="B551"/>
      <c r="C551" s="2"/>
      <c r="D551" s="2"/>
      <c r="E551" s="2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2:34" ht="15.75" customHeight="1" x14ac:dyDescent="0.2">
      <c r="B552"/>
      <c r="C552" s="2"/>
      <c r="D552" s="2"/>
      <c r="E552" s="2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2:34" ht="15.75" customHeight="1" x14ac:dyDescent="0.2">
      <c r="B553"/>
      <c r="C553" s="2"/>
      <c r="D553" s="2"/>
      <c r="E553" s="2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2:34" ht="15.75" customHeight="1" x14ac:dyDescent="0.2">
      <c r="B554"/>
      <c r="C554" s="2"/>
      <c r="D554" s="2"/>
      <c r="E554" s="28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2:34" ht="15.75" customHeight="1" x14ac:dyDescent="0.2">
      <c r="B555"/>
      <c r="C555" s="2"/>
      <c r="D555" s="2"/>
      <c r="E555" s="2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2:34" ht="15.75" customHeight="1" x14ac:dyDescent="0.2">
      <c r="B556"/>
      <c r="C556" s="2"/>
      <c r="D556" s="2"/>
      <c r="E556" s="2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2:34" ht="15.75" customHeight="1" x14ac:dyDescent="0.2">
      <c r="B557"/>
      <c r="C557" s="2"/>
      <c r="D557" s="2"/>
      <c r="E557" s="2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2:34" ht="15.75" customHeight="1" x14ac:dyDescent="0.2">
      <c r="B558"/>
      <c r="C558" s="2"/>
      <c r="D558" s="2"/>
      <c r="E558" s="2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2:34" ht="15.75" customHeight="1" x14ac:dyDescent="0.2">
      <c r="B559"/>
      <c r="C559" s="2"/>
      <c r="D559" s="2"/>
      <c r="E559" s="2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2:34" ht="15.75" customHeight="1" x14ac:dyDescent="0.2">
      <c r="B560"/>
      <c r="C560" s="2"/>
      <c r="D560" s="2"/>
      <c r="E560" s="2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2:34" ht="15.75" customHeight="1" x14ac:dyDescent="0.2">
      <c r="B561"/>
      <c r="C561" s="2"/>
      <c r="D561" s="2"/>
      <c r="E561" s="2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2:34" ht="15.75" customHeight="1" x14ac:dyDescent="0.2">
      <c r="B562"/>
      <c r="C562" s="2"/>
      <c r="D562" s="2"/>
      <c r="E562" s="2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2:34" ht="15.75" customHeight="1" x14ac:dyDescent="0.2">
      <c r="B563"/>
      <c r="C563" s="2"/>
      <c r="D563" s="2"/>
      <c r="E563" s="2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2:34" ht="15.75" customHeight="1" x14ac:dyDescent="0.2">
      <c r="B564"/>
      <c r="C564" s="2"/>
      <c r="D564" s="2"/>
      <c r="E564" s="2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2:34" ht="15.75" customHeight="1" x14ac:dyDescent="0.2">
      <c r="B565"/>
      <c r="C565" s="2"/>
      <c r="D565" s="2"/>
      <c r="E565" s="2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2:34" ht="15.75" customHeight="1" x14ac:dyDescent="0.2">
      <c r="B566"/>
      <c r="C566" s="2"/>
      <c r="D566" s="2"/>
      <c r="E566" s="2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2:34" ht="15.75" customHeight="1" x14ac:dyDescent="0.2">
      <c r="B567"/>
      <c r="C567" s="2"/>
      <c r="D567" s="2"/>
      <c r="E567" s="2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2:34" ht="15.75" customHeight="1" x14ac:dyDescent="0.2">
      <c r="B568"/>
      <c r="C568" s="2"/>
      <c r="D568" s="2"/>
      <c r="E568" s="2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2:34" ht="15.75" customHeight="1" x14ac:dyDescent="0.2">
      <c r="B569"/>
      <c r="C569" s="2"/>
      <c r="D569" s="2"/>
      <c r="E569" s="2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2:34" ht="15.75" customHeight="1" x14ac:dyDescent="0.2">
      <c r="B570"/>
      <c r="C570" s="2"/>
      <c r="D570" s="2"/>
      <c r="E570" s="2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2:34" ht="15.75" customHeight="1" x14ac:dyDescent="0.2">
      <c r="B571"/>
      <c r="C571" s="2"/>
      <c r="D571" s="2"/>
      <c r="E571" s="2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2:34" ht="15.75" customHeight="1" x14ac:dyDescent="0.2">
      <c r="B572"/>
      <c r="C572" s="2"/>
      <c r="D572" s="2"/>
      <c r="E572" s="2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2:34" ht="15.75" customHeight="1" x14ac:dyDescent="0.2">
      <c r="B573"/>
      <c r="C573" s="2"/>
      <c r="D573" s="2"/>
      <c r="E573" s="2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2:34" ht="15.75" customHeight="1" x14ac:dyDescent="0.2">
      <c r="B574"/>
      <c r="C574" s="2"/>
      <c r="D574" s="2"/>
      <c r="E574" s="2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2:34" ht="15.75" customHeight="1" x14ac:dyDescent="0.2">
      <c r="B575"/>
      <c r="C575" s="2"/>
      <c r="D575" s="2"/>
      <c r="E575" s="2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2:34" ht="15.75" customHeight="1" x14ac:dyDescent="0.2">
      <c r="B576"/>
      <c r="C576" s="2"/>
      <c r="D576" s="2"/>
      <c r="E576" s="2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2:34" ht="15.75" customHeight="1" x14ac:dyDescent="0.2">
      <c r="B577"/>
      <c r="C577" s="2"/>
      <c r="D577" s="2"/>
      <c r="E577" s="2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2:34" ht="15.75" customHeight="1" x14ac:dyDescent="0.2">
      <c r="B578"/>
      <c r="C578" s="2"/>
      <c r="D578" s="2"/>
      <c r="E578" s="2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2:34" ht="15.75" customHeight="1" x14ac:dyDescent="0.2">
      <c r="B579"/>
      <c r="C579" s="2"/>
      <c r="D579" s="2"/>
      <c r="E579" s="2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2:34" ht="15.75" customHeight="1" x14ac:dyDescent="0.2">
      <c r="B580"/>
      <c r="C580" s="2"/>
      <c r="D580" s="2"/>
      <c r="E580" s="2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2:34" ht="15.75" customHeight="1" x14ac:dyDescent="0.2">
      <c r="B581"/>
      <c r="C581" s="2"/>
      <c r="D581" s="2"/>
      <c r="E581" s="2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2:34" ht="15.75" customHeight="1" x14ac:dyDescent="0.2">
      <c r="B582"/>
      <c r="C582" s="2"/>
      <c r="D582" s="2"/>
      <c r="E582" s="2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2:34" ht="15.75" customHeight="1" x14ac:dyDescent="0.2">
      <c r="B583"/>
      <c r="C583" s="2"/>
      <c r="D583" s="2"/>
      <c r="E583" s="2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2:34" ht="15.75" customHeight="1" x14ac:dyDescent="0.2">
      <c r="B584"/>
      <c r="C584" s="2"/>
      <c r="D584" s="2"/>
      <c r="E584" s="2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2:34" ht="15.75" customHeight="1" x14ac:dyDescent="0.2">
      <c r="B585"/>
      <c r="C585" s="2"/>
      <c r="D585" s="2"/>
      <c r="E585" s="2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2:34" ht="15.75" customHeight="1" x14ac:dyDescent="0.2">
      <c r="B586"/>
      <c r="C586" s="2"/>
      <c r="D586" s="2"/>
      <c r="E586" s="2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2:34" ht="15.75" customHeight="1" x14ac:dyDescent="0.2">
      <c r="B587"/>
      <c r="C587" s="2"/>
      <c r="D587" s="2"/>
      <c r="E587" s="2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2:34" ht="15.75" customHeight="1" x14ac:dyDescent="0.2">
      <c r="B588"/>
      <c r="C588" s="2"/>
      <c r="D588" s="2"/>
      <c r="E588" s="2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2:34" ht="15.75" customHeight="1" x14ac:dyDescent="0.2">
      <c r="B589"/>
      <c r="C589" s="2"/>
      <c r="D589" s="2"/>
      <c r="E589" s="28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2:34" ht="15.75" customHeight="1" x14ac:dyDescent="0.2">
      <c r="B590"/>
      <c r="C590" s="2"/>
      <c r="D590" s="2"/>
      <c r="E590" s="2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2:34" ht="15.75" customHeight="1" x14ac:dyDescent="0.2">
      <c r="B591"/>
      <c r="C591" s="2"/>
      <c r="D591" s="2"/>
      <c r="E591" s="2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2:34" ht="15.75" customHeight="1" x14ac:dyDescent="0.2">
      <c r="B592"/>
      <c r="C592" s="2"/>
      <c r="D592" s="2"/>
      <c r="E592" s="2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2:34" ht="15.75" customHeight="1" x14ac:dyDescent="0.2">
      <c r="B593"/>
      <c r="C593" s="2"/>
      <c r="D593" s="2"/>
      <c r="E593" s="2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2:34" ht="15.75" customHeight="1" x14ac:dyDescent="0.2">
      <c r="B594"/>
      <c r="C594" s="2"/>
      <c r="D594" s="2"/>
      <c r="E594" s="2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2:34" ht="15.75" customHeight="1" x14ac:dyDescent="0.2">
      <c r="B595"/>
      <c r="C595" s="2"/>
      <c r="D595" s="2"/>
      <c r="E595" s="2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2:34" ht="15.75" customHeight="1" x14ac:dyDescent="0.2">
      <c r="B596"/>
      <c r="C596" s="2"/>
      <c r="D596" s="2"/>
      <c r="E596" s="2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2:34" ht="15.75" customHeight="1" x14ac:dyDescent="0.2">
      <c r="B597"/>
      <c r="C597" s="2"/>
      <c r="D597" s="2"/>
      <c r="E597" s="2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2:34" ht="15.75" customHeight="1" x14ac:dyDescent="0.2">
      <c r="B598"/>
      <c r="C598" s="2"/>
      <c r="D598" s="2"/>
      <c r="E598" s="2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2:34" ht="15.75" customHeight="1" x14ac:dyDescent="0.2">
      <c r="B599"/>
      <c r="C599" s="2"/>
      <c r="D599" s="2"/>
      <c r="E599" s="2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2:34" ht="15.75" customHeight="1" x14ac:dyDescent="0.2">
      <c r="B600"/>
      <c r="C600" s="2"/>
      <c r="D600" s="2"/>
      <c r="E600" s="2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2:34" ht="15.75" customHeight="1" x14ac:dyDescent="0.2">
      <c r="B601"/>
      <c r="C601" s="2"/>
      <c r="D601" s="2"/>
      <c r="E601" s="2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2:34" ht="15.75" customHeight="1" x14ac:dyDescent="0.2">
      <c r="B602"/>
      <c r="C602" s="2"/>
      <c r="D602" s="2"/>
      <c r="E602" s="28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2:34" ht="15.75" customHeight="1" x14ac:dyDescent="0.2">
      <c r="B603"/>
      <c r="C603" s="2"/>
      <c r="D603" s="2"/>
      <c r="E603" s="28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2:34" ht="15.75" customHeight="1" x14ac:dyDescent="0.2">
      <c r="B604"/>
      <c r="C604" s="2"/>
      <c r="D604" s="2"/>
      <c r="E604" s="2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2:34" ht="15.75" customHeight="1" x14ac:dyDescent="0.2">
      <c r="B605"/>
      <c r="C605" s="2"/>
      <c r="D605" s="2"/>
      <c r="E605" s="2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2:34" ht="15.75" customHeight="1" x14ac:dyDescent="0.2">
      <c r="B606"/>
      <c r="C606" s="2"/>
      <c r="D606" s="2"/>
      <c r="E606" s="2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2:34" ht="15.75" customHeight="1" x14ac:dyDescent="0.2">
      <c r="B607"/>
      <c r="C607" s="2"/>
      <c r="D607" s="2"/>
      <c r="E607" s="2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2:34" ht="15.75" customHeight="1" x14ac:dyDescent="0.2">
      <c r="B608"/>
      <c r="C608" s="2"/>
      <c r="D608" s="2"/>
      <c r="E608" s="2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2:34" ht="15.75" customHeight="1" x14ac:dyDescent="0.2">
      <c r="B609"/>
      <c r="C609" s="2"/>
      <c r="D609" s="2"/>
      <c r="E609" s="2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2:34" ht="15.75" customHeight="1" x14ac:dyDescent="0.2">
      <c r="B610"/>
      <c r="C610" s="2"/>
      <c r="D610" s="2"/>
      <c r="E610" s="2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2:34" ht="15.75" customHeight="1" x14ac:dyDescent="0.2">
      <c r="B611"/>
      <c r="C611" s="2"/>
      <c r="D611" s="2"/>
      <c r="E611" s="2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2:34" ht="15.75" customHeight="1" x14ac:dyDescent="0.2">
      <c r="B612"/>
      <c r="C612" s="2"/>
      <c r="D612" s="2"/>
      <c r="E612" s="2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2:34" ht="15.75" customHeight="1" x14ac:dyDescent="0.2">
      <c r="B613"/>
      <c r="C613" s="2"/>
      <c r="D613" s="2"/>
      <c r="E613" s="2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2:34" ht="15.75" customHeight="1" x14ac:dyDescent="0.2">
      <c r="B614"/>
      <c r="C614" s="2"/>
      <c r="D614" s="2"/>
      <c r="E614" s="2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2:34" ht="15.75" customHeight="1" x14ac:dyDescent="0.2">
      <c r="B615"/>
      <c r="C615" s="2"/>
      <c r="D615" s="2"/>
      <c r="E615" s="2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2:34" ht="15.75" customHeight="1" x14ac:dyDescent="0.2">
      <c r="B616"/>
      <c r="C616" s="2"/>
      <c r="D616" s="2"/>
      <c r="E616" s="2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2:34" ht="15.75" customHeight="1" x14ac:dyDescent="0.2">
      <c r="B617"/>
      <c r="C617" s="2"/>
      <c r="D617" s="2"/>
      <c r="E617" s="2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2:34" ht="15.75" customHeight="1" x14ac:dyDescent="0.2">
      <c r="B618"/>
      <c r="C618" s="2"/>
      <c r="D618" s="2"/>
      <c r="E618" s="2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2:34" ht="15.75" customHeight="1" x14ac:dyDescent="0.2">
      <c r="B619"/>
      <c r="C619" s="2"/>
      <c r="D619" s="2"/>
      <c r="E619" s="2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2:34" ht="15.75" customHeight="1" x14ac:dyDescent="0.2">
      <c r="B620"/>
      <c r="C620" s="2"/>
      <c r="D620" s="2"/>
      <c r="E620" s="2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2:34" ht="15.75" customHeight="1" x14ac:dyDescent="0.2">
      <c r="B621"/>
      <c r="C621" s="2"/>
      <c r="D621" s="2"/>
      <c r="E621" s="2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2:34" ht="15.75" customHeight="1" x14ac:dyDescent="0.2">
      <c r="B622"/>
      <c r="C622" s="2"/>
      <c r="D622" s="2"/>
      <c r="E622" s="2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2:34" ht="15.75" customHeight="1" x14ac:dyDescent="0.2">
      <c r="B623"/>
      <c r="C623" s="2"/>
      <c r="D623" s="2"/>
      <c r="E623" s="2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2:34" ht="15.75" customHeight="1" x14ac:dyDescent="0.2">
      <c r="B624"/>
      <c r="C624" s="2"/>
      <c r="D624" s="2"/>
      <c r="E624" s="2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2:34" ht="15.75" customHeight="1" x14ac:dyDescent="0.2">
      <c r="B625"/>
      <c r="C625" s="2"/>
      <c r="D625" s="2"/>
      <c r="E625" s="2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2:34" ht="15.75" customHeight="1" x14ac:dyDescent="0.2">
      <c r="B626"/>
      <c r="C626" s="2"/>
      <c r="D626" s="2"/>
      <c r="E626" s="2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2:34" ht="15.75" customHeight="1" x14ac:dyDescent="0.2">
      <c r="B627"/>
      <c r="C627" s="2"/>
      <c r="D627" s="2"/>
      <c r="E627" s="2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2:34" ht="15.75" customHeight="1" x14ac:dyDescent="0.2">
      <c r="B628"/>
      <c r="C628" s="2"/>
      <c r="D628" s="2"/>
      <c r="E628" s="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2:34" ht="15.75" customHeight="1" x14ac:dyDescent="0.2">
      <c r="B629"/>
      <c r="C629" s="2"/>
      <c r="D629" s="2"/>
      <c r="E629" s="2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2:34" ht="15.75" customHeight="1" x14ac:dyDescent="0.2">
      <c r="B630"/>
      <c r="C630" s="2"/>
      <c r="D630" s="2"/>
      <c r="E630" s="28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2:34" ht="15.75" customHeight="1" x14ac:dyDescent="0.2">
      <c r="B631"/>
      <c r="C631" s="2"/>
      <c r="D631" s="2"/>
      <c r="E631" s="28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2:34" ht="15.75" customHeight="1" x14ac:dyDescent="0.2">
      <c r="B632"/>
      <c r="C632" s="2"/>
      <c r="D632" s="2"/>
      <c r="E632" s="2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2:34" ht="15.75" customHeight="1" x14ac:dyDescent="0.2">
      <c r="B633"/>
      <c r="C633" s="2"/>
      <c r="D633" s="2"/>
      <c r="E633" s="2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2:34" ht="15.75" customHeight="1" x14ac:dyDescent="0.2">
      <c r="B634"/>
      <c r="C634" s="2"/>
      <c r="D634" s="2"/>
      <c r="E634" s="2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2:34" ht="15.75" customHeight="1" x14ac:dyDescent="0.2">
      <c r="B635"/>
      <c r="C635" s="2"/>
      <c r="D635" s="2"/>
      <c r="E635" s="2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2:34" ht="15.75" customHeight="1" x14ac:dyDescent="0.2">
      <c r="B636"/>
      <c r="C636" s="2"/>
      <c r="D636" s="2"/>
      <c r="E636" s="2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2:34" ht="15.75" customHeight="1" x14ac:dyDescent="0.2">
      <c r="B637"/>
      <c r="C637" s="2"/>
      <c r="D637" s="2"/>
      <c r="E637" s="2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2:34" ht="15.75" customHeight="1" x14ac:dyDescent="0.2">
      <c r="B638"/>
      <c r="C638" s="2"/>
      <c r="D638" s="2"/>
      <c r="E638" s="2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2:34" ht="15.75" customHeight="1" x14ac:dyDescent="0.2">
      <c r="B639"/>
      <c r="C639" s="2"/>
      <c r="D639" s="2"/>
      <c r="E639" s="2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2:34" ht="15.75" customHeight="1" x14ac:dyDescent="0.2">
      <c r="B640"/>
      <c r="C640" s="2"/>
      <c r="D640" s="2"/>
      <c r="E640" s="2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2:34" ht="15.75" customHeight="1" x14ac:dyDescent="0.2">
      <c r="B641"/>
      <c r="C641" s="2"/>
      <c r="D641" s="2"/>
      <c r="E641" s="2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2:34" ht="15.75" customHeight="1" x14ac:dyDescent="0.2">
      <c r="B642"/>
      <c r="C642" s="2"/>
      <c r="D642" s="2"/>
      <c r="E642" s="2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2:34" ht="15.75" customHeight="1" x14ac:dyDescent="0.2">
      <c r="B643"/>
      <c r="C643" s="2"/>
      <c r="D643" s="2"/>
      <c r="E643" s="2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2:34" ht="15.75" customHeight="1" x14ac:dyDescent="0.2">
      <c r="B644"/>
      <c r="C644" s="2"/>
      <c r="D644" s="2"/>
      <c r="E644" s="2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2:34" ht="15.75" customHeight="1" x14ac:dyDescent="0.2">
      <c r="B645"/>
      <c r="C645" s="2"/>
      <c r="D645" s="2"/>
      <c r="E645" s="2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2:34" ht="15.75" customHeight="1" x14ac:dyDescent="0.2">
      <c r="B646"/>
      <c r="C646" s="2"/>
      <c r="D646" s="2"/>
      <c r="E646" s="2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2:34" ht="15.75" customHeight="1" x14ac:dyDescent="0.2">
      <c r="B647"/>
      <c r="C647" s="2"/>
      <c r="D647" s="2"/>
      <c r="E647" s="2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2:34" ht="15.75" customHeight="1" x14ac:dyDescent="0.2">
      <c r="B648"/>
      <c r="C648" s="2"/>
      <c r="D648" s="2"/>
      <c r="E648" s="2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2:34" ht="15.75" customHeight="1" x14ac:dyDescent="0.2">
      <c r="B649"/>
      <c r="C649" s="2"/>
      <c r="D649" s="2"/>
      <c r="E649" s="2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2:34" ht="15.75" customHeight="1" x14ac:dyDescent="0.2">
      <c r="B650"/>
      <c r="C650" s="2"/>
      <c r="D650" s="2"/>
      <c r="E650" s="2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2:34" ht="15.75" customHeight="1" x14ac:dyDescent="0.2">
      <c r="B651"/>
      <c r="C651" s="2"/>
      <c r="D651" s="2"/>
      <c r="E651" s="2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2:34" ht="15.75" customHeight="1" x14ac:dyDescent="0.2">
      <c r="B652"/>
      <c r="C652" s="2"/>
      <c r="D652" s="2"/>
      <c r="E652" s="2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2:34" ht="15.75" customHeight="1" x14ac:dyDescent="0.2">
      <c r="B653"/>
      <c r="C653" s="2"/>
      <c r="D653" s="2"/>
      <c r="E653" s="2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2:34" ht="15.75" customHeight="1" x14ac:dyDescent="0.2">
      <c r="B654"/>
      <c r="C654" s="2"/>
      <c r="D654" s="2"/>
      <c r="E654" s="28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2:34" ht="15.75" customHeight="1" x14ac:dyDescent="0.2">
      <c r="B655"/>
      <c r="C655" s="2"/>
      <c r="D655" s="2"/>
      <c r="E655" s="2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2:34" ht="15.75" customHeight="1" x14ac:dyDescent="0.2">
      <c r="B656"/>
      <c r="C656" s="2"/>
      <c r="D656" s="2"/>
      <c r="E656" s="2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2:34" ht="15.75" customHeight="1" x14ac:dyDescent="0.2">
      <c r="B657"/>
      <c r="C657" s="2"/>
      <c r="D657" s="2"/>
      <c r="E657" s="2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2:34" ht="15.75" customHeight="1" x14ac:dyDescent="0.2">
      <c r="B658"/>
      <c r="C658" s="2"/>
      <c r="D658" s="2"/>
      <c r="E658" s="2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2:34" ht="15.75" customHeight="1" x14ac:dyDescent="0.2">
      <c r="B659"/>
      <c r="C659" s="2"/>
      <c r="D659" s="2"/>
      <c r="E659" s="28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2:34" ht="15.75" customHeight="1" x14ac:dyDescent="0.2">
      <c r="B660"/>
      <c r="C660" s="2"/>
      <c r="D660" s="2"/>
      <c r="E660" s="2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2:34" ht="15.75" customHeight="1" x14ac:dyDescent="0.2">
      <c r="B661"/>
      <c r="C661" s="2"/>
      <c r="D661" s="2"/>
      <c r="E661" s="2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2:34" ht="15.75" customHeight="1" x14ac:dyDescent="0.2">
      <c r="B662"/>
      <c r="C662" s="2"/>
      <c r="D662" s="2"/>
      <c r="E662" s="2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2:34" ht="15.75" customHeight="1" x14ac:dyDescent="0.2">
      <c r="B663"/>
      <c r="C663" s="2"/>
      <c r="D663" s="2"/>
      <c r="E663" s="2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2:34" ht="15.75" customHeight="1" x14ac:dyDescent="0.2">
      <c r="B664"/>
      <c r="C664" s="2"/>
      <c r="D664" s="2"/>
      <c r="E664" s="2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2:34" ht="15.75" customHeight="1" x14ac:dyDescent="0.2">
      <c r="B665"/>
      <c r="C665" s="2"/>
      <c r="D665" s="2"/>
      <c r="E665" s="2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2:34" ht="15.75" customHeight="1" x14ac:dyDescent="0.2">
      <c r="B666"/>
      <c r="C666" s="2"/>
      <c r="D666" s="2"/>
      <c r="E666" s="2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2:34" ht="15.75" customHeight="1" x14ac:dyDescent="0.2">
      <c r="B667"/>
      <c r="C667" s="2"/>
      <c r="D667" s="2"/>
      <c r="E667" s="2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2:34" ht="15.75" customHeight="1" x14ac:dyDescent="0.2">
      <c r="B668"/>
      <c r="C668" s="2"/>
      <c r="D668" s="2"/>
      <c r="E668" s="2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2:34" ht="15.75" customHeight="1" x14ac:dyDescent="0.2">
      <c r="B669"/>
      <c r="C669" s="2"/>
      <c r="D669" s="2"/>
      <c r="E669" s="2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2:34" ht="15.75" customHeight="1" x14ac:dyDescent="0.2">
      <c r="B670"/>
      <c r="C670" s="2"/>
      <c r="D670" s="2"/>
      <c r="E670" s="2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2:34" ht="15.75" customHeight="1" x14ac:dyDescent="0.2">
      <c r="B671"/>
      <c r="C671" s="2"/>
      <c r="D671" s="2"/>
      <c r="E671" s="2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2:34" ht="15.75" customHeight="1" x14ac:dyDescent="0.2">
      <c r="B672"/>
      <c r="C672" s="2"/>
      <c r="D672" s="2"/>
      <c r="E672" s="2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2:34" ht="15.75" customHeight="1" x14ac:dyDescent="0.2">
      <c r="B673"/>
      <c r="C673" s="2"/>
      <c r="D673" s="2"/>
      <c r="E673" s="2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2:34" ht="15.75" customHeight="1" x14ac:dyDescent="0.2">
      <c r="B674"/>
      <c r="C674" s="2"/>
      <c r="D674" s="2"/>
      <c r="E674" s="2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2:34" ht="15.75" customHeight="1" x14ac:dyDescent="0.2">
      <c r="B675"/>
      <c r="C675" s="2"/>
      <c r="D675" s="2"/>
      <c r="E675" s="2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2:34" ht="15.75" customHeight="1" x14ac:dyDescent="0.2">
      <c r="B676"/>
      <c r="C676" s="2"/>
      <c r="D676" s="2"/>
      <c r="E676" s="2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2:34" ht="15.75" customHeight="1" x14ac:dyDescent="0.2">
      <c r="B677"/>
      <c r="C677" s="2"/>
      <c r="D677" s="2"/>
      <c r="E677" s="2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2:34" ht="15.75" customHeight="1" x14ac:dyDescent="0.2">
      <c r="B678"/>
      <c r="C678" s="2"/>
      <c r="D678" s="2"/>
      <c r="E678" s="2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2:34" ht="15.75" customHeight="1" x14ac:dyDescent="0.2">
      <c r="B679"/>
      <c r="C679" s="2"/>
      <c r="D679" s="2"/>
      <c r="E679" s="2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2:34" ht="15.75" customHeight="1" x14ac:dyDescent="0.2">
      <c r="B680"/>
      <c r="C680" s="2"/>
      <c r="D680" s="2"/>
      <c r="E680" s="2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2:34" ht="15.75" customHeight="1" x14ac:dyDescent="0.2">
      <c r="B681"/>
      <c r="C681" s="2"/>
      <c r="D681" s="2"/>
      <c r="E681" s="2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2:34" ht="15.75" customHeight="1" x14ac:dyDescent="0.2">
      <c r="B682"/>
      <c r="C682" s="2"/>
      <c r="D682" s="2"/>
      <c r="E682" s="2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2:34" ht="15.75" customHeight="1" x14ac:dyDescent="0.2">
      <c r="B683"/>
      <c r="C683" s="2"/>
      <c r="D683" s="2"/>
      <c r="E683" s="2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2:34" ht="15.75" customHeight="1" x14ac:dyDescent="0.2">
      <c r="B684"/>
      <c r="C684" s="2"/>
      <c r="D684" s="2"/>
      <c r="E684" s="2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2:34" ht="15.75" customHeight="1" x14ac:dyDescent="0.2">
      <c r="B685"/>
      <c r="C685" s="2"/>
      <c r="D685" s="2"/>
      <c r="E685" s="2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2:34" ht="15.75" customHeight="1" x14ac:dyDescent="0.2">
      <c r="B686"/>
      <c r="C686" s="2"/>
      <c r="D686" s="2"/>
      <c r="E686" s="28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2:34" ht="15.75" customHeight="1" x14ac:dyDescent="0.2">
      <c r="B687"/>
      <c r="C687" s="2"/>
      <c r="D687" s="2"/>
      <c r="E687" s="28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2:34" ht="15.75" customHeight="1" x14ac:dyDescent="0.2">
      <c r="B688"/>
      <c r="C688" s="2"/>
      <c r="D688" s="2"/>
      <c r="E688" s="2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2:34" ht="15.75" customHeight="1" x14ac:dyDescent="0.2">
      <c r="B689"/>
      <c r="C689" s="2"/>
      <c r="D689" s="2"/>
      <c r="E689" s="2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2:34" ht="15.75" customHeight="1" x14ac:dyDescent="0.2">
      <c r="B690"/>
      <c r="C690" s="2"/>
      <c r="D690" s="2"/>
      <c r="E690" s="2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2:34" ht="15.75" customHeight="1" x14ac:dyDescent="0.2">
      <c r="B691"/>
      <c r="C691" s="2"/>
      <c r="D691" s="2"/>
      <c r="E691" s="2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2:34" ht="15.75" customHeight="1" x14ac:dyDescent="0.2">
      <c r="B692"/>
      <c r="C692" s="2"/>
      <c r="D692" s="2"/>
      <c r="E692" s="28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2:34" ht="15.75" customHeight="1" x14ac:dyDescent="0.2">
      <c r="B693"/>
      <c r="C693" s="2"/>
      <c r="D693" s="2"/>
      <c r="E693" s="28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2:34" ht="15.75" customHeight="1" x14ac:dyDescent="0.2">
      <c r="B694"/>
      <c r="C694" s="2"/>
      <c r="D694" s="2"/>
      <c r="E694" s="28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2:34" ht="15.75" customHeight="1" x14ac:dyDescent="0.2">
      <c r="B695"/>
      <c r="C695" s="2"/>
      <c r="D695" s="2"/>
      <c r="E695" s="2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2:34" ht="15.75" customHeight="1" x14ac:dyDescent="0.2">
      <c r="B696"/>
      <c r="C696" s="2"/>
      <c r="D696" s="2"/>
      <c r="E696" s="2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2:34" ht="15.75" customHeight="1" x14ac:dyDescent="0.2">
      <c r="B697"/>
      <c r="C697" s="2"/>
      <c r="D697" s="2"/>
      <c r="E697" s="2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2:34" ht="15.75" customHeight="1" x14ac:dyDescent="0.2">
      <c r="B698"/>
      <c r="C698" s="2"/>
      <c r="D698" s="2"/>
      <c r="E698" s="2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2:34" ht="15.75" customHeight="1" x14ac:dyDescent="0.2">
      <c r="B699"/>
      <c r="C699" s="2"/>
      <c r="D699" s="2"/>
      <c r="E699" s="2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2:34" ht="15.75" customHeight="1" x14ac:dyDescent="0.2">
      <c r="B700"/>
      <c r="C700" s="2"/>
      <c r="D700" s="2"/>
      <c r="E700" s="28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2:34" ht="15.75" customHeight="1" x14ac:dyDescent="0.2">
      <c r="B701"/>
      <c r="C701" s="2"/>
      <c r="D701" s="2"/>
      <c r="E701" s="28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2:34" ht="15.75" customHeight="1" x14ac:dyDescent="0.2">
      <c r="B702"/>
      <c r="C702" s="2"/>
      <c r="D702" s="2"/>
      <c r="E702" s="28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2:34" ht="15.75" customHeight="1" x14ac:dyDescent="0.2">
      <c r="B703"/>
      <c r="C703" s="2"/>
      <c r="D703" s="2"/>
      <c r="E703" s="28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2:34" ht="15.75" customHeight="1" x14ac:dyDescent="0.2">
      <c r="B704"/>
      <c r="C704" s="2"/>
      <c r="D704" s="2"/>
      <c r="E704" s="2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2:34" ht="15.75" customHeight="1" x14ac:dyDescent="0.2">
      <c r="B705"/>
      <c r="C705" s="2"/>
      <c r="D705" s="2"/>
      <c r="E705" s="2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2:34" ht="15.75" customHeight="1" x14ac:dyDescent="0.2">
      <c r="B706"/>
      <c r="C706" s="2"/>
      <c r="D706" s="2"/>
      <c r="E706" s="28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2:34" ht="15.75" customHeight="1" x14ac:dyDescent="0.2">
      <c r="B707"/>
      <c r="C707" s="2"/>
      <c r="D707" s="2"/>
      <c r="E707" s="28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2:34" ht="15.75" customHeight="1" x14ac:dyDescent="0.2">
      <c r="B708"/>
      <c r="C708" s="2"/>
      <c r="D708" s="2"/>
      <c r="E708" s="2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2:34" ht="15.75" customHeight="1" x14ac:dyDescent="0.2">
      <c r="B709"/>
      <c r="C709" s="2"/>
      <c r="D709" s="2"/>
      <c r="E709" s="28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2:34" ht="15.75" customHeight="1" x14ac:dyDescent="0.2">
      <c r="B710"/>
      <c r="C710" s="2"/>
      <c r="D710" s="2"/>
      <c r="E710" s="28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2:34" ht="15.75" customHeight="1" x14ac:dyDescent="0.2">
      <c r="B711"/>
      <c r="C711" s="2"/>
      <c r="D711" s="2"/>
      <c r="E711" s="28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2:34" ht="15.75" customHeight="1" x14ac:dyDescent="0.2">
      <c r="B712"/>
      <c r="C712" s="2"/>
      <c r="D712" s="2"/>
      <c r="E712" s="2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2:34" ht="15.75" customHeight="1" x14ac:dyDescent="0.2">
      <c r="B713"/>
      <c r="C713" s="2"/>
      <c r="D713" s="2"/>
      <c r="E713" s="2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2:34" ht="15.75" customHeight="1" x14ac:dyDescent="0.2">
      <c r="B714"/>
      <c r="C714" s="2"/>
      <c r="D714" s="2"/>
      <c r="E714" s="28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2:34" ht="15.75" customHeight="1" x14ac:dyDescent="0.2">
      <c r="B715"/>
      <c r="C715" s="2"/>
      <c r="D715" s="2"/>
      <c r="E715" s="28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2:34" ht="15.75" customHeight="1" x14ac:dyDescent="0.2">
      <c r="B716"/>
      <c r="C716" s="2"/>
      <c r="D716" s="2"/>
      <c r="E716" s="28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2:34" ht="15.75" customHeight="1" x14ac:dyDescent="0.2">
      <c r="B717"/>
      <c r="C717" s="2"/>
      <c r="D717" s="2"/>
      <c r="E717" s="28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2:34" ht="15.75" customHeight="1" x14ac:dyDescent="0.2">
      <c r="B718"/>
      <c r="C718" s="2"/>
      <c r="D718" s="2"/>
      <c r="E718" s="2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2:34" ht="15.75" customHeight="1" x14ac:dyDescent="0.2">
      <c r="B719"/>
      <c r="C719" s="2"/>
      <c r="D719" s="2"/>
      <c r="E719" s="28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2:34" ht="15.75" customHeight="1" x14ac:dyDescent="0.2">
      <c r="B720"/>
      <c r="C720" s="2"/>
      <c r="D720" s="2"/>
      <c r="E720" s="28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2:34" ht="15.75" customHeight="1" x14ac:dyDescent="0.2">
      <c r="B721"/>
      <c r="C721" s="2"/>
      <c r="D721" s="2"/>
      <c r="E721" s="28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2:34" ht="15.75" customHeight="1" x14ac:dyDescent="0.2">
      <c r="B722"/>
      <c r="C722" s="2"/>
      <c r="D722" s="2"/>
      <c r="E722" s="28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2:34" ht="15.75" customHeight="1" x14ac:dyDescent="0.2">
      <c r="B723"/>
      <c r="C723" s="2"/>
      <c r="D723" s="2"/>
      <c r="E723" s="28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2:34" ht="15.75" customHeight="1" x14ac:dyDescent="0.2">
      <c r="B724"/>
      <c r="C724" s="2"/>
      <c r="D724" s="2"/>
      <c r="E724" s="28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2:34" ht="15.75" customHeight="1" x14ac:dyDescent="0.2">
      <c r="B725"/>
      <c r="C725" s="2"/>
      <c r="D725" s="2"/>
      <c r="E725" s="28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2:34" ht="15.75" customHeight="1" x14ac:dyDescent="0.2">
      <c r="B726"/>
      <c r="C726" s="2"/>
      <c r="D726" s="2"/>
      <c r="E726" s="28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2:34" ht="15.75" customHeight="1" x14ac:dyDescent="0.2">
      <c r="B727"/>
      <c r="C727" s="2"/>
      <c r="D727" s="2"/>
      <c r="E727" s="28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2:34" ht="15.75" customHeight="1" x14ac:dyDescent="0.2">
      <c r="B728"/>
      <c r="C728" s="2"/>
      <c r="D728" s="2"/>
      <c r="E728" s="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2:34" ht="15.75" customHeight="1" x14ac:dyDescent="0.2">
      <c r="B729"/>
      <c r="C729" s="2"/>
      <c r="D729" s="2"/>
      <c r="E729" s="28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2:34" ht="15.75" customHeight="1" x14ac:dyDescent="0.2">
      <c r="B730"/>
      <c r="C730" s="2"/>
      <c r="D730" s="2"/>
      <c r="E730" s="28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2:34" ht="15.75" customHeight="1" x14ac:dyDescent="0.2">
      <c r="B731"/>
      <c r="C731" s="2"/>
      <c r="D731" s="2"/>
      <c r="E731" s="28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2:34" ht="15.75" customHeight="1" x14ac:dyDescent="0.2">
      <c r="B732"/>
      <c r="C732" s="2"/>
      <c r="D732" s="2"/>
      <c r="E732" s="28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2:34" ht="15.75" customHeight="1" x14ac:dyDescent="0.2">
      <c r="B733"/>
      <c r="C733" s="2"/>
      <c r="D733" s="2"/>
      <c r="E733" s="28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2:34" ht="15.75" customHeight="1" x14ac:dyDescent="0.2">
      <c r="B734"/>
      <c r="C734" s="2"/>
      <c r="D734" s="2"/>
      <c r="E734" s="28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2:34" ht="15.75" customHeight="1" x14ac:dyDescent="0.2">
      <c r="B735"/>
      <c r="C735" s="2"/>
      <c r="D735" s="2"/>
      <c r="E735" s="2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2:34" ht="15.75" customHeight="1" x14ac:dyDescent="0.2">
      <c r="B736"/>
      <c r="C736" s="2"/>
      <c r="D736" s="2"/>
      <c r="E736" s="2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2:34" ht="15.75" customHeight="1" x14ac:dyDescent="0.2">
      <c r="B737"/>
      <c r="C737" s="2"/>
      <c r="D737" s="2"/>
      <c r="E737" s="2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2:34" ht="15.75" customHeight="1" x14ac:dyDescent="0.2">
      <c r="B738"/>
      <c r="C738" s="2"/>
      <c r="D738" s="2"/>
      <c r="E738" s="2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2:34" ht="15.75" customHeight="1" x14ac:dyDescent="0.2">
      <c r="B739"/>
      <c r="C739" s="2"/>
      <c r="D739" s="2"/>
      <c r="E739" s="28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2:34" ht="15.75" customHeight="1" x14ac:dyDescent="0.2">
      <c r="B740"/>
      <c r="C740" s="2"/>
      <c r="D740" s="2"/>
      <c r="E740" s="28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2:34" ht="15.75" customHeight="1" x14ac:dyDescent="0.2">
      <c r="B741"/>
      <c r="C741" s="2"/>
      <c r="D741" s="2"/>
      <c r="E741" s="28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2:34" ht="15.75" customHeight="1" x14ac:dyDescent="0.2">
      <c r="B742"/>
      <c r="C742" s="2"/>
      <c r="D742" s="2"/>
      <c r="E742" s="28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2:34" ht="15.75" customHeight="1" x14ac:dyDescent="0.2">
      <c r="B743"/>
      <c r="C743" s="2"/>
      <c r="D743" s="2"/>
      <c r="E743" s="28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2:34" ht="15.75" customHeight="1" x14ac:dyDescent="0.2">
      <c r="B744"/>
      <c r="C744" s="2"/>
      <c r="D744" s="2"/>
      <c r="E744" s="28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2:34" ht="15.75" customHeight="1" x14ac:dyDescent="0.2">
      <c r="B745"/>
      <c r="C745" s="2"/>
      <c r="D745" s="2"/>
      <c r="E745" s="28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2:34" ht="15.75" customHeight="1" x14ac:dyDescent="0.2">
      <c r="B746"/>
      <c r="C746" s="2"/>
      <c r="D746" s="2"/>
      <c r="E746" s="28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2:34" ht="15.75" customHeight="1" x14ac:dyDescent="0.2">
      <c r="B747"/>
      <c r="C747" s="2"/>
      <c r="D747" s="2"/>
      <c r="E747" s="28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2:34" ht="15.75" customHeight="1" x14ac:dyDescent="0.2">
      <c r="B748"/>
      <c r="C748" s="2"/>
      <c r="D748" s="2"/>
      <c r="E748" s="2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2:34" ht="15.75" customHeight="1" x14ac:dyDescent="0.2">
      <c r="B749"/>
      <c r="C749" s="2"/>
      <c r="D749" s="2"/>
      <c r="E749" s="2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2:34" ht="15.75" customHeight="1" x14ac:dyDescent="0.2">
      <c r="B750"/>
      <c r="C750" s="2"/>
      <c r="D750" s="2"/>
      <c r="E750" s="2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2:34" ht="15.75" customHeight="1" x14ac:dyDescent="0.2">
      <c r="B751"/>
      <c r="C751" s="2"/>
      <c r="D751" s="2"/>
      <c r="E751" s="2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2:34" ht="15.75" customHeight="1" x14ac:dyDescent="0.2">
      <c r="B752"/>
      <c r="C752" s="2"/>
      <c r="D752" s="2"/>
      <c r="E752" s="28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2:34" ht="15.75" customHeight="1" x14ac:dyDescent="0.2">
      <c r="B753"/>
      <c r="C753" s="2"/>
      <c r="D753" s="2"/>
      <c r="E753" s="2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2:34" ht="15.75" customHeight="1" x14ac:dyDescent="0.2">
      <c r="B754"/>
      <c r="C754" s="2"/>
      <c r="D754" s="2"/>
      <c r="E754" s="2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2:34" ht="15.75" customHeight="1" x14ac:dyDescent="0.2">
      <c r="B755"/>
    </row>
    <row r="756" spans="2:34" ht="15.75" customHeight="1" x14ac:dyDescent="0.2">
      <c r="B756"/>
    </row>
    <row r="757" spans="2:34" ht="15.75" customHeight="1" x14ac:dyDescent="0.2">
      <c r="B757"/>
    </row>
    <row r="758" spans="2:34" ht="15.75" customHeight="1" x14ac:dyDescent="0.2">
      <c r="B758"/>
    </row>
    <row r="759" spans="2:34" ht="15.75" customHeight="1" x14ac:dyDescent="0.2">
      <c r="B759"/>
    </row>
    <row r="760" spans="2:34" ht="15.75" customHeight="1" x14ac:dyDescent="0.2">
      <c r="B760"/>
    </row>
    <row r="761" spans="2:34" ht="15.75" customHeight="1" x14ac:dyDescent="0.2">
      <c r="B761"/>
    </row>
    <row r="762" spans="2:34" ht="15.75" customHeight="1" x14ac:dyDescent="0.2">
      <c r="B762"/>
    </row>
    <row r="763" spans="2:34" ht="15.75" customHeight="1" x14ac:dyDescent="0.2">
      <c r="B763"/>
    </row>
    <row r="764" spans="2:34" ht="15.75" customHeight="1" x14ac:dyDescent="0.2">
      <c r="B764"/>
    </row>
    <row r="765" spans="2:34" s="2" customFormat="1" ht="15.75" customHeight="1" x14ac:dyDescent="0.2">
      <c r="C765"/>
      <c r="D765"/>
      <c r="E765" s="3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</row>
    <row r="766" spans="2:34" s="2" customFormat="1" ht="15.75" customHeight="1" x14ac:dyDescent="0.2">
      <c r="C766"/>
      <c r="D766"/>
      <c r="E766" s="35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</row>
    <row r="767" spans="2:34" s="2" customFormat="1" ht="15.75" customHeight="1" x14ac:dyDescent="0.2">
      <c r="C767"/>
      <c r="D767"/>
      <c r="E767" s="35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</row>
    <row r="768" spans="2:34" s="2" customFormat="1" ht="15.75" customHeight="1" x14ac:dyDescent="0.2">
      <c r="C768"/>
      <c r="D768"/>
      <c r="E768" s="35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</row>
    <row r="769" spans="3:34" s="2" customFormat="1" ht="15.75" customHeight="1" x14ac:dyDescent="0.2">
      <c r="C769"/>
      <c r="D769"/>
      <c r="E769" s="35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</row>
    <row r="770" spans="3:34" s="2" customFormat="1" ht="15.75" customHeight="1" x14ac:dyDescent="0.2">
      <c r="C770"/>
      <c r="D770"/>
      <c r="E770" s="35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</row>
    <row r="771" spans="3:34" s="2" customFormat="1" ht="15.75" customHeight="1" x14ac:dyDescent="0.2">
      <c r="C771"/>
      <c r="D771"/>
      <c r="E771" s="35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</row>
    <row r="772" spans="3:34" s="2" customFormat="1" ht="15.75" customHeight="1" x14ac:dyDescent="0.2">
      <c r="C772"/>
      <c r="D772"/>
      <c r="E772" s="35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</row>
    <row r="773" spans="3:34" s="2" customFormat="1" ht="15.75" customHeight="1" x14ac:dyDescent="0.2">
      <c r="C773"/>
      <c r="D773"/>
      <c r="E773" s="35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</row>
    <row r="774" spans="3:34" s="2" customFormat="1" ht="15.75" customHeight="1" x14ac:dyDescent="0.2">
      <c r="C774"/>
      <c r="D774"/>
      <c r="E774" s="35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</row>
    <row r="775" spans="3:34" s="2" customFormat="1" ht="15.75" customHeight="1" x14ac:dyDescent="0.2">
      <c r="C775"/>
      <c r="D775"/>
      <c r="E775" s="3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</row>
    <row r="776" spans="3:34" s="2" customFormat="1" ht="15.75" customHeight="1" x14ac:dyDescent="0.2">
      <c r="C776"/>
      <c r="D776"/>
      <c r="E776" s="35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</row>
    <row r="777" spans="3:34" s="2" customFormat="1" ht="15.75" customHeight="1" x14ac:dyDescent="0.2">
      <c r="C777"/>
      <c r="D777"/>
      <c r="E777" s="35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</row>
    <row r="778" spans="3:34" s="2" customFormat="1" ht="15.75" customHeight="1" x14ac:dyDescent="0.2">
      <c r="C778"/>
      <c r="D778"/>
      <c r="E778" s="35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</row>
    <row r="779" spans="3:34" s="2" customFormat="1" ht="15.75" customHeight="1" x14ac:dyDescent="0.2">
      <c r="C779"/>
      <c r="D779"/>
      <c r="E779" s="35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</row>
    <row r="780" spans="3:34" s="2" customFormat="1" ht="15.75" customHeight="1" x14ac:dyDescent="0.2">
      <c r="C780"/>
      <c r="D780"/>
      <c r="E780" s="35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</row>
    <row r="781" spans="3:34" s="2" customFormat="1" ht="15.75" customHeight="1" x14ac:dyDescent="0.2">
      <c r="C781"/>
      <c r="D781"/>
      <c r="E781" s="35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</row>
    <row r="782" spans="3:34" s="2" customFormat="1" ht="15.75" customHeight="1" x14ac:dyDescent="0.2">
      <c r="C782"/>
      <c r="D782"/>
      <c r="E782" s="35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</row>
    <row r="783" spans="3:34" s="2" customFormat="1" ht="15.75" customHeight="1" x14ac:dyDescent="0.2">
      <c r="C783"/>
      <c r="D783"/>
      <c r="E783" s="35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</row>
    <row r="784" spans="3:34" s="2" customFormat="1" ht="15.75" customHeight="1" x14ac:dyDescent="0.2">
      <c r="C784"/>
      <c r="D784"/>
      <c r="E784" s="35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</row>
    <row r="785" spans="3:34" s="2" customFormat="1" ht="15.75" customHeight="1" x14ac:dyDescent="0.2">
      <c r="C785"/>
      <c r="D785"/>
      <c r="E785" s="3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</row>
    <row r="786" spans="3:34" s="2" customFormat="1" ht="15.75" customHeight="1" x14ac:dyDescent="0.2">
      <c r="C786"/>
      <c r="D786"/>
      <c r="E786" s="35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</row>
    <row r="787" spans="3:34" s="2" customFormat="1" ht="15.75" customHeight="1" x14ac:dyDescent="0.2">
      <c r="C787"/>
      <c r="D787"/>
      <c r="E787" s="35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</row>
    <row r="788" spans="3:34" s="2" customFormat="1" ht="15.75" customHeight="1" x14ac:dyDescent="0.2">
      <c r="C788"/>
      <c r="D788"/>
      <c r="E788" s="35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</row>
    <row r="789" spans="3:34" s="2" customFormat="1" ht="15.75" customHeight="1" x14ac:dyDescent="0.2">
      <c r="C789"/>
      <c r="D789"/>
      <c r="E789" s="35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</row>
    <row r="790" spans="3:34" s="2" customFormat="1" ht="15.75" customHeight="1" x14ac:dyDescent="0.2">
      <c r="C790"/>
      <c r="D790"/>
      <c r="E790" s="35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</row>
    <row r="791" spans="3:34" s="2" customFormat="1" ht="15.75" customHeight="1" x14ac:dyDescent="0.2">
      <c r="C791"/>
      <c r="D791"/>
      <c r="E791" s="35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</row>
    <row r="792" spans="3:34" s="2" customFormat="1" ht="15.75" customHeight="1" x14ac:dyDescent="0.2">
      <c r="C792"/>
      <c r="D792"/>
      <c r="E792" s="35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</row>
    <row r="793" spans="3:34" s="2" customFormat="1" ht="15.75" customHeight="1" x14ac:dyDescent="0.2">
      <c r="C793"/>
      <c r="D793"/>
      <c r="E793" s="35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</row>
    <row r="794" spans="3:34" s="2" customFormat="1" ht="15.75" customHeight="1" x14ac:dyDescent="0.2">
      <c r="C794"/>
      <c r="D794"/>
      <c r="E794" s="35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</row>
    <row r="795" spans="3:34" s="2" customFormat="1" ht="15.75" customHeight="1" x14ac:dyDescent="0.2">
      <c r="C795"/>
      <c r="D795"/>
      <c r="E795" s="3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</row>
    <row r="796" spans="3:34" s="2" customFormat="1" ht="15.75" customHeight="1" x14ac:dyDescent="0.2">
      <c r="C796"/>
      <c r="D796"/>
      <c r="E796" s="35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</row>
    <row r="797" spans="3:34" s="2" customFormat="1" ht="15.75" customHeight="1" x14ac:dyDescent="0.2">
      <c r="C797"/>
      <c r="D797"/>
      <c r="E797" s="35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</row>
    <row r="798" spans="3:34" s="2" customFormat="1" ht="15.75" customHeight="1" x14ac:dyDescent="0.2">
      <c r="C798"/>
      <c r="D798"/>
      <c r="E798" s="35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</row>
    <row r="799" spans="3:34" s="2" customFormat="1" ht="15.75" customHeight="1" x14ac:dyDescent="0.2">
      <c r="C799"/>
      <c r="D799"/>
      <c r="E799" s="35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</row>
    <row r="800" spans="3:34" s="2" customFormat="1" ht="15.75" customHeight="1" x14ac:dyDescent="0.2">
      <c r="C800"/>
      <c r="D800"/>
      <c r="E800" s="35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</row>
    <row r="801" spans="3:34" s="2" customFormat="1" ht="15.75" customHeight="1" x14ac:dyDescent="0.2">
      <c r="C801"/>
      <c r="D801"/>
      <c r="E801" s="35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</row>
    <row r="802" spans="3:34" s="2" customFormat="1" ht="15.75" customHeight="1" x14ac:dyDescent="0.2">
      <c r="C802"/>
      <c r="D802"/>
      <c r="E802" s="35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</row>
    <row r="803" spans="3:34" s="2" customFormat="1" ht="15.75" customHeight="1" x14ac:dyDescent="0.2">
      <c r="C803"/>
      <c r="D803"/>
      <c r="E803" s="35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</row>
    <row r="804" spans="3:34" s="2" customFormat="1" ht="15.75" customHeight="1" x14ac:dyDescent="0.2">
      <c r="C804"/>
      <c r="D804"/>
      <c r="E804" s="35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</row>
    <row r="805" spans="3:34" s="2" customFormat="1" ht="15.75" customHeight="1" x14ac:dyDescent="0.2">
      <c r="C805"/>
      <c r="D805"/>
      <c r="E805" s="3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</row>
    <row r="806" spans="3:34" s="2" customFormat="1" ht="15.75" customHeight="1" x14ac:dyDescent="0.2">
      <c r="C806"/>
      <c r="D806"/>
      <c r="E806" s="35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</row>
    <row r="807" spans="3:34" s="2" customFormat="1" ht="15.75" customHeight="1" x14ac:dyDescent="0.2">
      <c r="C807"/>
      <c r="D807"/>
      <c r="E807" s="35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</row>
    <row r="808" spans="3:34" s="2" customFormat="1" ht="15.75" customHeight="1" x14ac:dyDescent="0.2">
      <c r="C808"/>
      <c r="D808"/>
      <c r="E808" s="35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</row>
    <row r="809" spans="3:34" s="2" customFormat="1" ht="15.75" customHeight="1" x14ac:dyDescent="0.2">
      <c r="C809"/>
      <c r="D809"/>
      <c r="E809" s="35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</row>
    <row r="810" spans="3:34" s="2" customFormat="1" ht="15.75" customHeight="1" x14ac:dyDescent="0.2">
      <c r="C810"/>
      <c r="D810"/>
      <c r="E810" s="35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</row>
    <row r="811" spans="3:34" s="2" customFormat="1" ht="15.75" customHeight="1" x14ac:dyDescent="0.2">
      <c r="C811"/>
      <c r="D811"/>
      <c r="E811" s="35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</row>
    <row r="812" spans="3:34" s="2" customFormat="1" ht="15.75" customHeight="1" x14ac:dyDescent="0.2">
      <c r="C812"/>
      <c r="D812"/>
      <c r="E812" s="35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</row>
    <row r="813" spans="3:34" s="2" customFormat="1" ht="15.75" customHeight="1" x14ac:dyDescent="0.2">
      <c r="C813"/>
      <c r="D813"/>
      <c r="E813" s="35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</row>
    <row r="814" spans="3:34" s="2" customFormat="1" ht="15.75" customHeight="1" x14ac:dyDescent="0.2">
      <c r="C814"/>
      <c r="D814"/>
      <c r="E814" s="35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</row>
    <row r="815" spans="3:34" s="2" customFormat="1" ht="15.75" customHeight="1" x14ac:dyDescent="0.2">
      <c r="C815"/>
      <c r="D815"/>
      <c r="E815" s="3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</row>
    <row r="816" spans="3:34" s="2" customFormat="1" ht="15.75" customHeight="1" x14ac:dyDescent="0.2">
      <c r="C816"/>
      <c r="D816"/>
      <c r="E816" s="35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</row>
    <row r="817" spans="3:34" s="2" customFormat="1" ht="15.75" customHeight="1" x14ac:dyDescent="0.2">
      <c r="C817"/>
      <c r="D817"/>
      <c r="E817" s="35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</row>
    <row r="818" spans="3:34" s="2" customFormat="1" ht="15.75" customHeight="1" x14ac:dyDescent="0.2">
      <c r="C818"/>
      <c r="D818"/>
      <c r="E818" s="35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</row>
    <row r="819" spans="3:34" s="2" customFormat="1" ht="15.75" customHeight="1" x14ac:dyDescent="0.2">
      <c r="C819"/>
      <c r="D819"/>
      <c r="E819" s="35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</row>
    <row r="820" spans="3:34" s="2" customFormat="1" ht="15.75" customHeight="1" x14ac:dyDescent="0.2">
      <c r="C820"/>
      <c r="D820"/>
      <c r="E820" s="35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</row>
    <row r="821" spans="3:34" s="2" customFormat="1" ht="15.75" customHeight="1" x14ac:dyDescent="0.2">
      <c r="C821"/>
      <c r="D821"/>
      <c r="E821" s="35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</row>
    <row r="822" spans="3:34" s="2" customFormat="1" ht="15.75" customHeight="1" x14ac:dyDescent="0.2">
      <c r="C822"/>
      <c r="D822"/>
      <c r="E822" s="35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</row>
    <row r="823" spans="3:34" s="2" customFormat="1" ht="15.75" customHeight="1" x14ac:dyDescent="0.2">
      <c r="C823"/>
      <c r="D823"/>
      <c r="E823" s="35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</row>
    <row r="824" spans="3:34" s="2" customFormat="1" ht="15.75" customHeight="1" x14ac:dyDescent="0.2">
      <c r="C824"/>
      <c r="D824"/>
      <c r="E824" s="35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</row>
    <row r="825" spans="3:34" s="2" customFormat="1" ht="15.75" customHeight="1" x14ac:dyDescent="0.2">
      <c r="C825"/>
      <c r="D825"/>
      <c r="E825" s="3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</row>
    <row r="826" spans="3:34" s="2" customFormat="1" ht="15.75" customHeight="1" x14ac:dyDescent="0.2">
      <c r="C826"/>
      <c r="D826"/>
      <c r="E826" s="35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</row>
    <row r="827" spans="3:34" s="2" customFormat="1" ht="15.75" customHeight="1" x14ac:dyDescent="0.2">
      <c r="C827"/>
      <c r="D827"/>
      <c r="E827" s="35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</row>
    <row r="828" spans="3:34" s="2" customFormat="1" ht="15.75" customHeight="1" x14ac:dyDescent="0.2">
      <c r="C828"/>
      <c r="D828"/>
      <c r="E828" s="35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</row>
    <row r="829" spans="3:34" s="2" customFormat="1" ht="15.75" customHeight="1" x14ac:dyDescent="0.2">
      <c r="C829"/>
      <c r="D829"/>
      <c r="E829" s="35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</row>
    <row r="830" spans="3:34" s="2" customFormat="1" ht="15.75" customHeight="1" x14ac:dyDescent="0.2">
      <c r="C830"/>
      <c r="D830"/>
      <c r="E830" s="35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</row>
    <row r="831" spans="3:34" s="2" customFormat="1" ht="15.75" customHeight="1" x14ac:dyDescent="0.2">
      <c r="C831"/>
      <c r="D831"/>
      <c r="E831" s="35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</row>
    <row r="832" spans="3:34" s="2" customFormat="1" ht="15.75" customHeight="1" x14ac:dyDescent="0.2">
      <c r="C832"/>
      <c r="D832"/>
      <c r="E832" s="35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</row>
    <row r="833" spans="3:34" s="2" customFormat="1" ht="15.75" customHeight="1" x14ac:dyDescent="0.2">
      <c r="C833"/>
      <c r="D833"/>
      <c r="E833" s="35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</row>
    <row r="834" spans="3:34" s="2" customFormat="1" ht="15.75" customHeight="1" x14ac:dyDescent="0.2">
      <c r="C834"/>
      <c r="D834"/>
      <c r="E834" s="35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</row>
    <row r="835" spans="3:34" s="2" customFormat="1" ht="15.75" customHeight="1" x14ac:dyDescent="0.2">
      <c r="C835"/>
      <c r="D835"/>
      <c r="E835" s="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</row>
    <row r="836" spans="3:34" s="2" customFormat="1" ht="15.75" customHeight="1" x14ac:dyDescent="0.2">
      <c r="C836"/>
      <c r="D836"/>
      <c r="E836" s="35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</row>
    <row r="837" spans="3:34" s="2" customFormat="1" ht="15.75" customHeight="1" x14ac:dyDescent="0.2">
      <c r="C837"/>
      <c r="D837"/>
      <c r="E837" s="35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</row>
    <row r="838" spans="3:34" s="2" customFormat="1" ht="15.75" customHeight="1" x14ac:dyDescent="0.2">
      <c r="C838"/>
      <c r="D838"/>
      <c r="E838" s="35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</row>
    <row r="839" spans="3:34" s="2" customFormat="1" ht="15.75" customHeight="1" x14ac:dyDescent="0.2">
      <c r="C839"/>
      <c r="D839"/>
      <c r="E839" s="35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</row>
    <row r="840" spans="3:34" s="2" customFormat="1" ht="15.75" customHeight="1" x14ac:dyDescent="0.2">
      <c r="C840"/>
      <c r="D840"/>
      <c r="E840" s="35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</row>
    <row r="841" spans="3:34" s="2" customFormat="1" ht="15.75" customHeight="1" x14ac:dyDescent="0.2">
      <c r="C841"/>
      <c r="D841"/>
      <c r="E841" s="35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</row>
    <row r="842" spans="3:34" s="2" customFormat="1" ht="15.75" customHeight="1" x14ac:dyDescent="0.2">
      <c r="C842"/>
      <c r="D842"/>
      <c r="E842" s="35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</row>
    <row r="843" spans="3:34" s="2" customFormat="1" ht="15.75" customHeight="1" x14ac:dyDescent="0.2">
      <c r="C843"/>
      <c r="D843"/>
      <c r="E843" s="35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</row>
    <row r="844" spans="3:34" s="2" customFormat="1" ht="15.75" customHeight="1" x14ac:dyDescent="0.2">
      <c r="C844"/>
      <c r="D844"/>
      <c r="E844" s="35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</row>
    <row r="845" spans="3:34" s="2" customFormat="1" ht="15.75" customHeight="1" x14ac:dyDescent="0.2">
      <c r="C845"/>
      <c r="D845"/>
      <c r="E845" s="3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</row>
    <row r="846" spans="3:34" s="2" customFormat="1" ht="15.75" customHeight="1" x14ac:dyDescent="0.2">
      <c r="C846"/>
      <c r="D846"/>
      <c r="E846" s="35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</row>
    <row r="847" spans="3:34" s="2" customFormat="1" ht="15.75" customHeight="1" x14ac:dyDescent="0.2">
      <c r="C847"/>
      <c r="D847"/>
      <c r="E847" s="35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</row>
    <row r="848" spans="3:34" s="2" customFormat="1" ht="15.75" customHeight="1" x14ac:dyDescent="0.2">
      <c r="C848"/>
      <c r="D848"/>
      <c r="E848" s="35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</row>
    <row r="849" spans="3:34" s="2" customFormat="1" ht="15.75" customHeight="1" x14ac:dyDescent="0.2">
      <c r="C849"/>
      <c r="D849"/>
      <c r="E849" s="35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</row>
    <row r="850" spans="3:34" s="2" customFormat="1" ht="15.75" customHeight="1" x14ac:dyDescent="0.2">
      <c r="C850"/>
      <c r="D850"/>
      <c r="E850" s="35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</row>
    <row r="851" spans="3:34" s="2" customFormat="1" ht="15.75" customHeight="1" x14ac:dyDescent="0.2">
      <c r="C851"/>
      <c r="D851"/>
      <c r="E851" s="35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</row>
    <row r="852" spans="3:34" s="2" customFormat="1" ht="15.75" customHeight="1" x14ac:dyDescent="0.2">
      <c r="C852"/>
      <c r="D852"/>
      <c r="E852" s="35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</row>
    <row r="853" spans="3:34" s="2" customFormat="1" ht="15.75" customHeight="1" x14ac:dyDescent="0.2">
      <c r="C853"/>
      <c r="D853"/>
      <c r="E853" s="35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</row>
    <row r="854" spans="3:34" s="2" customFormat="1" ht="15.75" customHeight="1" x14ac:dyDescent="0.2">
      <c r="C854"/>
      <c r="D854"/>
      <c r="E854" s="35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</row>
    <row r="855" spans="3:34" s="2" customFormat="1" ht="15.75" customHeight="1" x14ac:dyDescent="0.2">
      <c r="C855"/>
      <c r="D855"/>
      <c r="E855" s="3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</row>
    <row r="856" spans="3:34" s="2" customFormat="1" ht="15.75" customHeight="1" x14ac:dyDescent="0.2">
      <c r="C856"/>
      <c r="D856"/>
      <c r="E856" s="35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</row>
    <row r="857" spans="3:34" s="2" customFormat="1" ht="15.75" customHeight="1" x14ac:dyDescent="0.2">
      <c r="C857"/>
      <c r="D857"/>
      <c r="E857" s="35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</row>
    <row r="858" spans="3:34" s="2" customFormat="1" ht="15.75" customHeight="1" x14ac:dyDescent="0.2">
      <c r="C858"/>
      <c r="D858"/>
      <c r="E858" s="35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</row>
  </sheetData>
  <mergeCells count="6">
    <mergeCell ref="C4:E4"/>
    <mergeCell ref="B5:E5"/>
    <mergeCell ref="B7:B8"/>
    <mergeCell ref="C7:C8"/>
    <mergeCell ref="D7:D8"/>
    <mergeCell ref="E7:E8"/>
  </mergeCells>
  <phoneticPr fontId="13" type="noConversion"/>
  <pageMargins left="0.70866141732283472" right="0.70866141732283472" top="0.55118110236220474" bottom="0.35433070866141736" header="0.31496062992125984" footer="0.31496062992125984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60"/>
  <sheetViews>
    <sheetView zoomScale="80" zoomScaleNormal="80" workbookViewId="0">
      <selection activeCell="A4" sqref="A4:A5"/>
    </sheetView>
  </sheetViews>
  <sheetFormatPr defaultRowHeight="12.75" x14ac:dyDescent="0.2"/>
  <cols>
    <col min="1" max="1" width="14.42578125" customWidth="1"/>
    <col min="2" max="2" width="12.140625" customWidth="1"/>
    <col min="3" max="3" width="12.140625" hidden="1" customWidth="1"/>
    <col min="4" max="4" width="11.5703125" customWidth="1"/>
    <col min="5" max="6" width="9.28515625" hidden="1" customWidth="1"/>
    <col min="7" max="7" width="8.5703125" customWidth="1"/>
    <col min="8" max="8" width="8.140625" customWidth="1"/>
    <col min="9" max="9" width="9.5703125" customWidth="1"/>
    <col min="10" max="10" width="14.140625" customWidth="1"/>
    <col min="11" max="11" width="8" customWidth="1"/>
    <col min="12" max="12" width="9.140625" hidden="1" customWidth="1"/>
    <col min="13" max="13" width="12.5703125" customWidth="1"/>
    <col min="14" max="14" width="9.28515625" bestFit="1" customWidth="1"/>
    <col min="15" max="15" width="10" customWidth="1"/>
    <col min="16" max="16" width="12.28515625" style="317" customWidth="1"/>
    <col min="17" max="17" width="11" customWidth="1"/>
    <col min="18" max="18" width="11.85546875" customWidth="1"/>
    <col min="19" max="19" width="8" style="74" customWidth="1"/>
    <col min="20" max="20" width="8.42578125" hidden="1" customWidth="1"/>
    <col min="21" max="21" width="10.140625" customWidth="1"/>
    <col min="257" max="257" width="14.42578125" customWidth="1"/>
    <col min="258" max="258" width="12.140625" customWidth="1"/>
    <col min="259" max="259" width="0" hidden="1" customWidth="1"/>
    <col min="260" max="260" width="11.5703125" customWidth="1"/>
    <col min="261" max="263" width="0" hidden="1" customWidth="1"/>
    <col min="264" max="264" width="8.140625" customWidth="1"/>
    <col min="265" max="265" width="9.5703125" customWidth="1"/>
    <col min="266" max="266" width="14.140625" customWidth="1"/>
    <col min="267" max="267" width="8" customWidth="1"/>
    <col min="268" max="268" width="0" hidden="1" customWidth="1"/>
    <col min="269" max="269" width="12.5703125" customWidth="1"/>
    <col min="270" max="270" width="9.28515625" bestFit="1" customWidth="1"/>
    <col min="271" max="271" width="10" customWidth="1"/>
    <col min="272" max="272" width="12.28515625" customWidth="1"/>
    <col min="273" max="273" width="11" customWidth="1"/>
    <col min="274" max="274" width="11.85546875" customWidth="1"/>
    <col min="275" max="275" width="8" customWidth="1"/>
    <col min="276" max="276" width="0" hidden="1" customWidth="1"/>
    <col min="277" max="277" width="10.140625" customWidth="1"/>
    <col min="513" max="513" width="14.42578125" customWidth="1"/>
    <col min="514" max="514" width="12.140625" customWidth="1"/>
    <col min="515" max="515" width="0" hidden="1" customWidth="1"/>
    <col min="516" max="516" width="11.5703125" customWidth="1"/>
    <col min="517" max="519" width="0" hidden="1" customWidth="1"/>
    <col min="520" max="520" width="8.140625" customWidth="1"/>
    <col min="521" max="521" width="9.5703125" customWidth="1"/>
    <col min="522" max="522" width="14.140625" customWidth="1"/>
    <col min="523" max="523" width="8" customWidth="1"/>
    <col min="524" max="524" width="0" hidden="1" customWidth="1"/>
    <col min="525" max="525" width="12.5703125" customWidth="1"/>
    <col min="526" max="526" width="9.28515625" bestFit="1" customWidth="1"/>
    <col min="527" max="527" width="10" customWidth="1"/>
    <col min="528" max="528" width="12.28515625" customWidth="1"/>
    <col min="529" max="529" width="11" customWidth="1"/>
    <col min="530" max="530" width="11.85546875" customWidth="1"/>
    <col min="531" max="531" width="8" customWidth="1"/>
    <col min="532" max="532" width="0" hidden="1" customWidth="1"/>
    <col min="533" max="533" width="10.140625" customWidth="1"/>
    <col min="769" max="769" width="14.42578125" customWidth="1"/>
    <col min="770" max="770" width="12.140625" customWidth="1"/>
    <col min="771" max="771" width="0" hidden="1" customWidth="1"/>
    <col min="772" max="772" width="11.5703125" customWidth="1"/>
    <col min="773" max="775" width="0" hidden="1" customWidth="1"/>
    <col min="776" max="776" width="8.140625" customWidth="1"/>
    <col min="777" max="777" width="9.5703125" customWidth="1"/>
    <col min="778" max="778" width="14.140625" customWidth="1"/>
    <col min="779" max="779" width="8" customWidth="1"/>
    <col min="780" max="780" width="0" hidden="1" customWidth="1"/>
    <col min="781" max="781" width="12.5703125" customWidth="1"/>
    <col min="782" max="782" width="9.28515625" bestFit="1" customWidth="1"/>
    <col min="783" max="783" width="10" customWidth="1"/>
    <col min="784" max="784" width="12.28515625" customWidth="1"/>
    <col min="785" max="785" width="11" customWidth="1"/>
    <col min="786" max="786" width="11.85546875" customWidth="1"/>
    <col min="787" max="787" width="8" customWidth="1"/>
    <col min="788" max="788" width="0" hidden="1" customWidth="1"/>
    <col min="789" max="789" width="10.140625" customWidth="1"/>
    <col min="1025" max="1025" width="14.42578125" customWidth="1"/>
    <col min="1026" max="1026" width="12.140625" customWidth="1"/>
    <col min="1027" max="1027" width="0" hidden="1" customWidth="1"/>
    <col min="1028" max="1028" width="11.5703125" customWidth="1"/>
    <col min="1029" max="1031" width="0" hidden="1" customWidth="1"/>
    <col min="1032" max="1032" width="8.140625" customWidth="1"/>
    <col min="1033" max="1033" width="9.5703125" customWidth="1"/>
    <col min="1034" max="1034" width="14.140625" customWidth="1"/>
    <col min="1035" max="1035" width="8" customWidth="1"/>
    <col min="1036" max="1036" width="0" hidden="1" customWidth="1"/>
    <col min="1037" max="1037" width="12.5703125" customWidth="1"/>
    <col min="1038" max="1038" width="9.28515625" bestFit="1" customWidth="1"/>
    <col min="1039" max="1039" width="10" customWidth="1"/>
    <col min="1040" max="1040" width="12.28515625" customWidth="1"/>
    <col min="1041" max="1041" width="11" customWidth="1"/>
    <col min="1042" max="1042" width="11.85546875" customWidth="1"/>
    <col min="1043" max="1043" width="8" customWidth="1"/>
    <col min="1044" max="1044" width="0" hidden="1" customWidth="1"/>
    <col min="1045" max="1045" width="10.140625" customWidth="1"/>
    <col min="1281" max="1281" width="14.42578125" customWidth="1"/>
    <col min="1282" max="1282" width="12.140625" customWidth="1"/>
    <col min="1283" max="1283" width="0" hidden="1" customWidth="1"/>
    <col min="1284" max="1284" width="11.5703125" customWidth="1"/>
    <col min="1285" max="1287" width="0" hidden="1" customWidth="1"/>
    <col min="1288" max="1288" width="8.140625" customWidth="1"/>
    <col min="1289" max="1289" width="9.5703125" customWidth="1"/>
    <col min="1290" max="1290" width="14.140625" customWidth="1"/>
    <col min="1291" max="1291" width="8" customWidth="1"/>
    <col min="1292" max="1292" width="0" hidden="1" customWidth="1"/>
    <col min="1293" max="1293" width="12.5703125" customWidth="1"/>
    <col min="1294" max="1294" width="9.28515625" bestFit="1" customWidth="1"/>
    <col min="1295" max="1295" width="10" customWidth="1"/>
    <col min="1296" max="1296" width="12.28515625" customWidth="1"/>
    <col min="1297" max="1297" width="11" customWidth="1"/>
    <col min="1298" max="1298" width="11.85546875" customWidth="1"/>
    <col min="1299" max="1299" width="8" customWidth="1"/>
    <col min="1300" max="1300" width="0" hidden="1" customWidth="1"/>
    <col min="1301" max="1301" width="10.140625" customWidth="1"/>
    <col min="1537" max="1537" width="14.42578125" customWidth="1"/>
    <col min="1538" max="1538" width="12.140625" customWidth="1"/>
    <col min="1539" max="1539" width="0" hidden="1" customWidth="1"/>
    <col min="1540" max="1540" width="11.5703125" customWidth="1"/>
    <col min="1541" max="1543" width="0" hidden="1" customWidth="1"/>
    <col min="1544" max="1544" width="8.140625" customWidth="1"/>
    <col min="1545" max="1545" width="9.5703125" customWidth="1"/>
    <col min="1546" max="1546" width="14.140625" customWidth="1"/>
    <col min="1547" max="1547" width="8" customWidth="1"/>
    <col min="1548" max="1548" width="0" hidden="1" customWidth="1"/>
    <col min="1549" max="1549" width="12.5703125" customWidth="1"/>
    <col min="1550" max="1550" width="9.28515625" bestFit="1" customWidth="1"/>
    <col min="1551" max="1551" width="10" customWidth="1"/>
    <col min="1552" max="1552" width="12.28515625" customWidth="1"/>
    <col min="1553" max="1553" width="11" customWidth="1"/>
    <col min="1554" max="1554" width="11.85546875" customWidth="1"/>
    <col min="1555" max="1555" width="8" customWidth="1"/>
    <col min="1556" max="1556" width="0" hidden="1" customWidth="1"/>
    <col min="1557" max="1557" width="10.140625" customWidth="1"/>
    <col min="1793" max="1793" width="14.42578125" customWidth="1"/>
    <col min="1794" max="1794" width="12.140625" customWidth="1"/>
    <col min="1795" max="1795" width="0" hidden="1" customWidth="1"/>
    <col min="1796" max="1796" width="11.5703125" customWidth="1"/>
    <col min="1797" max="1799" width="0" hidden="1" customWidth="1"/>
    <col min="1800" max="1800" width="8.140625" customWidth="1"/>
    <col min="1801" max="1801" width="9.5703125" customWidth="1"/>
    <col min="1802" max="1802" width="14.140625" customWidth="1"/>
    <col min="1803" max="1803" width="8" customWidth="1"/>
    <col min="1804" max="1804" width="0" hidden="1" customWidth="1"/>
    <col min="1805" max="1805" width="12.5703125" customWidth="1"/>
    <col min="1806" max="1806" width="9.28515625" bestFit="1" customWidth="1"/>
    <col min="1807" max="1807" width="10" customWidth="1"/>
    <col min="1808" max="1808" width="12.28515625" customWidth="1"/>
    <col min="1809" max="1809" width="11" customWidth="1"/>
    <col min="1810" max="1810" width="11.85546875" customWidth="1"/>
    <col min="1811" max="1811" width="8" customWidth="1"/>
    <col min="1812" max="1812" width="0" hidden="1" customWidth="1"/>
    <col min="1813" max="1813" width="10.140625" customWidth="1"/>
    <col min="2049" max="2049" width="14.42578125" customWidth="1"/>
    <col min="2050" max="2050" width="12.140625" customWidth="1"/>
    <col min="2051" max="2051" width="0" hidden="1" customWidth="1"/>
    <col min="2052" max="2052" width="11.5703125" customWidth="1"/>
    <col min="2053" max="2055" width="0" hidden="1" customWidth="1"/>
    <col min="2056" max="2056" width="8.140625" customWidth="1"/>
    <col min="2057" max="2057" width="9.5703125" customWidth="1"/>
    <col min="2058" max="2058" width="14.140625" customWidth="1"/>
    <col min="2059" max="2059" width="8" customWidth="1"/>
    <col min="2060" max="2060" width="0" hidden="1" customWidth="1"/>
    <col min="2061" max="2061" width="12.5703125" customWidth="1"/>
    <col min="2062" max="2062" width="9.28515625" bestFit="1" customWidth="1"/>
    <col min="2063" max="2063" width="10" customWidth="1"/>
    <col min="2064" max="2064" width="12.28515625" customWidth="1"/>
    <col min="2065" max="2065" width="11" customWidth="1"/>
    <col min="2066" max="2066" width="11.85546875" customWidth="1"/>
    <col min="2067" max="2067" width="8" customWidth="1"/>
    <col min="2068" max="2068" width="0" hidden="1" customWidth="1"/>
    <col min="2069" max="2069" width="10.140625" customWidth="1"/>
    <col min="2305" max="2305" width="14.42578125" customWidth="1"/>
    <col min="2306" max="2306" width="12.140625" customWidth="1"/>
    <col min="2307" max="2307" width="0" hidden="1" customWidth="1"/>
    <col min="2308" max="2308" width="11.5703125" customWidth="1"/>
    <col min="2309" max="2311" width="0" hidden="1" customWidth="1"/>
    <col min="2312" max="2312" width="8.140625" customWidth="1"/>
    <col min="2313" max="2313" width="9.5703125" customWidth="1"/>
    <col min="2314" max="2314" width="14.140625" customWidth="1"/>
    <col min="2315" max="2315" width="8" customWidth="1"/>
    <col min="2316" max="2316" width="0" hidden="1" customWidth="1"/>
    <col min="2317" max="2317" width="12.5703125" customWidth="1"/>
    <col min="2318" max="2318" width="9.28515625" bestFit="1" customWidth="1"/>
    <col min="2319" max="2319" width="10" customWidth="1"/>
    <col min="2320" max="2320" width="12.28515625" customWidth="1"/>
    <col min="2321" max="2321" width="11" customWidth="1"/>
    <col min="2322" max="2322" width="11.85546875" customWidth="1"/>
    <col min="2323" max="2323" width="8" customWidth="1"/>
    <col min="2324" max="2324" width="0" hidden="1" customWidth="1"/>
    <col min="2325" max="2325" width="10.140625" customWidth="1"/>
    <col min="2561" max="2561" width="14.42578125" customWidth="1"/>
    <col min="2562" max="2562" width="12.140625" customWidth="1"/>
    <col min="2563" max="2563" width="0" hidden="1" customWidth="1"/>
    <col min="2564" max="2564" width="11.5703125" customWidth="1"/>
    <col min="2565" max="2567" width="0" hidden="1" customWidth="1"/>
    <col min="2568" max="2568" width="8.140625" customWidth="1"/>
    <col min="2569" max="2569" width="9.5703125" customWidth="1"/>
    <col min="2570" max="2570" width="14.140625" customWidth="1"/>
    <col min="2571" max="2571" width="8" customWidth="1"/>
    <col min="2572" max="2572" width="0" hidden="1" customWidth="1"/>
    <col min="2573" max="2573" width="12.5703125" customWidth="1"/>
    <col min="2574" max="2574" width="9.28515625" bestFit="1" customWidth="1"/>
    <col min="2575" max="2575" width="10" customWidth="1"/>
    <col min="2576" max="2576" width="12.28515625" customWidth="1"/>
    <col min="2577" max="2577" width="11" customWidth="1"/>
    <col min="2578" max="2578" width="11.85546875" customWidth="1"/>
    <col min="2579" max="2579" width="8" customWidth="1"/>
    <col min="2580" max="2580" width="0" hidden="1" customWidth="1"/>
    <col min="2581" max="2581" width="10.140625" customWidth="1"/>
    <col min="2817" max="2817" width="14.42578125" customWidth="1"/>
    <col min="2818" max="2818" width="12.140625" customWidth="1"/>
    <col min="2819" max="2819" width="0" hidden="1" customWidth="1"/>
    <col min="2820" max="2820" width="11.5703125" customWidth="1"/>
    <col min="2821" max="2823" width="0" hidden="1" customWidth="1"/>
    <col min="2824" max="2824" width="8.140625" customWidth="1"/>
    <col min="2825" max="2825" width="9.5703125" customWidth="1"/>
    <col min="2826" max="2826" width="14.140625" customWidth="1"/>
    <col min="2827" max="2827" width="8" customWidth="1"/>
    <col min="2828" max="2828" width="0" hidden="1" customWidth="1"/>
    <col min="2829" max="2829" width="12.5703125" customWidth="1"/>
    <col min="2830" max="2830" width="9.28515625" bestFit="1" customWidth="1"/>
    <col min="2831" max="2831" width="10" customWidth="1"/>
    <col min="2832" max="2832" width="12.28515625" customWidth="1"/>
    <col min="2833" max="2833" width="11" customWidth="1"/>
    <col min="2834" max="2834" width="11.85546875" customWidth="1"/>
    <col min="2835" max="2835" width="8" customWidth="1"/>
    <col min="2836" max="2836" width="0" hidden="1" customWidth="1"/>
    <col min="2837" max="2837" width="10.140625" customWidth="1"/>
    <col min="3073" max="3073" width="14.42578125" customWidth="1"/>
    <col min="3074" max="3074" width="12.140625" customWidth="1"/>
    <col min="3075" max="3075" width="0" hidden="1" customWidth="1"/>
    <col min="3076" max="3076" width="11.5703125" customWidth="1"/>
    <col min="3077" max="3079" width="0" hidden="1" customWidth="1"/>
    <col min="3080" max="3080" width="8.140625" customWidth="1"/>
    <col min="3081" max="3081" width="9.5703125" customWidth="1"/>
    <col min="3082" max="3082" width="14.140625" customWidth="1"/>
    <col min="3083" max="3083" width="8" customWidth="1"/>
    <col min="3084" max="3084" width="0" hidden="1" customWidth="1"/>
    <col min="3085" max="3085" width="12.5703125" customWidth="1"/>
    <col min="3086" max="3086" width="9.28515625" bestFit="1" customWidth="1"/>
    <col min="3087" max="3087" width="10" customWidth="1"/>
    <col min="3088" max="3088" width="12.28515625" customWidth="1"/>
    <col min="3089" max="3089" width="11" customWidth="1"/>
    <col min="3090" max="3090" width="11.85546875" customWidth="1"/>
    <col min="3091" max="3091" width="8" customWidth="1"/>
    <col min="3092" max="3092" width="0" hidden="1" customWidth="1"/>
    <col min="3093" max="3093" width="10.140625" customWidth="1"/>
    <col min="3329" max="3329" width="14.42578125" customWidth="1"/>
    <col min="3330" max="3330" width="12.140625" customWidth="1"/>
    <col min="3331" max="3331" width="0" hidden="1" customWidth="1"/>
    <col min="3332" max="3332" width="11.5703125" customWidth="1"/>
    <col min="3333" max="3335" width="0" hidden="1" customWidth="1"/>
    <col min="3336" max="3336" width="8.140625" customWidth="1"/>
    <col min="3337" max="3337" width="9.5703125" customWidth="1"/>
    <col min="3338" max="3338" width="14.140625" customWidth="1"/>
    <col min="3339" max="3339" width="8" customWidth="1"/>
    <col min="3340" max="3340" width="0" hidden="1" customWidth="1"/>
    <col min="3341" max="3341" width="12.5703125" customWidth="1"/>
    <col min="3342" max="3342" width="9.28515625" bestFit="1" customWidth="1"/>
    <col min="3343" max="3343" width="10" customWidth="1"/>
    <col min="3344" max="3344" width="12.28515625" customWidth="1"/>
    <col min="3345" max="3345" width="11" customWidth="1"/>
    <col min="3346" max="3346" width="11.85546875" customWidth="1"/>
    <col min="3347" max="3347" width="8" customWidth="1"/>
    <col min="3348" max="3348" width="0" hidden="1" customWidth="1"/>
    <col min="3349" max="3349" width="10.140625" customWidth="1"/>
    <col min="3585" max="3585" width="14.42578125" customWidth="1"/>
    <col min="3586" max="3586" width="12.140625" customWidth="1"/>
    <col min="3587" max="3587" width="0" hidden="1" customWidth="1"/>
    <col min="3588" max="3588" width="11.5703125" customWidth="1"/>
    <col min="3589" max="3591" width="0" hidden="1" customWidth="1"/>
    <col min="3592" max="3592" width="8.140625" customWidth="1"/>
    <col min="3593" max="3593" width="9.5703125" customWidth="1"/>
    <col min="3594" max="3594" width="14.140625" customWidth="1"/>
    <col min="3595" max="3595" width="8" customWidth="1"/>
    <col min="3596" max="3596" width="0" hidden="1" customWidth="1"/>
    <col min="3597" max="3597" width="12.5703125" customWidth="1"/>
    <col min="3598" max="3598" width="9.28515625" bestFit="1" customWidth="1"/>
    <col min="3599" max="3599" width="10" customWidth="1"/>
    <col min="3600" max="3600" width="12.28515625" customWidth="1"/>
    <col min="3601" max="3601" width="11" customWidth="1"/>
    <col min="3602" max="3602" width="11.85546875" customWidth="1"/>
    <col min="3603" max="3603" width="8" customWidth="1"/>
    <col min="3604" max="3604" width="0" hidden="1" customWidth="1"/>
    <col min="3605" max="3605" width="10.140625" customWidth="1"/>
    <col min="3841" max="3841" width="14.42578125" customWidth="1"/>
    <col min="3842" max="3842" width="12.140625" customWidth="1"/>
    <col min="3843" max="3843" width="0" hidden="1" customWidth="1"/>
    <col min="3844" max="3844" width="11.5703125" customWidth="1"/>
    <col min="3845" max="3847" width="0" hidden="1" customWidth="1"/>
    <col min="3848" max="3848" width="8.140625" customWidth="1"/>
    <col min="3849" max="3849" width="9.5703125" customWidth="1"/>
    <col min="3850" max="3850" width="14.140625" customWidth="1"/>
    <col min="3851" max="3851" width="8" customWidth="1"/>
    <col min="3852" max="3852" width="0" hidden="1" customWidth="1"/>
    <col min="3853" max="3853" width="12.5703125" customWidth="1"/>
    <col min="3854" max="3854" width="9.28515625" bestFit="1" customWidth="1"/>
    <col min="3855" max="3855" width="10" customWidth="1"/>
    <col min="3856" max="3856" width="12.28515625" customWidth="1"/>
    <col min="3857" max="3857" width="11" customWidth="1"/>
    <col min="3858" max="3858" width="11.85546875" customWidth="1"/>
    <col min="3859" max="3859" width="8" customWidth="1"/>
    <col min="3860" max="3860" width="0" hidden="1" customWidth="1"/>
    <col min="3861" max="3861" width="10.140625" customWidth="1"/>
    <col min="4097" max="4097" width="14.42578125" customWidth="1"/>
    <col min="4098" max="4098" width="12.140625" customWidth="1"/>
    <col min="4099" max="4099" width="0" hidden="1" customWidth="1"/>
    <col min="4100" max="4100" width="11.5703125" customWidth="1"/>
    <col min="4101" max="4103" width="0" hidden="1" customWidth="1"/>
    <col min="4104" max="4104" width="8.140625" customWidth="1"/>
    <col min="4105" max="4105" width="9.5703125" customWidth="1"/>
    <col min="4106" max="4106" width="14.140625" customWidth="1"/>
    <col min="4107" max="4107" width="8" customWidth="1"/>
    <col min="4108" max="4108" width="0" hidden="1" customWidth="1"/>
    <col min="4109" max="4109" width="12.5703125" customWidth="1"/>
    <col min="4110" max="4110" width="9.28515625" bestFit="1" customWidth="1"/>
    <col min="4111" max="4111" width="10" customWidth="1"/>
    <col min="4112" max="4112" width="12.28515625" customWidth="1"/>
    <col min="4113" max="4113" width="11" customWidth="1"/>
    <col min="4114" max="4114" width="11.85546875" customWidth="1"/>
    <col min="4115" max="4115" width="8" customWidth="1"/>
    <col min="4116" max="4116" width="0" hidden="1" customWidth="1"/>
    <col min="4117" max="4117" width="10.140625" customWidth="1"/>
    <col min="4353" max="4353" width="14.42578125" customWidth="1"/>
    <col min="4354" max="4354" width="12.140625" customWidth="1"/>
    <col min="4355" max="4355" width="0" hidden="1" customWidth="1"/>
    <col min="4356" max="4356" width="11.5703125" customWidth="1"/>
    <col min="4357" max="4359" width="0" hidden="1" customWidth="1"/>
    <col min="4360" max="4360" width="8.140625" customWidth="1"/>
    <col min="4361" max="4361" width="9.5703125" customWidth="1"/>
    <col min="4362" max="4362" width="14.140625" customWidth="1"/>
    <col min="4363" max="4363" width="8" customWidth="1"/>
    <col min="4364" max="4364" width="0" hidden="1" customWidth="1"/>
    <col min="4365" max="4365" width="12.5703125" customWidth="1"/>
    <col min="4366" max="4366" width="9.28515625" bestFit="1" customWidth="1"/>
    <col min="4367" max="4367" width="10" customWidth="1"/>
    <col min="4368" max="4368" width="12.28515625" customWidth="1"/>
    <col min="4369" max="4369" width="11" customWidth="1"/>
    <col min="4370" max="4370" width="11.85546875" customWidth="1"/>
    <col min="4371" max="4371" width="8" customWidth="1"/>
    <col min="4372" max="4372" width="0" hidden="1" customWidth="1"/>
    <col min="4373" max="4373" width="10.140625" customWidth="1"/>
    <col min="4609" max="4609" width="14.42578125" customWidth="1"/>
    <col min="4610" max="4610" width="12.140625" customWidth="1"/>
    <col min="4611" max="4611" width="0" hidden="1" customWidth="1"/>
    <col min="4612" max="4612" width="11.5703125" customWidth="1"/>
    <col min="4613" max="4615" width="0" hidden="1" customWidth="1"/>
    <col min="4616" max="4616" width="8.140625" customWidth="1"/>
    <col min="4617" max="4617" width="9.5703125" customWidth="1"/>
    <col min="4618" max="4618" width="14.140625" customWidth="1"/>
    <col min="4619" max="4619" width="8" customWidth="1"/>
    <col min="4620" max="4620" width="0" hidden="1" customWidth="1"/>
    <col min="4621" max="4621" width="12.5703125" customWidth="1"/>
    <col min="4622" max="4622" width="9.28515625" bestFit="1" customWidth="1"/>
    <col min="4623" max="4623" width="10" customWidth="1"/>
    <col min="4624" max="4624" width="12.28515625" customWidth="1"/>
    <col min="4625" max="4625" width="11" customWidth="1"/>
    <col min="4626" max="4626" width="11.85546875" customWidth="1"/>
    <col min="4627" max="4627" width="8" customWidth="1"/>
    <col min="4628" max="4628" width="0" hidden="1" customWidth="1"/>
    <col min="4629" max="4629" width="10.140625" customWidth="1"/>
    <col min="4865" max="4865" width="14.42578125" customWidth="1"/>
    <col min="4866" max="4866" width="12.140625" customWidth="1"/>
    <col min="4867" max="4867" width="0" hidden="1" customWidth="1"/>
    <col min="4868" max="4868" width="11.5703125" customWidth="1"/>
    <col min="4869" max="4871" width="0" hidden="1" customWidth="1"/>
    <col min="4872" max="4872" width="8.140625" customWidth="1"/>
    <col min="4873" max="4873" width="9.5703125" customWidth="1"/>
    <col min="4874" max="4874" width="14.140625" customWidth="1"/>
    <col min="4875" max="4875" width="8" customWidth="1"/>
    <col min="4876" max="4876" width="0" hidden="1" customWidth="1"/>
    <col min="4877" max="4877" width="12.5703125" customWidth="1"/>
    <col min="4878" max="4878" width="9.28515625" bestFit="1" customWidth="1"/>
    <col min="4879" max="4879" width="10" customWidth="1"/>
    <col min="4880" max="4880" width="12.28515625" customWidth="1"/>
    <col min="4881" max="4881" width="11" customWidth="1"/>
    <col min="4882" max="4882" width="11.85546875" customWidth="1"/>
    <col min="4883" max="4883" width="8" customWidth="1"/>
    <col min="4884" max="4884" width="0" hidden="1" customWidth="1"/>
    <col min="4885" max="4885" width="10.140625" customWidth="1"/>
    <col min="5121" max="5121" width="14.42578125" customWidth="1"/>
    <col min="5122" max="5122" width="12.140625" customWidth="1"/>
    <col min="5123" max="5123" width="0" hidden="1" customWidth="1"/>
    <col min="5124" max="5124" width="11.5703125" customWidth="1"/>
    <col min="5125" max="5127" width="0" hidden="1" customWidth="1"/>
    <col min="5128" max="5128" width="8.140625" customWidth="1"/>
    <col min="5129" max="5129" width="9.5703125" customWidth="1"/>
    <col min="5130" max="5130" width="14.140625" customWidth="1"/>
    <col min="5131" max="5131" width="8" customWidth="1"/>
    <col min="5132" max="5132" width="0" hidden="1" customWidth="1"/>
    <col min="5133" max="5133" width="12.5703125" customWidth="1"/>
    <col min="5134" max="5134" width="9.28515625" bestFit="1" customWidth="1"/>
    <col min="5135" max="5135" width="10" customWidth="1"/>
    <col min="5136" max="5136" width="12.28515625" customWidth="1"/>
    <col min="5137" max="5137" width="11" customWidth="1"/>
    <col min="5138" max="5138" width="11.85546875" customWidth="1"/>
    <col min="5139" max="5139" width="8" customWidth="1"/>
    <col min="5140" max="5140" width="0" hidden="1" customWidth="1"/>
    <col min="5141" max="5141" width="10.140625" customWidth="1"/>
    <col min="5377" max="5377" width="14.42578125" customWidth="1"/>
    <col min="5378" max="5378" width="12.140625" customWidth="1"/>
    <col min="5379" max="5379" width="0" hidden="1" customWidth="1"/>
    <col min="5380" max="5380" width="11.5703125" customWidth="1"/>
    <col min="5381" max="5383" width="0" hidden="1" customWidth="1"/>
    <col min="5384" max="5384" width="8.140625" customWidth="1"/>
    <col min="5385" max="5385" width="9.5703125" customWidth="1"/>
    <col min="5386" max="5386" width="14.140625" customWidth="1"/>
    <col min="5387" max="5387" width="8" customWidth="1"/>
    <col min="5388" max="5388" width="0" hidden="1" customWidth="1"/>
    <col min="5389" max="5389" width="12.5703125" customWidth="1"/>
    <col min="5390" max="5390" width="9.28515625" bestFit="1" customWidth="1"/>
    <col min="5391" max="5391" width="10" customWidth="1"/>
    <col min="5392" max="5392" width="12.28515625" customWidth="1"/>
    <col min="5393" max="5393" width="11" customWidth="1"/>
    <col min="5394" max="5394" width="11.85546875" customWidth="1"/>
    <col min="5395" max="5395" width="8" customWidth="1"/>
    <col min="5396" max="5396" width="0" hidden="1" customWidth="1"/>
    <col min="5397" max="5397" width="10.140625" customWidth="1"/>
    <col min="5633" max="5633" width="14.42578125" customWidth="1"/>
    <col min="5634" max="5634" width="12.140625" customWidth="1"/>
    <col min="5635" max="5635" width="0" hidden="1" customWidth="1"/>
    <col min="5636" max="5636" width="11.5703125" customWidth="1"/>
    <col min="5637" max="5639" width="0" hidden="1" customWidth="1"/>
    <col min="5640" max="5640" width="8.140625" customWidth="1"/>
    <col min="5641" max="5641" width="9.5703125" customWidth="1"/>
    <col min="5642" max="5642" width="14.140625" customWidth="1"/>
    <col min="5643" max="5643" width="8" customWidth="1"/>
    <col min="5644" max="5644" width="0" hidden="1" customWidth="1"/>
    <col min="5645" max="5645" width="12.5703125" customWidth="1"/>
    <col min="5646" max="5646" width="9.28515625" bestFit="1" customWidth="1"/>
    <col min="5647" max="5647" width="10" customWidth="1"/>
    <col min="5648" max="5648" width="12.28515625" customWidth="1"/>
    <col min="5649" max="5649" width="11" customWidth="1"/>
    <col min="5650" max="5650" width="11.85546875" customWidth="1"/>
    <col min="5651" max="5651" width="8" customWidth="1"/>
    <col min="5652" max="5652" width="0" hidden="1" customWidth="1"/>
    <col min="5653" max="5653" width="10.140625" customWidth="1"/>
    <col min="5889" max="5889" width="14.42578125" customWidth="1"/>
    <col min="5890" max="5890" width="12.140625" customWidth="1"/>
    <col min="5891" max="5891" width="0" hidden="1" customWidth="1"/>
    <col min="5892" max="5892" width="11.5703125" customWidth="1"/>
    <col min="5893" max="5895" width="0" hidden="1" customWidth="1"/>
    <col min="5896" max="5896" width="8.140625" customWidth="1"/>
    <col min="5897" max="5897" width="9.5703125" customWidth="1"/>
    <col min="5898" max="5898" width="14.140625" customWidth="1"/>
    <col min="5899" max="5899" width="8" customWidth="1"/>
    <col min="5900" max="5900" width="0" hidden="1" customWidth="1"/>
    <col min="5901" max="5901" width="12.5703125" customWidth="1"/>
    <col min="5902" max="5902" width="9.28515625" bestFit="1" customWidth="1"/>
    <col min="5903" max="5903" width="10" customWidth="1"/>
    <col min="5904" max="5904" width="12.28515625" customWidth="1"/>
    <col min="5905" max="5905" width="11" customWidth="1"/>
    <col min="5906" max="5906" width="11.85546875" customWidth="1"/>
    <col min="5907" max="5907" width="8" customWidth="1"/>
    <col min="5908" max="5908" width="0" hidden="1" customWidth="1"/>
    <col min="5909" max="5909" width="10.140625" customWidth="1"/>
    <col min="6145" max="6145" width="14.42578125" customWidth="1"/>
    <col min="6146" max="6146" width="12.140625" customWidth="1"/>
    <col min="6147" max="6147" width="0" hidden="1" customWidth="1"/>
    <col min="6148" max="6148" width="11.5703125" customWidth="1"/>
    <col min="6149" max="6151" width="0" hidden="1" customWidth="1"/>
    <col min="6152" max="6152" width="8.140625" customWidth="1"/>
    <col min="6153" max="6153" width="9.5703125" customWidth="1"/>
    <col min="6154" max="6154" width="14.140625" customWidth="1"/>
    <col min="6155" max="6155" width="8" customWidth="1"/>
    <col min="6156" max="6156" width="0" hidden="1" customWidth="1"/>
    <col min="6157" max="6157" width="12.5703125" customWidth="1"/>
    <col min="6158" max="6158" width="9.28515625" bestFit="1" customWidth="1"/>
    <col min="6159" max="6159" width="10" customWidth="1"/>
    <col min="6160" max="6160" width="12.28515625" customWidth="1"/>
    <col min="6161" max="6161" width="11" customWidth="1"/>
    <col min="6162" max="6162" width="11.85546875" customWidth="1"/>
    <col min="6163" max="6163" width="8" customWidth="1"/>
    <col min="6164" max="6164" width="0" hidden="1" customWidth="1"/>
    <col min="6165" max="6165" width="10.140625" customWidth="1"/>
    <col min="6401" max="6401" width="14.42578125" customWidth="1"/>
    <col min="6402" max="6402" width="12.140625" customWidth="1"/>
    <col min="6403" max="6403" width="0" hidden="1" customWidth="1"/>
    <col min="6404" max="6404" width="11.5703125" customWidth="1"/>
    <col min="6405" max="6407" width="0" hidden="1" customWidth="1"/>
    <col min="6408" max="6408" width="8.140625" customWidth="1"/>
    <col min="6409" max="6409" width="9.5703125" customWidth="1"/>
    <col min="6410" max="6410" width="14.140625" customWidth="1"/>
    <col min="6411" max="6411" width="8" customWidth="1"/>
    <col min="6412" max="6412" width="0" hidden="1" customWidth="1"/>
    <col min="6413" max="6413" width="12.5703125" customWidth="1"/>
    <col min="6414" max="6414" width="9.28515625" bestFit="1" customWidth="1"/>
    <col min="6415" max="6415" width="10" customWidth="1"/>
    <col min="6416" max="6416" width="12.28515625" customWidth="1"/>
    <col min="6417" max="6417" width="11" customWidth="1"/>
    <col min="6418" max="6418" width="11.85546875" customWidth="1"/>
    <col min="6419" max="6419" width="8" customWidth="1"/>
    <col min="6420" max="6420" width="0" hidden="1" customWidth="1"/>
    <col min="6421" max="6421" width="10.140625" customWidth="1"/>
    <col min="6657" max="6657" width="14.42578125" customWidth="1"/>
    <col min="6658" max="6658" width="12.140625" customWidth="1"/>
    <col min="6659" max="6659" width="0" hidden="1" customWidth="1"/>
    <col min="6660" max="6660" width="11.5703125" customWidth="1"/>
    <col min="6661" max="6663" width="0" hidden="1" customWidth="1"/>
    <col min="6664" max="6664" width="8.140625" customWidth="1"/>
    <col min="6665" max="6665" width="9.5703125" customWidth="1"/>
    <col min="6666" max="6666" width="14.140625" customWidth="1"/>
    <col min="6667" max="6667" width="8" customWidth="1"/>
    <col min="6668" max="6668" width="0" hidden="1" customWidth="1"/>
    <col min="6669" max="6669" width="12.5703125" customWidth="1"/>
    <col min="6670" max="6670" width="9.28515625" bestFit="1" customWidth="1"/>
    <col min="6671" max="6671" width="10" customWidth="1"/>
    <col min="6672" max="6672" width="12.28515625" customWidth="1"/>
    <col min="6673" max="6673" width="11" customWidth="1"/>
    <col min="6674" max="6674" width="11.85546875" customWidth="1"/>
    <col min="6675" max="6675" width="8" customWidth="1"/>
    <col min="6676" max="6676" width="0" hidden="1" customWidth="1"/>
    <col min="6677" max="6677" width="10.140625" customWidth="1"/>
    <col min="6913" max="6913" width="14.42578125" customWidth="1"/>
    <col min="6914" max="6914" width="12.140625" customWidth="1"/>
    <col min="6915" max="6915" width="0" hidden="1" customWidth="1"/>
    <col min="6916" max="6916" width="11.5703125" customWidth="1"/>
    <col min="6917" max="6919" width="0" hidden="1" customWidth="1"/>
    <col min="6920" max="6920" width="8.140625" customWidth="1"/>
    <col min="6921" max="6921" width="9.5703125" customWidth="1"/>
    <col min="6922" max="6922" width="14.140625" customWidth="1"/>
    <col min="6923" max="6923" width="8" customWidth="1"/>
    <col min="6924" max="6924" width="0" hidden="1" customWidth="1"/>
    <col min="6925" max="6925" width="12.5703125" customWidth="1"/>
    <col min="6926" max="6926" width="9.28515625" bestFit="1" customWidth="1"/>
    <col min="6927" max="6927" width="10" customWidth="1"/>
    <col min="6928" max="6928" width="12.28515625" customWidth="1"/>
    <col min="6929" max="6929" width="11" customWidth="1"/>
    <col min="6930" max="6930" width="11.85546875" customWidth="1"/>
    <col min="6931" max="6931" width="8" customWidth="1"/>
    <col min="6932" max="6932" width="0" hidden="1" customWidth="1"/>
    <col min="6933" max="6933" width="10.140625" customWidth="1"/>
    <col min="7169" max="7169" width="14.42578125" customWidth="1"/>
    <col min="7170" max="7170" width="12.140625" customWidth="1"/>
    <col min="7171" max="7171" width="0" hidden="1" customWidth="1"/>
    <col min="7172" max="7172" width="11.5703125" customWidth="1"/>
    <col min="7173" max="7175" width="0" hidden="1" customWidth="1"/>
    <col min="7176" max="7176" width="8.140625" customWidth="1"/>
    <col min="7177" max="7177" width="9.5703125" customWidth="1"/>
    <col min="7178" max="7178" width="14.140625" customWidth="1"/>
    <col min="7179" max="7179" width="8" customWidth="1"/>
    <col min="7180" max="7180" width="0" hidden="1" customWidth="1"/>
    <col min="7181" max="7181" width="12.5703125" customWidth="1"/>
    <col min="7182" max="7182" width="9.28515625" bestFit="1" customWidth="1"/>
    <col min="7183" max="7183" width="10" customWidth="1"/>
    <col min="7184" max="7184" width="12.28515625" customWidth="1"/>
    <col min="7185" max="7185" width="11" customWidth="1"/>
    <col min="7186" max="7186" width="11.85546875" customWidth="1"/>
    <col min="7187" max="7187" width="8" customWidth="1"/>
    <col min="7188" max="7188" width="0" hidden="1" customWidth="1"/>
    <col min="7189" max="7189" width="10.140625" customWidth="1"/>
    <col min="7425" max="7425" width="14.42578125" customWidth="1"/>
    <col min="7426" max="7426" width="12.140625" customWidth="1"/>
    <col min="7427" max="7427" width="0" hidden="1" customWidth="1"/>
    <col min="7428" max="7428" width="11.5703125" customWidth="1"/>
    <col min="7429" max="7431" width="0" hidden="1" customWidth="1"/>
    <col min="7432" max="7432" width="8.140625" customWidth="1"/>
    <col min="7433" max="7433" width="9.5703125" customWidth="1"/>
    <col min="7434" max="7434" width="14.140625" customWidth="1"/>
    <col min="7435" max="7435" width="8" customWidth="1"/>
    <col min="7436" max="7436" width="0" hidden="1" customWidth="1"/>
    <col min="7437" max="7437" width="12.5703125" customWidth="1"/>
    <col min="7438" max="7438" width="9.28515625" bestFit="1" customWidth="1"/>
    <col min="7439" max="7439" width="10" customWidth="1"/>
    <col min="7440" max="7440" width="12.28515625" customWidth="1"/>
    <col min="7441" max="7441" width="11" customWidth="1"/>
    <col min="7442" max="7442" width="11.85546875" customWidth="1"/>
    <col min="7443" max="7443" width="8" customWidth="1"/>
    <col min="7444" max="7444" width="0" hidden="1" customWidth="1"/>
    <col min="7445" max="7445" width="10.140625" customWidth="1"/>
    <col min="7681" max="7681" width="14.42578125" customWidth="1"/>
    <col min="7682" max="7682" width="12.140625" customWidth="1"/>
    <col min="7683" max="7683" width="0" hidden="1" customWidth="1"/>
    <col min="7684" max="7684" width="11.5703125" customWidth="1"/>
    <col min="7685" max="7687" width="0" hidden="1" customWidth="1"/>
    <col min="7688" max="7688" width="8.140625" customWidth="1"/>
    <col min="7689" max="7689" width="9.5703125" customWidth="1"/>
    <col min="7690" max="7690" width="14.140625" customWidth="1"/>
    <col min="7691" max="7691" width="8" customWidth="1"/>
    <col min="7692" max="7692" width="0" hidden="1" customWidth="1"/>
    <col min="7693" max="7693" width="12.5703125" customWidth="1"/>
    <col min="7694" max="7694" width="9.28515625" bestFit="1" customWidth="1"/>
    <col min="7695" max="7695" width="10" customWidth="1"/>
    <col min="7696" max="7696" width="12.28515625" customWidth="1"/>
    <col min="7697" max="7697" width="11" customWidth="1"/>
    <col min="7698" max="7698" width="11.85546875" customWidth="1"/>
    <col min="7699" max="7699" width="8" customWidth="1"/>
    <col min="7700" max="7700" width="0" hidden="1" customWidth="1"/>
    <col min="7701" max="7701" width="10.140625" customWidth="1"/>
    <col min="7937" max="7937" width="14.42578125" customWidth="1"/>
    <col min="7938" max="7938" width="12.140625" customWidth="1"/>
    <col min="7939" max="7939" width="0" hidden="1" customWidth="1"/>
    <col min="7940" max="7940" width="11.5703125" customWidth="1"/>
    <col min="7941" max="7943" width="0" hidden="1" customWidth="1"/>
    <col min="7944" max="7944" width="8.140625" customWidth="1"/>
    <col min="7945" max="7945" width="9.5703125" customWidth="1"/>
    <col min="7946" max="7946" width="14.140625" customWidth="1"/>
    <col min="7947" max="7947" width="8" customWidth="1"/>
    <col min="7948" max="7948" width="0" hidden="1" customWidth="1"/>
    <col min="7949" max="7949" width="12.5703125" customWidth="1"/>
    <col min="7950" max="7950" width="9.28515625" bestFit="1" customWidth="1"/>
    <col min="7951" max="7951" width="10" customWidth="1"/>
    <col min="7952" max="7952" width="12.28515625" customWidth="1"/>
    <col min="7953" max="7953" width="11" customWidth="1"/>
    <col min="7954" max="7954" width="11.85546875" customWidth="1"/>
    <col min="7955" max="7955" width="8" customWidth="1"/>
    <col min="7956" max="7956" width="0" hidden="1" customWidth="1"/>
    <col min="7957" max="7957" width="10.140625" customWidth="1"/>
    <col min="8193" max="8193" width="14.42578125" customWidth="1"/>
    <col min="8194" max="8194" width="12.140625" customWidth="1"/>
    <col min="8195" max="8195" width="0" hidden="1" customWidth="1"/>
    <col min="8196" max="8196" width="11.5703125" customWidth="1"/>
    <col min="8197" max="8199" width="0" hidden="1" customWidth="1"/>
    <col min="8200" max="8200" width="8.140625" customWidth="1"/>
    <col min="8201" max="8201" width="9.5703125" customWidth="1"/>
    <col min="8202" max="8202" width="14.140625" customWidth="1"/>
    <col min="8203" max="8203" width="8" customWidth="1"/>
    <col min="8204" max="8204" width="0" hidden="1" customWidth="1"/>
    <col min="8205" max="8205" width="12.5703125" customWidth="1"/>
    <col min="8206" max="8206" width="9.28515625" bestFit="1" customWidth="1"/>
    <col min="8207" max="8207" width="10" customWidth="1"/>
    <col min="8208" max="8208" width="12.28515625" customWidth="1"/>
    <col min="8209" max="8209" width="11" customWidth="1"/>
    <col min="8210" max="8210" width="11.85546875" customWidth="1"/>
    <col min="8211" max="8211" width="8" customWidth="1"/>
    <col min="8212" max="8212" width="0" hidden="1" customWidth="1"/>
    <col min="8213" max="8213" width="10.140625" customWidth="1"/>
    <col min="8449" max="8449" width="14.42578125" customWidth="1"/>
    <col min="8450" max="8450" width="12.140625" customWidth="1"/>
    <col min="8451" max="8451" width="0" hidden="1" customWidth="1"/>
    <col min="8452" max="8452" width="11.5703125" customWidth="1"/>
    <col min="8453" max="8455" width="0" hidden="1" customWidth="1"/>
    <col min="8456" max="8456" width="8.140625" customWidth="1"/>
    <col min="8457" max="8457" width="9.5703125" customWidth="1"/>
    <col min="8458" max="8458" width="14.140625" customWidth="1"/>
    <col min="8459" max="8459" width="8" customWidth="1"/>
    <col min="8460" max="8460" width="0" hidden="1" customWidth="1"/>
    <col min="8461" max="8461" width="12.5703125" customWidth="1"/>
    <col min="8462" max="8462" width="9.28515625" bestFit="1" customWidth="1"/>
    <col min="8463" max="8463" width="10" customWidth="1"/>
    <col min="8464" max="8464" width="12.28515625" customWidth="1"/>
    <col min="8465" max="8465" width="11" customWidth="1"/>
    <col min="8466" max="8466" width="11.85546875" customWidth="1"/>
    <col min="8467" max="8467" width="8" customWidth="1"/>
    <col min="8468" max="8468" width="0" hidden="1" customWidth="1"/>
    <col min="8469" max="8469" width="10.140625" customWidth="1"/>
    <col min="8705" max="8705" width="14.42578125" customWidth="1"/>
    <col min="8706" max="8706" width="12.140625" customWidth="1"/>
    <col min="8707" max="8707" width="0" hidden="1" customWidth="1"/>
    <col min="8708" max="8708" width="11.5703125" customWidth="1"/>
    <col min="8709" max="8711" width="0" hidden="1" customWidth="1"/>
    <col min="8712" max="8712" width="8.140625" customWidth="1"/>
    <col min="8713" max="8713" width="9.5703125" customWidth="1"/>
    <col min="8714" max="8714" width="14.140625" customWidth="1"/>
    <col min="8715" max="8715" width="8" customWidth="1"/>
    <col min="8716" max="8716" width="0" hidden="1" customWidth="1"/>
    <col min="8717" max="8717" width="12.5703125" customWidth="1"/>
    <col min="8718" max="8718" width="9.28515625" bestFit="1" customWidth="1"/>
    <col min="8719" max="8719" width="10" customWidth="1"/>
    <col min="8720" max="8720" width="12.28515625" customWidth="1"/>
    <col min="8721" max="8721" width="11" customWidth="1"/>
    <col min="8722" max="8722" width="11.85546875" customWidth="1"/>
    <col min="8723" max="8723" width="8" customWidth="1"/>
    <col min="8724" max="8724" width="0" hidden="1" customWidth="1"/>
    <col min="8725" max="8725" width="10.140625" customWidth="1"/>
    <col min="8961" max="8961" width="14.42578125" customWidth="1"/>
    <col min="8962" max="8962" width="12.140625" customWidth="1"/>
    <col min="8963" max="8963" width="0" hidden="1" customWidth="1"/>
    <col min="8964" max="8964" width="11.5703125" customWidth="1"/>
    <col min="8965" max="8967" width="0" hidden="1" customWidth="1"/>
    <col min="8968" max="8968" width="8.140625" customWidth="1"/>
    <col min="8969" max="8969" width="9.5703125" customWidth="1"/>
    <col min="8970" max="8970" width="14.140625" customWidth="1"/>
    <col min="8971" max="8971" width="8" customWidth="1"/>
    <col min="8972" max="8972" width="0" hidden="1" customWidth="1"/>
    <col min="8973" max="8973" width="12.5703125" customWidth="1"/>
    <col min="8974" max="8974" width="9.28515625" bestFit="1" customWidth="1"/>
    <col min="8975" max="8975" width="10" customWidth="1"/>
    <col min="8976" max="8976" width="12.28515625" customWidth="1"/>
    <col min="8977" max="8977" width="11" customWidth="1"/>
    <col min="8978" max="8978" width="11.85546875" customWidth="1"/>
    <col min="8979" max="8979" width="8" customWidth="1"/>
    <col min="8980" max="8980" width="0" hidden="1" customWidth="1"/>
    <col min="8981" max="8981" width="10.140625" customWidth="1"/>
    <col min="9217" max="9217" width="14.42578125" customWidth="1"/>
    <col min="9218" max="9218" width="12.140625" customWidth="1"/>
    <col min="9219" max="9219" width="0" hidden="1" customWidth="1"/>
    <col min="9220" max="9220" width="11.5703125" customWidth="1"/>
    <col min="9221" max="9223" width="0" hidden="1" customWidth="1"/>
    <col min="9224" max="9224" width="8.140625" customWidth="1"/>
    <col min="9225" max="9225" width="9.5703125" customWidth="1"/>
    <col min="9226" max="9226" width="14.140625" customWidth="1"/>
    <col min="9227" max="9227" width="8" customWidth="1"/>
    <col min="9228" max="9228" width="0" hidden="1" customWidth="1"/>
    <col min="9229" max="9229" width="12.5703125" customWidth="1"/>
    <col min="9230" max="9230" width="9.28515625" bestFit="1" customWidth="1"/>
    <col min="9231" max="9231" width="10" customWidth="1"/>
    <col min="9232" max="9232" width="12.28515625" customWidth="1"/>
    <col min="9233" max="9233" width="11" customWidth="1"/>
    <col min="9234" max="9234" width="11.85546875" customWidth="1"/>
    <col min="9235" max="9235" width="8" customWidth="1"/>
    <col min="9236" max="9236" width="0" hidden="1" customWidth="1"/>
    <col min="9237" max="9237" width="10.140625" customWidth="1"/>
    <col min="9473" max="9473" width="14.42578125" customWidth="1"/>
    <col min="9474" max="9474" width="12.140625" customWidth="1"/>
    <col min="9475" max="9475" width="0" hidden="1" customWidth="1"/>
    <col min="9476" max="9476" width="11.5703125" customWidth="1"/>
    <col min="9477" max="9479" width="0" hidden="1" customWidth="1"/>
    <col min="9480" max="9480" width="8.140625" customWidth="1"/>
    <col min="9481" max="9481" width="9.5703125" customWidth="1"/>
    <col min="9482" max="9482" width="14.140625" customWidth="1"/>
    <col min="9483" max="9483" width="8" customWidth="1"/>
    <col min="9484" max="9484" width="0" hidden="1" customWidth="1"/>
    <col min="9485" max="9485" width="12.5703125" customWidth="1"/>
    <col min="9486" max="9486" width="9.28515625" bestFit="1" customWidth="1"/>
    <col min="9487" max="9487" width="10" customWidth="1"/>
    <col min="9488" max="9488" width="12.28515625" customWidth="1"/>
    <col min="9489" max="9489" width="11" customWidth="1"/>
    <col min="9490" max="9490" width="11.85546875" customWidth="1"/>
    <col min="9491" max="9491" width="8" customWidth="1"/>
    <col min="9492" max="9492" width="0" hidden="1" customWidth="1"/>
    <col min="9493" max="9493" width="10.140625" customWidth="1"/>
    <col min="9729" max="9729" width="14.42578125" customWidth="1"/>
    <col min="9730" max="9730" width="12.140625" customWidth="1"/>
    <col min="9731" max="9731" width="0" hidden="1" customWidth="1"/>
    <col min="9732" max="9732" width="11.5703125" customWidth="1"/>
    <col min="9733" max="9735" width="0" hidden="1" customWidth="1"/>
    <col min="9736" max="9736" width="8.140625" customWidth="1"/>
    <col min="9737" max="9737" width="9.5703125" customWidth="1"/>
    <col min="9738" max="9738" width="14.140625" customWidth="1"/>
    <col min="9739" max="9739" width="8" customWidth="1"/>
    <col min="9740" max="9740" width="0" hidden="1" customWidth="1"/>
    <col min="9741" max="9741" width="12.5703125" customWidth="1"/>
    <col min="9742" max="9742" width="9.28515625" bestFit="1" customWidth="1"/>
    <col min="9743" max="9743" width="10" customWidth="1"/>
    <col min="9744" max="9744" width="12.28515625" customWidth="1"/>
    <col min="9745" max="9745" width="11" customWidth="1"/>
    <col min="9746" max="9746" width="11.85546875" customWidth="1"/>
    <col min="9747" max="9747" width="8" customWidth="1"/>
    <col min="9748" max="9748" width="0" hidden="1" customWidth="1"/>
    <col min="9749" max="9749" width="10.140625" customWidth="1"/>
    <col min="9985" max="9985" width="14.42578125" customWidth="1"/>
    <col min="9986" max="9986" width="12.140625" customWidth="1"/>
    <col min="9987" max="9987" width="0" hidden="1" customWidth="1"/>
    <col min="9988" max="9988" width="11.5703125" customWidth="1"/>
    <col min="9989" max="9991" width="0" hidden="1" customWidth="1"/>
    <col min="9992" max="9992" width="8.140625" customWidth="1"/>
    <col min="9993" max="9993" width="9.5703125" customWidth="1"/>
    <col min="9994" max="9994" width="14.140625" customWidth="1"/>
    <col min="9995" max="9995" width="8" customWidth="1"/>
    <col min="9996" max="9996" width="0" hidden="1" customWidth="1"/>
    <col min="9997" max="9997" width="12.5703125" customWidth="1"/>
    <col min="9998" max="9998" width="9.28515625" bestFit="1" customWidth="1"/>
    <col min="9999" max="9999" width="10" customWidth="1"/>
    <col min="10000" max="10000" width="12.28515625" customWidth="1"/>
    <col min="10001" max="10001" width="11" customWidth="1"/>
    <col min="10002" max="10002" width="11.85546875" customWidth="1"/>
    <col min="10003" max="10003" width="8" customWidth="1"/>
    <col min="10004" max="10004" width="0" hidden="1" customWidth="1"/>
    <col min="10005" max="10005" width="10.140625" customWidth="1"/>
    <col min="10241" max="10241" width="14.42578125" customWidth="1"/>
    <col min="10242" max="10242" width="12.140625" customWidth="1"/>
    <col min="10243" max="10243" width="0" hidden="1" customWidth="1"/>
    <col min="10244" max="10244" width="11.5703125" customWidth="1"/>
    <col min="10245" max="10247" width="0" hidden="1" customWidth="1"/>
    <col min="10248" max="10248" width="8.140625" customWidth="1"/>
    <col min="10249" max="10249" width="9.5703125" customWidth="1"/>
    <col min="10250" max="10250" width="14.140625" customWidth="1"/>
    <col min="10251" max="10251" width="8" customWidth="1"/>
    <col min="10252" max="10252" width="0" hidden="1" customWidth="1"/>
    <col min="10253" max="10253" width="12.5703125" customWidth="1"/>
    <col min="10254" max="10254" width="9.28515625" bestFit="1" customWidth="1"/>
    <col min="10255" max="10255" width="10" customWidth="1"/>
    <col min="10256" max="10256" width="12.28515625" customWidth="1"/>
    <col min="10257" max="10257" width="11" customWidth="1"/>
    <col min="10258" max="10258" width="11.85546875" customWidth="1"/>
    <col min="10259" max="10259" width="8" customWidth="1"/>
    <col min="10260" max="10260" width="0" hidden="1" customWidth="1"/>
    <col min="10261" max="10261" width="10.140625" customWidth="1"/>
    <col min="10497" max="10497" width="14.42578125" customWidth="1"/>
    <col min="10498" max="10498" width="12.140625" customWidth="1"/>
    <col min="10499" max="10499" width="0" hidden="1" customWidth="1"/>
    <col min="10500" max="10500" width="11.5703125" customWidth="1"/>
    <col min="10501" max="10503" width="0" hidden="1" customWidth="1"/>
    <col min="10504" max="10504" width="8.140625" customWidth="1"/>
    <col min="10505" max="10505" width="9.5703125" customWidth="1"/>
    <col min="10506" max="10506" width="14.140625" customWidth="1"/>
    <col min="10507" max="10507" width="8" customWidth="1"/>
    <col min="10508" max="10508" width="0" hidden="1" customWidth="1"/>
    <col min="10509" max="10509" width="12.5703125" customWidth="1"/>
    <col min="10510" max="10510" width="9.28515625" bestFit="1" customWidth="1"/>
    <col min="10511" max="10511" width="10" customWidth="1"/>
    <col min="10512" max="10512" width="12.28515625" customWidth="1"/>
    <col min="10513" max="10513" width="11" customWidth="1"/>
    <col min="10514" max="10514" width="11.85546875" customWidth="1"/>
    <col min="10515" max="10515" width="8" customWidth="1"/>
    <col min="10516" max="10516" width="0" hidden="1" customWidth="1"/>
    <col min="10517" max="10517" width="10.140625" customWidth="1"/>
    <col min="10753" max="10753" width="14.42578125" customWidth="1"/>
    <col min="10754" max="10754" width="12.140625" customWidth="1"/>
    <col min="10755" max="10755" width="0" hidden="1" customWidth="1"/>
    <col min="10756" max="10756" width="11.5703125" customWidth="1"/>
    <col min="10757" max="10759" width="0" hidden="1" customWidth="1"/>
    <col min="10760" max="10760" width="8.140625" customWidth="1"/>
    <col min="10761" max="10761" width="9.5703125" customWidth="1"/>
    <col min="10762" max="10762" width="14.140625" customWidth="1"/>
    <col min="10763" max="10763" width="8" customWidth="1"/>
    <col min="10764" max="10764" width="0" hidden="1" customWidth="1"/>
    <col min="10765" max="10765" width="12.5703125" customWidth="1"/>
    <col min="10766" max="10766" width="9.28515625" bestFit="1" customWidth="1"/>
    <col min="10767" max="10767" width="10" customWidth="1"/>
    <col min="10768" max="10768" width="12.28515625" customWidth="1"/>
    <col min="10769" max="10769" width="11" customWidth="1"/>
    <col min="10770" max="10770" width="11.85546875" customWidth="1"/>
    <col min="10771" max="10771" width="8" customWidth="1"/>
    <col min="10772" max="10772" width="0" hidden="1" customWidth="1"/>
    <col min="10773" max="10773" width="10.140625" customWidth="1"/>
    <col min="11009" max="11009" width="14.42578125" customWidth="1"/>
    <col min="11010" max="11010" width="12.140625" customWidth="1"/>
    <col min="11011" max="11011" width="0" hidden="1" customWidth="1"/>
    <col min="11012" max="11012" width="11.5703125" customWidth="1"/>
    <col min="11013" max="11015" width="0" hidden="1" customWidth="1"/>
    <col min="11016" max="11016" width="8.140625" customWidth="1"/>
    <col min="11017" max="11017" width="9.5703125" customWidth="1"/>
    <col min="11018" max="11018" width="14.140625" customWidth="1"/>
    <col min="11019" max="11019" width="8" customWidth="1"/>
    <col min="11020" max="11020" width="0" hidden="1" customWidth="1"/>
    <col min="11021" max="11021" width="12.5703125" customWidth="1"/>
    <col min="11022" max="11022" width="9.28515625" bestFit="1" customWidth="1"/>
    <col min="11023" max="11023" width="10" customWidth="1"/>
    <col min="11024" max="11024" width="12.28515625" customWidth="1"/>
    <col min="11025" max="11025" width="11" customWidth="1"/>
    <col min="11026" max="11026" width="11.85546875" customWidth="1"/>
    <col min="11027" max="11027" width="8" customWidth="1"/>
    <col min="11028" max="11028" width="0" hidden="1" customWidth="1"/>
    <col min="11029" max="11029" width="10.140625" customWidth="1"/>
    <col min="11265" max="11265" width="14.42578125" customWidth="1"/>
    <col min="11266" max="11266" width="12.140625" customWidth="1"/>
    <col min="11267" max="11267" width="0" hidden="1" customWidth="1"/>
    <col min="11268" max="11268" width="11.5703125" customWidth="1"/>
    <col min="11269" max="11271" width="0" hidden="1" customWidth="1"/>
    <col min="11272" max="11272" width="8.140625" customWidth="1"/>
    <col min="11273" max="11273" width="9.5703125" customWidth="1"/>
    <col min="11274" max="11274" width="14.140625" customWidth="1"/>
    <col min="11275" max="11275" width="8" customWidth="1"/>
    <col min="11276" max="11276" width="0" hidden="1" customWidth="1"/>
    <col min="11277" max="11277" width="12.5703125" customWidth="1"/>
    <col min="11278" max="11278" width="9.28515625" bestFit="1" customWidth="1"/>
    <col min="11279" max="11279" width="10" customWidth="1"/>
    <col min="11280" max="11280" width="12.28515625" customWidth="1"/>
    <col min="11281" max="11281" width="11" customWidth="1"/>
    <col min="11282" max="11282" width="11.85546875" customWidth="1"/>
    <col min="11283" max="11283" width="8" customWidth="1"/>
    <col min="11284" max="11284" width="0" hidden="1" customWidth="1"/>
    <col min="11285" max="11285" width="10.140625" customWidth="1"/>
    <col min="11521" max="11521" width="14.42578125" customWidth="1"/>
    <col min="11522" max="11522" width="12.140625" customWidth="1"/>
    <col min="11523" max="11523" width="0" hidden="1" customWidth="1"/>
    <col min="11524" max="11524" width="11.5703125" customWidth="1"/>
    <col min="11525" max="11527" width="0" hidden="1" customWidth="1"/>
    <col min="11528" max="11528" width="8.140625" customWidth="1"/>
    <col min="11529" max="11529" width="9.5703125" customWidth="1"/>
    <col min="11530" max="11530" width="14.140625" customWidth="1"/>
    <col min="11531" max="11531" width="8" customWidth="1"/>
    <col min="11532" max="11532" width="0" hidden="1" customWidth="1"/>
    <col min="11533" max="11533" width="12.5703125" customWidth="1"/>
    <col min="11534" max="11534" width="9.28515625" bestFit="1" customWidth="1"/>
    <col min="11535" max="11535" width="10" customWidth="1"/>
    <col min="11536" max="11536" width="12.28515625" customWidth="1"/>
    <col min="11537" max="11537" width="11" customWidth="1"/>
    <col min="11538" max="11538" width="11.85546875" customWidth="1"/>
    <col min="11539" max="11539" width="8" customWidth="1"/>
    <col min="11540" max="11540" width="0" hidden="1" customWidth="1"/>
    <col min="11541" max="11541" width="10.140625" customWidth="1"/>
    <col min="11777" max="11777" width="14.42578125" customWidth="1"/>
    <col min="11778" max="11778" width="12.140625" customWidth="1"/>
    <col min="11779" max="11779" width="0" hidden="1" customWidth="1"/>
    <col min="11780" max="11780" width="11.5703125" customWidth="1"/>
    <col min="11781" max="11783" width="0" hidden="1" customWidth="1"/>
    <col min="11784" max="11784" width="8.140625" customWidth="1"/>
    <col min="11785" max="11785" width="9.5703125" customWidth="1"/>
    <col min="11786" max="11786" width="14.140625" customWidth="1"/>
    <col min="11787" max="11787" width="8" customWidth="1"/>
    <col min="11788" max="11788" width="0" hidden="1" customWidth="1"/>
    <col min="11789" max="11789" width="12.5703125" customWidth="1"/>
    <col min="11790" max="11790" width="9.28515625" bestFit="1" customWidth="1"/>
    <col min="11791" max="11791" width="10" customWidth="1"/>
    <col min="11792" max="11792" width="12.28515625" customWidth="1"/>
    <col min="11793" max="11793" width="11" customWidth="1"/>
    <col min="11794" max="11794" width="11.85546875" customWidth="1"/>
    <col min="11795" max="11795" width="8" customWidth="1"/>
    <col min="11796" max="11796" width="0" hidden="1" customWidth="1"/>
    <col min="11797" max="11797" width="10.140625" customWidth="1"/>
    <col min="12033" max="12033" width="14.42578125" customWidth="1"/>
    <col min="12034" max="12034" width="12.140625" customWidth="1"/>
    <col min="12035" max="12035" width="0" hidden="1" customWidth="1"/>
    <col min="12036" max="12036" width="11.5703125" customWidth="1"/>
    <col min="12037" max="12039" width="0" hidden="1" customWidth="1"/>
    <col min="12040" max="12040" width="8.140625" customWidth="1"/>
    <col min="12041" max="12041" width="9.5703125" customWidth="1"/>
    <col min="12042" max="12042" width="14.140625" customWidth="1"/>
    <col min="12043" max="12043" width="8" customWidth="1"/>
    <col min="12044" max="12044" width="0" hidden="1" customWidth="1"/>
    <col min="12045" max="12045" width="12.5703125" customWidth="1"/>
    <col min="12046" max="12046" width="9.28515625" bestFit="1" customWidth="1"/>
    <col min="12047" max="12047" width="10" customWidth="1"/>
    <col min="12048" max="12048" width="12.28515625" customWidth="1"/>
    <col min="12049" max="12049" width="11" customWidth="1"/>
    <col min="12050" max="12050" width="11.85546875" customWidth="1"/>
    <col min="12051" max="12051" width="8" customWidth="1"/>
    <col min="12052" max="12052" width="0" hidden="1" customWidth="1"/>
    <col min="12053" max="12053" width="10.140625" customWidth="1"/>
    <col min="12289" max="12289" width="14.42578125" customWidth="1"/>
    <col min="12290" max="12290" width="12.140625" customWidth="1"/>
    <col min="12291" max="12291" width="0" hidden="1" customWidth="1"/>
    <col min="12292" max="12292" width="11.5703125" customWidth="1"/>
    <col min="12293" max="12295" width="0" hidden="1" customWidth="1"/>
    <col min="12296" max="12296" width="8.140625" customWidth="1"/>
    <col min="12297" max="12297" width="9.5703125" customWidth="1"/>
    <col min="12298" max="12298" width="14.140625" customWidth="1"/>
    <col min="12299" max="12299" width="8" customWidth="1"/>
    <col min="12300" max="12300" width="0" hidden="1" customWidth="1"/>
    <col min="12301" max="12301" width="12.5703125" customWidth="1"/>
    <col min="12302" max="12302" width="9.28515625" bestFit="1" customWidth="1"/>
    <col min="12303" max="12303" width="10" customWidth="1"/>
    <col min="12304" max="12304" width="12.28515625" customWidth="1"/>
    <col min="12305" max="12305" width="11" customWidth="1"/>
    <col min="12306" max="12306" width="11.85546875" customWidth="1"/>
    <col min="12307" max="12307" width="8" customWidth="1"/>
    <col min="12308" max="12308" width="0" hidden="1" customWidth="1"/>
    <col min="12309" max="12309" width="10.140625" customWidth="1"/>
    <col min="12545" max="12545" width="14.42578125" customWidth="1"/>
    <col min="12546" max="12546" width="12.140625" customWidth="1"/>
    <col min="12547" max="12547" width="0" hidden="1" customWidth="1"/>
    <col min="12548" max="12548" width="11.5703125" customWidth="1"/>
    <col min="12549" max="12551" width="0" hidden="1" customWidth="1"/>
    <col min="12552" max="12552" width="8.140625" customWidth="1"/>
    <col min="12553" max="12553" width="9.5703125" customWidth="1"/>
    <col min="12554" max="12554" width="14.140625" customWidth="1"/>
    <col min="12555" max="12555" width="8" customWidth="1"/>
    <col min="12556" max="12556" width="0" hidden="1" customWidth="1"/>
    <col min="12557" max="12557" width="12.5703125" customWidth="1"/>
    <col min="12558" max="12558" width="9.28515625" bestFit="1" customWidth="1"/>
    <col min="12559" max="12559" width="10" customWidth="1"/>
    <col min="12560" max="12560" width="12.28515625" customWidth="1"/>
    <col min="12561" max="12561" width="11" customWidth="1"/>
    <col min="12562" max="12562" width="11.85546875" customWidth="1"/>
    <col min="12563" max="12563" width="8" customWidth="1"/>
    <col min="12564" max="12564" width="0" hidden="1" customWidth="1"/>
    <col min="12565" max="12565" width="10.140625" customWidth="1"/>
    <col min="12801" max="12801" width="14.42578125" customWidth="1"/>
    <col min="12802" max="12802" width="12.140625" customWidth="1"/>
    <col min="12803" max="12803" width="0" hidden="1" customWidth="1"/>
    <col min="12804" max="12804" width="11.5703125" customWidth="1"/>
    <col min="12805" max="12807" width="0" hidden="1" customWidth="1"/>
    <col min="12808" max="12808" width="8.140625" customWidth="1"/>
    <col min="12809" max="12809" width="9.5703125" customWidth="1"/>
    <col min="12810" max="12810" width="14.140625" customWidth="1"/>
    <col min="12811" max="12811" width="8" customWidth="1"/>
    <col min="12812" max="12812" width="0" hidden="1" customWidth="1"/>
    <col min="12813" max="12813" width="12.5703125" customWidth="1"/>
    <col min="12814" max="12814" width="9.28515625" bestFit="1" customWidth="1"/>
    <col min="12815" max="12815" width="10" customWidth="1"/>
    <col min="12816" max="12816" width="12.28515625" customWidth="1"/>
    <col min="12817" max="12817" width="11" customWidth="1"/>
    <col min="12818" max="12818" width="11.85546875" customWidth="1"/>
    <col min="12819" max="12819" width="8" customWidth="1"/>
    <col min="12820" max="12820" width="0" hidden="1" customWidth="1"/>
    <col min="12821" max="12821" width="10.140625" customWidth="1"/>
    <col min="13057" max="13057" width="14.42578125" customWidth="1"/>
    <col min="13058" max="13058" width="12.140625" customWidth="1"/>
    <col min="13059" max="13059" width="0" hidden="1" customWidth="1"/>
    <col min="13060" max="13060" width="11.5703125" customWidth="1"/>
    <col min="13061" max="13063" width="0" hidden="1" customWidth="1"/>
    <col min="13064" max="13064" width="8.140625" customWidth="1"/>
    <col min="13065" max="13065" width="9.5703125" customWidth="1"/>
    <col min="13066" max="13066" width="14.140625" customWidth="1"/>
    <col min="13067" max="13067" width="8" customWidth="1"/>
    <col min="13068" max="13068" width="0" hidden="1" customWidth="1"/>
    <col min="13069" max="13069" width="12.5703125" customWidth="1"/>
    <col min="13070" max="13070" width="9.28515625" bestFit="1" customWidth="1"/>
    <col min="13071" max="13071" width="10" customWidth="1"/>
    <col min="13072" max="13072" width="12.28515625" customWidth="1"/>
    <col min="13073" max="13073" width="11" customWidth="1"/>
    <col min="13074" max="13074" width="11.85546875" customWidth="1"/>
    <col min="13075" max="13075" width="8" customWidth="1"/>
    <col min="13076" max="13076" width="0" hidden="1" customWidth="1"/>
    <col min="13077" max="13077" width="10.140625" customWidth="1"/>
    <col min="13313" max="13313" width="14.42578125" customWidth="1"/>
    <col min="13314" max="13314" width="12.140625" customWidth="1"/>
    <col min="13315" max="13315" width="0" hidden="1" customWidth="1"/>
    <col min="13316" max="13316" width="11.5703125" customWidth="1"/>
    <col min="13317" max="13319" width="0" hidden="1" customWidth="1"/>
    <col min="13320" max="13320" width="8.140625" customWidth="1"/>
    <col min="13321" max="13321" width="9.5703125" customWidth="1"/>
    <col min="13322" max="13322" width="14.140625" customWidth="1"/>
    <col min="13323" max="13323" width="8" customWidth="1"/>
    <col min="13324" max="13324" width="0" hidden="1" customWidth="1"/>
    <col min="13325" max="13325" width="12.5703125" customWidth="1"/>
    <col min="13326" max="13326" width="9.28515625" bestFit="1" customWidth="1"/>
    <col min="13327" max="13327" width="10" customWidth="1"/>
    <col min="13328" max="13328" width="12.28515625" customWidth="1"/>
    <col min="13329" max="13329" width="11" customWidth="1"/>
    <col min="13330" max="13330" width="11.85546875" customWidth="1"/>
    <col min="13331" max="13331" width="8" customWidth="1"/>
    <col min="13332" max="13332" width="0" hidden="1" customWidth="1"/>
    <col min="13333" max="13333" width="10.140625" customWidth="1"/>
    <col min="13569" max="13569" width="14.42578125" customWidth="1"/>
    <col min="13570" max="13570" width="12.140625" customWidth="1"/>
    <col min="13571" max="13571" width="0" hidden="1" customWidth="1"/>
    <col min="13572" max="13572" width="11.5703125" customWidth="1"/>
    <col min="13573" max="13575" width="0" hidden="1" customWidth="1"/>
    <col min="13576" max="13576" width="8.140625" customWidth="1"/>
    <col min="13577" max="13577" width="9.5703125" customWidth="1"/>
    <col min="13578" max="13578" width="14.140625" customWidth="1"/>
    <col min="13579" max="13579" width="8" customWidth="1"/>
    <col min="13580" max="13580" width="0" hidden="1" customWidth="1"/>
    <col min="13581" max="13581" width="12.5703125" customWidth="1"/>
    <col min="13582" max="13582" width="9.28515625" bestFit="1" customWidth="1"/>
    <col min="13583" max="13583" width="10" customWidth="1"/>
    <col min="13584" max="13584" width="12.28515625" customWidth="1"/>
    <col min="13585" max="13585" width="11" customWidth="1"/>
    <col min="13586" max="13586" width="11.85546875" customWidth="1"/>
    <col min="13587" max="13587" width="8" customWidth="1"/>
    <col min="13588" max="13588" width="0" hidden="1" customWidth="1"/>
    <col min="13589" max="13589" width="10.140625" customWidth="1"/>
    <col min="13825" max="13825" width="14.42578125" customWidth="1"/>
    <col min="13826" max="13826" width="12.140625" customWidth="1"/>
    <col min="13827" max="13827" width="0" hidden="1" customWidth="1"/>
    <col min="13828" max="13828" width="11.5703125" customWidth="1"/>
    <col min="13829" max="13831" width="0" hidden="1" customWidth="1"/>
    <col min="13832" max="13832" width="8.140625" customWidth="1"/>
    <col min="13833" max="13833" width="9.5703125" customWidth="1"/>
    <col min="13834" max="13834" width="14.140625" customWidth="1"/>
    <col min="13835" max="13835" width="8" customWidth="1"/>
    <col min="13836" max="13836" width="0" hidden="1" customWidth="1"/>
    <col min="13837" max="13837" width="12.5703125" customWidth="1"/>
    <col min="13838" max="13838" width="9.28515625" bestFit="1" customWidth="1"/>
    <col min="13839" max="13839" width="10" customWidth="1"/>
    <col min="13840" max="13840" width="12.28515625" customWidth="1"/>
    <col min="13841" max="13841" width="11" customWidth="1"/>
    <col min="13842" max="13842" width="11.85546875" customWidth="1"/>
    <col min="13843" max="13843" width="8" customWidth="1"/>
    <col min="13844" max="13844" width="0" hidden="1" customWidth="1"/>
    <col min="13845" max="13845" width="10.140625" customWidth="1"/>
    <col min="14081" max="14081" width="14.42578125" customWidth="1"/>
    <col min="14082" max="14082" width="12.140625" customWidth="1"/>
    <col min="14083" max="14083" width="0" hidden="1" customWidth="1"/>
    <col min="14084" max="14084" width="11.5703125" customWidth="1"/>
    <col min="14085" max="14087" width="0" hidden="1" customWidth="1"/>
    <col min="14088" max="14088" width="8.140625" customWidth="1"/>
    <col min="14089" max="14089" width="9.5703125" customWidth="1"/>
    <col min="14090" max="14090" width="14.140625" customWidth="1"/>
    <col min="14091" max="14091" width="8" customWidth="1"/>
    <col min="14092" max="14092" width="0" hidden="1" customWidth="1"/>
    <col min="14093" max="14093" width="12.5703125" customWidth="1"/>
    <col min="14094" max="14094" width="9.28515625" bestFit="1" customWidth="1"/>
    <col min="14095" max="14095" width="10" customWidth="1"/>
    <col min="14096" max="14096" width="12.28515625" customWidth="1"/>
    <col min="14097" max="14097" width="11" customWidth="1"/>
    <col min="14098" max="14098" width="11.85546875" customWidth="1"/>
    <col min="14099" max="14099" width="8" customWidth="1"/>
    <col min="14100" max="14100" width="0" hidden="1" customWidth="1"/>
    <col min="14101" max="14101" width="10.140625" customWidth="1"/>
    <col min="14337" max="14337" width="14.42578125" customWidth="1"/>
    <col min="14338" max="14338" width="12.140625" customWidth="1"/>
    <col min="14339" max="14339" width="0" hidden="1" customWidth="1"/>
    <col min="14340" max="14340" width="11.5703125" customWidth="1"/>
    <col min="14341" max="14343" width="0" hidden="1" customWidth="1"/>
    <col min="14344" max="14344" width="8.140625" customWidth="1"/>
    <col min="14345" max="14345" width="9.5703125" customWidth="1"/>
    <col min="14346" max="14346" width="14.140625" customWidth="1"/>
    <col min="14347" max="14347" width="8" customWidth="1"/>
    <col min="14348" max="14348" width="0" hidden="1" customWidth="1"/>
    <col min="14349" max="14349" width="12.5703125" customWidth="1"/>
    <col min="14350" max="14350" width="9.28515625" bestFit="1" customWidth="1"/>
    <col min="14351" max="14351" width="10" customWidth="1"/>
    <col min="14352" max="14352" width="12.28515625" customWidth="1"/>
    <col min="14353" max="14353" width="11" customWidth="1"/>
    <col min="14354" max="14354" width="11.85546875" customWidth="1"/>
    <col min="14355" max="14355" width="8" customWidth="1"/>
    <col min="14356" max="14356" width="0" hidden="1" customWidth="1"/>
    <col min="14357" max="14357" width="10.140625" customWidth="1"/>
    <col min="14593" max="14593" width="14.42578125" customWidth="1"/>
    <col min="14594" max="14594" width="12.140625" customWidth="1"/>
    <col min="14595" max="14595" width="0" hidden="1" customWidth="1"/>
    <col min="14596" max="14596" width="11.5703125" customWidth="1"/>
    <col min="14597" max="14599" width="0" hidden="1" customWidth="1"/>
    <col min="14600" max="14600" width="8.140625" customWidth="1"/>
    <col min="14601" max="14601" width="9.5703125" customWidth="1"/>
    <col min="14602" max="14602" width="14.140625" customWidth="1"/>
    <col min="14603" max="14603" width="8" customWidth="1"/>
    <col min="14604" max="14604" width="0" hidden="1" customWidth="1"/>
    <col min="14605" max="14605" width="12.5703125" customWidth="1"/>
    <col min="14606" max="14606" width="9.28515625" bestFit="1" customWidth="1"/>
    <col min="14607" max="14607" width="10" customWidth="1"/>
    <col min="14608" max="14608" width="12.28515625" customWidth="1"/>
    <col min="14609" max="14609" width="11" customWidth="1"/>
    <col min="14610" max="14610" width="11.85546875" customWidth="1"/>
    <col min="14611" max="14611" width="8" customWidth="1"/>
    <col min="14612" max="14612" width="0" hidden="1" customWidth="1"/>
    <col min="14613" max="14613" width="10.140625" customWidth="1"/>
    <col min="14849" max="14849" width="14.42578125" customWidth="1"/>
    <col min="14850" max="14850" width="12.140625" customWidth="1"/>
    <col min="14851" max="14851" width="0" hidden="1" customWidth="1"/>
    <col min="14852" max="14852" width="11.5703125" customWidth="1"/>
    <col min="14853" max="14855" width="0" hidden="1" customWidth="1"/>
    <col min="14856" max="14856" width="8.140625" customWidth="1"/>
    <col min="14857" max="14857" width="9.5703125" customWidth="1"/>
    <col min="14858" max="14858" width="14.140625" customWidth="1"/>
    <col min="14859" max="14859" width="8" customWidth="1"/>
    <col min="14860" max="14860" width="0" hidden="1" customWidth="1"/>
    <col min="14861" max="14861" width="12.5703125" customWidth="1"/>
    <col min="14862" max="14862" width="9.28515625" bestFit="1" customWidth="1"/>
    <col min="14863" max="14863" width="10" customWidth="1"/>
    <col min="14864" max="14864" width="12.28515625" customWidth="1"/>
    <col min="14865" max="14865" width="11" customWidth="1"/>
    <col min="14866" max="14866" width="11.85546875" customWidth="1"/>
    <col min="14867" max="14867" width="8" customWidth="1"/>
    <col min="14868" max="14868" width="0" hidden="1" customWidth="1"/>
    <col min="14869" max="14869" width="10.140625" customWidth="1"/>
    <col min="15105" max="15105" width="14.42578125" customWidth="1"/>
    <col min="15106" max="15106" width="12.140625" customWidth="1"/>
    <col min="15107" max="15107" width="0" hidden="1" customWidth="1"/>
    <col min="15108" max="15108" width="11.5703125" customWidth="1"/>
    <col min="15109" max="15111" width="0" hidden="1" customWidth="1"/>
    <col min="15112" max="15112" width="8.140625" customWidth="1"/>
    <col min="15113" max="15113" width="9.5703125" customWidth="1"/>
    <col min="15114" max="15114" width="14.140625" customWidth="1"/>
    <col min="15115" max="15115" width="8" customWidth="1"/>
    <col min="15116" max="15116" width="0" hidden="1" customWidth="1"/>
    <col min="15117" max="15117" width="12.5703125" customWidth="1"/>
    <col min="15118" max="15118" width="9.28515625" bestFit="1" customWidth="1"/>
    <col min="15119" max="15119" width="10" customWidth="1"/>
    <col min="15120" max="15120" width="12.28515625" customWidth="1"/>
    <col min="15121" max="15121" width="11" customWidth="1"/>
    <col min="15122" max="15122" width="11.85546875" customWidth="1"/>
    <col min="15123" max="15123" width="8" customWidth="1"/>
    <col min="15124" max="15124" width="0" hidden="1" customWidth="1"/>
    <col min="15125" max="15125" width="10.140625" customWidth="1"/>
    <col min="15361" max="15361" width="14.42578125" customWidth="1"/>
    <col min="15362" max="15362" width="12.140625" customWidth="1"/>
    <col min="15363" max="15363" width="0" hidden="1" customWidth="1"/>
    <col min="15364" max="15364" width="11.5703125" customWidth="1"/>
    <col min="15365" max="15367" width="0" hidden="1" customWidth="1"/>
    <col min="15368" max="15368" width="8.140625" customWidth="1"/>
    <col min="15369" max="15369" width="9.5703125" customWidth="1"/>
    <col min="15370" max="15370" width="14.140625" customWidth="1"/>
    <col min="15371" max="15371" width="8" customWidth="1"/>
    <col min="15372" max="15372" width="0" hidden="1" customWidth="1"/>
    <col min="15373" max="15373" width="12.5703125" customWidth="1"/>
    <col min="15374" max="15374" width="9.28515625" bestFit="1" customWidth="1"/>
    <col min="15375" max="15375" width="10" customWidth="1"/>
    <col min="15376" max="15376" width="12.28515625" customWidth="1"/>
    <col min="15377" max="15377" width="11" customWidth="1"/>
    <col min="15378" max="15378" width="11.85546875" customWidth="1"/>
    <col min="15379" max="15379" width="8" customWidth="1"/>
    <col min="15380" max="15380" width="0" hidden="1" customWidth="1"/>
    <col min="15381" max="15381" width="10.140625" customWidth="1"/>
    <col min="15617" max="15617" width="14.42578125" customWidth="1"/>
    <col min="15618" max="15618" width="12.140625" customWidth="1"/>
    <col min="15619" max="15619" width="0" hidden="1" customWidth="1"/>
    <col min="15620" max="15620" width="11.5703125" customWidth="1"/>
    <col min="15621" max="15623" width="0" hidden="1" customWidth="1"/>
    <col min="15624" max="15624" width="8.140625" customWidth="1"/>
    <col min="15625" max="15625" width="9.5703125" customWidth="1"/>
    <col min="15626" max="15626" width="14.140625" customWidth="1"/>
    <col min="15627" max="15627" width="8" customWidth="1"/>
    <col min="15628" max="15628" width="0" hidden="1" customWidth="1"/>
    <col min="15629" max="15629" width="12.5703125" customWidth="1"/>
    <col min="15630" max="15630" width="9.28515625" bestFit="1" customWidth="1"/>
    <col min="15631" max="15631" width="10" customWidth="1"/>
    <col min="15632" max="15632" width="12.28515625" customWidth="1"/>
    <col min="15633" max="15633" width="11" customWidth="1"/>
    <col min="15634" max="15634" width="11.85546875" customWidth="1"/>
    <col min="15635" max="15635" width="8" customWidth="1"/>
    <col min="15636" max="15636" width="0" hidden="1" customWidth="1"/>
    <col min="15637" max="15637" width="10.140625" customWidth="1"/>
    <col min="15873" max="15873" width="14.42578125" customWidth="1"/>
    <col min="15874" max="15874" width="12.140625" customWidth="1"/>
    <col min="15875" max="15875" width="0" hidden="1" customWidth="1"/>
    <col min="15876" max="15876" width="11.5703125" customWidth="1"/>
    <col min="15877" max="15879" width="0" hidden="1" customWidth="1"/>
    <col min="15880" max="15880" width="8.140625" customWidth="1"/>
    <col min="15881" max="15881" width="9.5703125" customWidth="1"/>
    <col min="15882" max="15882" width="14.140625" customWidth="1"/>
    <col min="15883" max="15883" width="8" customWidth="1"/>
    <col min="15884" max="15884" width="0" hidden="1" customWidth="1"/>
    <col min="15885" max="15885" width="12.5703125" customWidth="1"/>
    <col min="15886" max="15886" width="9.28515625" bestFit="1" customWidth="1"/>
    <col min="15887" max="15887" width="10" customWidth="1"/>
    <col min="15888" max="15888" width="12.28515625" customWidth="1"/>
    <col min="15889" max="15889" width="11" customWidth="1"/>
    <col min="15890" max="15890" width="11.85546875" customWidth="1"/>
    <col min="15891" max="15891" width="8" customWidth="1"/>
    <col min="15892" max="15892" width="0" hidden="1" customWidth="1"/>
    <col min="15893" max="15893" width="10.140625" customWidth="1"/>
    <col min="16129" max="16129" width="14.42578125" customWidth="1"/>
    <col min="16130" max="16130" width="12.140625" customWidth="1"/>
    <col min="16131" max="16131" width="0" hidden="1" customWidth="1"/>
    <col min="16132" max="16132" width="11.5703125" customWidth="1"/>
    <col min="16133" max="16135" width="0" hidden="1" customWidth="1"/>
    <col min="16136" max="16136" width="8.140625" customWidth="1"/>
    <col min="16137" max="16137" width="9.5703125" customWidth="1"/>
    <col min="16138" max="16138" width="14.140625" customWidth="1"/>
    <col min="16139" max="16139" width="8" customWidth="1"/>
    <col min="16140" max="16140" width="0" hidden="1" customWidth="1"/>
    <col min="16141" max="16141" width="12.5703125" customWidth="1"/>
    <col min="16142" max="16142" width="9.28515625" bestFit="1" customWidth="1"/>
    <col min="16143" max="16143" width="10" customWidth="1"/>
    <col min="16144" max="16144" width="12.28515625" customWidth="1"/>
    <col min="16145" max="16145" width="11" customWidth="1"/>
    <col min="16146" max="16146" width="11.85546875" customWidth="1"/>
    <col min="16147" max="16147" width="8" customWidth="1"/>
    <col min="16148" max="16148" width="0" hidden="1" customWidth="1"/>
    <col min="16149" max="16149" width="10.140625" customWidth="1"/>
  </cols>
  <sheetData>
    <row r="1" spans="1:24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282"/>
      <c r="Q1" s="52"/>
      <c r="R1" s="52"/>
    </row>
    <row r="2" spans="1:24" x14ac:dyDescent="0.2">
      <c r="A2" s="282" t="s">
        <v>604</v>
      </c>
      <c r="B2" s="52"/>
      <c r="C2" s="52"/>
      <c r="D2" s="52"/>
      <c r="E2" s="52"/>
      <c r="F2" s="52"/>
      <c r="G2" s="52"/>
      <c r="I2" s="52"/>
      <c r="J2" s="52"/>
      <c r="K2" s="52"/>
      <c r="L2" s="52"/>
      <c r="M2" s="52"/>
      <c r="N2" s="52"/>
      <c r="O2" s="52"/>
      <c r="P2" s="282"/>
      <c r="Q2" s="52"/>
      <c r="R2" s="52"/>
    </row>
    <row r="3" spans="1:24" ht="13.5" thickBot="1" x14ac:dyDescent="0.25">
      <c r="A3" s="28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282"/>
      <c r="R3" s="283" t="s">
        <v>375</v>
      </c>
    </row>
    <row r="4" spans="1:24" ht="13.5" thickBot="1" x14ac:dyDescent="0.25">
      <c r="A4" s="600" t="s">
        <v>376</v>
      </c>
      <c r="B4" s="602" t="s">
        <v>377</v>
      </c>
      <c r="C4" s="391"/>
      <c r="D4" s="612" t="s">
        <v>378</v>
      </c>
      <c r="E4" s="612"/>
      <c r="F4" s="612"/>
      <c r="G4" s="612"/>
      <c r="H4" s="612"/>
      <c r="I4" s="612"/>
      <c r="J4" s="600" t="s">
        <v>376</v>
      </c>
      <c r="K4" s="614" t="s">
        <v>379</v>
      </c>
      <c r="L4" s="615"/>
      <c r="M4" s="615"/>
      <c r="N4" s="615"/>
      <c r="O4" s="615"/>
      <c r="P4" s="616"/>
      <c r="Q4" s="610" t="s">
        <v>605</v>
      </c>
      <c r="R4" s="617" t="s">
        <v>606</v>
      </c>
      <c r="T4" s="608" t="s">
        <v>577</v>
      </c>
    </row>
    <row r="5" spans="1:24" s="288" customFormat="1" ht="36.75" thickBot="1" x14ac:dyDescent="0.25">
      <c r="A5" s="601"/>
      <c r="B5" s="603"/>
      <c r="C5" s="392"/>
      <c r="D5" s="284" t="s">
        <v>380</v>
      </c>
      <c r="E5" s="285" t="s">
        <v>381</v>
      </c>
      <c r="F5" s="285" t="s">
        <v>528</v>
      </c>
      <c r="G5" s="285"/>
      <c r="H5" s="286" t="s">
        <v>382</v>
      </c>
      <c r="I5" s="287" t="s">
        <v>383</v>
      </c>
      <c r="J5" s="613"/>
      <c r="K5" s="284" t="s">
        <v>384</v>
      </c>
      <c r="L5" s="285" t="s">
        <v>493</v>
      </c>
      <c r="M5" s="285" t="s">
        <v>385</v>
      </c>
      <c r="N5" s="285" t="s">
        <v>386</v>
      </c>
      <c r="O5" s="286" t="s">
        <v>387</v>
      </c>
      <c r="P5" s="287" t="s">
        <v>388</v>
      </c>
      <c r="Q5" s="611"/>
      <c r="R5" s="618"/>
      <c r="S5" s="321"/>
      <c r="T5" s="609"/>
      <c r="V5"/>
      <c r="W5"/>
      <c r="X5"/>
    </row>
    <row r="6" spans="1:24" x14ac:dyDescent="0.2">
      <c r="A6" s="289" t="s">
        <v>389</v>
      </c>
      <c r="B6" s="322">
        <v>2319</v>
      </c>
      <c r="C6" s="325"/>
      <c r="D6" s="301">
        <v>1160</v>
      </c>
      <c r="E6" s="323"/>
      <c r="F6" s="323"/>
      <c r="G6" s="324">
        <v>0</v>
      </c>
      <c r="H6" s="325">
        <v>10032</v>
      </c>
      <c r="I6" s="290">
        <f t="shared" ref="I6:I18" si="0">SUM(D6:H6)</f>
        <v>11192</v>
      </c>
      <c r="J6" s="326" t="s">
        <v>389</v>
      </c>
      <c r="K6" s="327">
        <f>4320+180+580</f>
        <v>5080</v>
      </c>
      <c r="L6" s="323">
        <v>0</v>
      </c>
      <c r="M6" s="323">
        <v>391</v>
      </c>
      <c r="N6" s="324">
        <v>0</v>
      </c>
      <c r="O6" s="328">
        <v>1150</v>
      </c>
      <c r="P6" s="290">
        <f t="shared" ref="P6:P18" si="1">K6+L6+M6+N6+O6</f>
        <v>6621</v>
      </c>
      <c r="Q6" s="291">
        <f t="shared" ref="Q6:Q19" si="2">I6+P6</f>
        <v>17813</v>
      </c>
      <c r="R6" s="292">
        <v>17843</v>
      </c>
      <c r="S6" s="329"/>
      <c r="T6" s="293">
        <v>0</v>
      </c>
    </row>
    <row r="7" spans="1:24" x14ac:dyDescent="0.2">
      <c r="A7" s="294" t="s">
        <v>390</v>
      </c>
      <c r="B7" s="322">
        <v>591</v>
      </c>
      <c r="C7" s="325"/>
      <c r="D7" s="301">
        <v>295</v>
      </c>
      <c r="E7" s="323"/>
      <c r="F7" s="323"/>
      <c r="G7" s="324">
        <v>0</v>
      </c>
      <c r="H7" s="325">
        <v>2556</v>
      </c>
      <c r="I7" s="290">
        <f t="shared" si="0"/>
        <v>2851</v>
      </c>
      <c r="J7" s="330" t="s">
        <v>390</v>
      </c>
      <c r="K7" s="327">
        <v>180</v>
      </c>
      <c r="L7" s="323">
        <v>0</v>
      </c>
      <c r="M7" s="323">
        <v>234</v>
      </c>
      <c r="N7" s="58">
        <v>0</v>
      </c>
      <c r="O7" s="328">
        <v>0</v>
      </c>
      <c r="P7" s="290">
        <f t="shared" si="1"/>
        <v>414</v>
      </c>
      <c r="Q7" s="291">
        <f t="shared" si="2"/>
        <v>3265</v>
      </c>
      <c r="R7" s="295">
        <v>2756</v>
      </c>
      <c r="S7" s="329"/>
      <c r="T7" s="296">
        <v>0</v>
      </c>
    </row>
    <row r="8" spans="1:24" x14ac:dyDescent="0.2">
      <c r="A8" s="294" t="s">
        <v>391</v>
      </c>
      <c r="B8" s="322">
        <v>2211</v>
      </c>
      <c r="C8" s="325"/>
      <c r="D8" s="301">
        <v>1106</v>
      </c>
      <c r="E8" s="323"/>
      <c r="F8" s="323"/>
      <c r="G8" s="324">
        <v>0</v>
      </c>
      <c r="H8" s="325">
        <v>9565</v>
      </c>
      <c r="I8" s="290">
        <f>SUM(D8:H8)</f>
        <v>10671</v>
      </c>
      <c r="J8" s="330" t="s">
        <v>391</v>
      </c>
      <c r="K8" s="327">
        <v>0</v>
      </c>
      <c r="L8" s="323">
        <v>0</v>
      </c>
      <c r="M8" s="323">
        <v>996</v>
      </c>
      <c r="N8" s="58">
        <v>0</v>
      </c>
      <c r="O8" s="328">
        <v>0</v>
      </c>
      <c r="P8" s="290">
        <f t="shared" si="1"/>
        <v>996</v>
      </c>
      <c r="Q8" s="291">
        <f t="shared" si="2"/>
        <v>11667</v>
      </c>
      <c r="R8" s="295">
        <v>9834</v>
      </c>
      <c r="S8" s="329"/>
      <c r="T8" s="296">
        <v>0</v>
      </c>
    </row>
    <row r="9" spans="1:24" x14ac:dyDescent="0.2">
      <c r="A9" s="294" t="s">
        <v>392</v>
      </c>
      <c r="B9" s="322">
        <v>1800</v>
      </c>
      <c r="C9" s="325"/>
      <c r="D9" s="301">
        <v>900</v>
      </c>
      <c r="E9" s="323"/>
      <c r="F9" s="323"/>
      <c r="G9" s="324">
        <v>0</v>
      </c>
      <c r="H9" s="325">
        <v>1810</v>
      </c>
      <c r="I9" s="290">
        <f>SUM(D9:H9)</f>
        <v>2710</v>
      </c>
      <c r="J9" s="330" t="s">
        <v>392</v>
      </c>
      <c r="K9" s="327">
        <v>0</v>
      </c>
      <c r="L9" s="323">
        <v>0</v>
      </c>
      <c r="M9" s="323">
        <v>469</v>
      </c>
      <c r="N9" s="58">
        <v>0</v>
      </c>
      <c r="O9" s="328">
        <v>0</v>
      </c>
      <c r="P9" s="290">
        <f t="shared" si="1"/>
        <v>469</v>
      </c>
      <c r="Q9" s="291">
        <f t="shared" si="2"/>
        <v>3179</v>
      </c>
      <c r="R9" s="295">
        <v>8025</v>
      </c>
      <c r="S9" s="329"/>
      <c r="T9" s="296">
        <v>0</v>
      </c>
      <c r="U9" s="351"/>
    </row>
    <row r="10" spans="1:24" x14ac:dyDescent="0.2">
      <c r="A10" s="294" t="s">
        <v>393</v>
      </c>
      <c r="B10" s="322">
        <v>616</v>
      </c>
      <c r="C10" s="325"/>
      <c r="D10" s="301">
        <v>308</v>
      </c>
      <c r="E10" s="323"/>
      <c r="F10" s="323"/>
      <c r="G10" s="324">
        <v>0</v>
      </c>
      <c r="H10" s="325">
        <v>1328</v>
      </c>
      <c r="I10" s="290">
        <f t="shared" si="0"/>
        <v>1636</v>
      </c>
      <c r="J10" s="330" t="s">
        <v>393</v>
      </c>
      <c r="K10" s="327">
        <v>0</v>
      </c>
      <c r="L10" s="323">
        <v>0</v>
      </c>
      <c r="M10" s="323">
        <v>371</v>
      </c>
      <c r="N10" s="58">
        <v>0</v>
      </c>
      <c r="O10" s="328">
        <v>225</v>
      </c>
      <c r="P10" s="290">
        <f t="shared" si="1"/>
        <v>596</v>
      </c>
      <c r="Q10" s="291">
        <f t="shared" si="2"/>
        <v>2232</v>
      </c>
      <c r="R10" s="295">
        <v>2669</v>
      </c>
      <c r="S10" s="329"/>
      <c r="T10" s="296">
        <v>0</v>
      </c>
    </row>
    <row r="11" spans="1:24" x14ac:dyDescent="0.2">
      <c r="A11" s="294" t="s">
        <v>394</v>
      </c>
      <c r="B11" s="322">
        <v>542</v>
      </c>
      <c r="C11" s="325"/>
      <c r="D11" s="301">
        <v>271</v>
      </c>
      <c r="E11" s="323"/>
      <c r="F11" s="323"/>
      <c r="G11" s="324">
        <v>0</v>
      </c>
      <c r="H11" s="325">
        <v>1167</v>
      </c>
      <c r="I11" s="290">
        <f t="shared" si="0"/>
        <v>1438</v>
      </c>
      <c r="J11" s="330" t="s">
        <v>394</v>
      </c>
      <c r="K11" s="327">
        <v>180</v>
      </c>
      <c r="L11" s="323">
        <v>0</v>
      </c>
      <c r="M11" s="323">
        <v>156</v>
      </c>
      <c r="N11" s="58">
        <v>0</v>
      </c>
      <c r="O11" s="328">
        <v>0</v>
      </c>
      <c r="P11" s="290">
        <f t="shared" si="1"/>
        <v>336</v>
      </c>
      <c r="Q11" s="291">
        <f t="shared" si="2"/>
        <v>1774</v>
      </c>
      <c r="R11" s="295">
        <v>2057</v>
      </c>
      <c r="S11" s="329"/>
      <c r="T11" s="296">
        <v>0</v>
      </c>
    </row>
    <row r="12" spans="1:24" x14ac:dyDescent="0.2">
      <c r="A12" s="294" t="s">
        <v>395</v>
      </c>
      <c r="B12" s="322">
        <v>1466</v>
      </c>
      <c r="C12" s="325"/>
      <c r="D12" s="301">
        <v>733</v>
      </c>
      <c r="E12" s="323"/>
      <c r="F12" s="323"/>
      <c r="G12" s="324">
        <v>0</v>
      </c>
      <c r="H12" s="325">
        <v>3160</v>
      </c>
      <c r="I12" s="290">
        <f t="shared" si="0"/>
        <v>3893</v>
      </c>
      <c r="J12" s="330" t="s">
        <v>395</v>
      </c>
      <c r="K12" s="327">
        <v>0</v>
      </c>
      <c r="L12" s="323">
        <v>0</v>
      </c>
      <c r="M12" s="323">
        <v>0</v>
      </c>
      <c r="N12" s="58">
        <v>0</v>
      </c>
      <c r="O12" s="328">
        <v>825</v>
      </c>
      <c r="P12" s="290">
        <f t="shared" si="1"/>
        <v>825</v>
      </c>
      <c r="Q12" s="291">
        <f t="shared" si="2"/>
        <v>4718</v>
      </c>
      <c r="R12" s="295">
        <v>5935</v>
      </c>
      <c r="S12" s="329"/>
      <c r="T12" s="296">
        <v>0</v>
      </c>
    </row>
    <row r="13" spans="1:24" x14ac:dyDescent="0.2">
      <c r="A13" s="294" t="s">
        <v>396</v>
      </c>
      <c r="B13" s="322">
        <v>545</v>
      </c>
      <c r="C13" s="325"/>
      <c r="D13" s="301">
        <v>273</v>
      </c>
      <c r="E13" s="323"/>
      <c r="F13" s="323"/>
      <c r="G13" s="324">
        <v>0</v>
      </c>
      <c r="H13" s="325">
        <v>1177</v>
      </c>
      <c r="I13" s="290">
        <f t="shared" si="0"/>
        <v>1450</v>
      </c>
      <c r="J13" s="330" t="s">
        <v>396</v>
      </c>
      <c r="K13" s="327">
        <v>180</v>
      </c>
      <c r="L13" s="323">
        <v>0</v>
      </c>
      <c r="M13" s="323">
        <v>509</v>
      </c>
      <c r="N13" s="58">
        <v>0</v>
      </c>
      <c r="O13" s="328">
        <v>0</v>
      </c>
      <c r="P13" s="290">
        <f t="shared" si="1"/>
        <v>689</v>
      </c>
      <c r="Q13" s="291">
        <f t="shared" si="2"/>
        <v>2139</v>
      </c>
      <c r="R13" s="295">
        <v>2474</v>
      </c>
      <c r="S13" s="329"/>
      <c r="T13" s="296">
        <v>0</v>
      </c>
      <c r="U13" s="331"/>
    </row>
    <row r="14" spans="1:24" x14ac:dyDescent="0.2">
      <c r="A14" s="294" t="s">
        <v>397</v>
      </c>
      <c r="B14" s="322">
        <v>391</v>
      </c>
      <c r="C14" s="325"/>
      <c r="D14" s="301">
        <v>195</v>
      </c>
      <c r="E14" s="323"/>
      <c r="F14" s="323"/>
      <c r="G14" s="324">
        <v>0</v>
      </c>
      <c r="H14" s="325">
        <v>842</v>
      </c>
      <c r="I14" s="290">
        <f>SUM(D14:H14)</f>
        <v>1037</v>
      </c>
      <c r="J14" s="330" t="s">
        <v>397</v>
      </c>
      <c r="K14" s="327">
        <v>180</v>
      </c>
      <c r="L14" s="323">
        <v>0</v>
      </c>
      <c r="M14" s="323">
        <v>820</v>
      </c>
      <c r="N14" s="58">
        <v>0</v>
      </c>
      <c r="O14" s="328">
        <v>0</v>
      </c>
      <c r="P14" s="290">
        <f t="shared" si="1"/>
        <v>1000</v>
      </c>
      <c r="Q14" s="291">
        <f t="shared" si="2"/>
        <v>2037</v>
      </c>
      <c r="R14" s="295">
        <v>2207</v>
      </c>
      <c r="S14" s="329"/>
      <c r="T14" s="296">
        <v>0</v>
      </c>
      <c r="U14" s="297"/>
    </row>
    <row r="15" spans="1:24" x14ac:dyDescent="0.2">
      <c r="A15" s="294" t="s">
        <v>398</v>
      </c>
      <c r="B15" s="322">
        <v>441</v>
      </c>
      <c r="C15" s="325"/>
      <c r="D15" s="301">
        <v>220</v>
      </c>
      <c r="E15" s="323"/>
      <c r="F15" s="323"/>
      <c r="G15" s="324">
        <v>0</v>
      </c>
      <c r="H15" s="325">
        <v>951</v>
      </c>
      <c r="I15" s="290">
        <f t="shared" si="0"/>
        <v>1171</v>
      </c>
      <c r="J15" s="330" t="s">
        <v>398</v>
      </c>
      <c r="K15" s="327">
        <v>0</v>
      </c>
      <c r="L15" s="323">
        <v>0</v>
      </c>
      <c r="M15" s="323">
        <v>352</v>
      </c>
      <c r="N15" s="58">
        <v>0</v>
      </c>
      <c r="O15" s="328">
        <v>0</v>
      </c>
      <c r="P15" s="290">
        <f t="shared" si="1"/>
        <v>352</v>
      </c>
      <c r="Q15" s="291">
        <f t="shared" si="2"/>
        <v>1523</v>
      </c>
      <c r="R15" s="295">
        <v>1568</v>
      </c>
      <c r="S15" s="329"/>
      <c r="T15" s="296">
        <v>0</v>
      </c>
      <c r="U15" s="297"/>
    </row>
    <row r="16" spans="1:24" x14ac:dyDescent="0.2">
      <c r="A16" s="294" t="s">
        <v>399</v>
      </c>
      <c r="B16" s="322">
        <v>669</v>
      </c>
      <c r="C16" s="325"/>
      <c r="D16" s="301">
        <v>335</v>
      </c>
      <c r="E16" s="323"/>
      <c r="F16" s="323"/>
      <c r="G16" s="324">
        <v>0</v>
      </c>
      <c r="H16" s="325">
        <v>2894</v>
      </c>
      <c r="I16" s="290">
        <f t="shared" si="0"/>
        <v>3229</v>
      </c>
      <c r="J16" s="330" t="s">
        <v>399</v>
      </c>
      <c r="K16" s="327">
        <v>180</v>
      </c>
      <c r="L16" s="323">
        <v>0</v>
      </c>
      <c r="M16" s="323">
        <v>234</v>
      </c>
      <c r="N16" s="58">
        <v>0</v>
      </c>
      <c r="O16" s="328">
        <v>0</v>
      </c>
      <c r="P16" s="290">
        <f t="shared" si="1"/>
        <v>414</v>
      </c>
      <c r="Q16" s="291">
        <f t="shared" si="2"/>
        <v>3643</v>
      </c>
      <c r="R16" s="295">
        <v>3094</v>
      </c>
      <c r="S16" s="329"/>
      <c r="T16" s="296">
        <v>0</v>
      </c>
      <c r="U16" s="297"/>
    </row>
    <row r="17" spans="1:21" x14ac:dyDescent="0.2">
      <c r="A17" s="294" t="s">
        <v>400</v>
      </c>
      <c r="B17" s="322">
        <v>574</v>
      </c>
      <c r="C17" s="325"/>
      <c r="D17" s="301">
        <v>287</v>
      </c>
      <c r="E17" s="302"/>
      <c r="F17" s="323"/>
      <c r="G17" s="58">
        <v>0</v>
      </c>
      <c r="H17" s="325">
        <v>1237</v>
      </c>
      <c r="I17" s="304">
        <f>SUM(D17:H17)</f>
        <v>1524</v>
      </c>
      <c r="J17" s="330" t="s">
        <v>400</v>
      </c>
      <c r="K17" s="306">
        <v>180</v>
      </c>
      <c r="L17" s="323">
        <v>0</v>
      </c>
      <c r="M17" s="302">
        <v>430</v>
      </c>
      <c r="N17" s="58">
        <v>0</v>
      </c>
      <c r="O17" s="328">
        <v>0</v>
      </c>
      <c r="P17" s="290">
        <f t="shared" si="1"/>
        <v>610</v>
      </c>
      <c r="Q17" s="298">
        <f t="shared" si="2"/>
        <v>2134</v>
      </c>
      <c r="R17" s="295">
        <v>2252</v>
      </c>
      <c r="S17" s="329"/>
      <c r="T17" s="296">
        <v>0</v>
      </c>
      <c r="U17" s="297"/>
    </row>
    <row r="18" spans="1:21" x14ac:dyDescent="0.2">
      <c r="A18" s="294" t="s">
        <v>401</v>
      </c>
      <c r="B18" s="322">
        <v>225</v>
      </c>
      <c r="C18" s="325"/>
      <c r="D18" s="301">
        <v>112</v>
      </c>
      <c r="E18" s="302"/>
      <c r="F18" s="323"/>
      <c r="G18" s="58">
        <v>0</v>
      </c>
      <c r="H18" s="325">
        <v>485</v>
      </c>
      <c r="I18" s="304">
        <f t="shared" si="0"/>
        <v>597</v>
      </c>
      <c r="J18" s="330" t="s">
        <v>401</v>
      </c>
      <c r="K18" s="306">
        <v>0</v>
      </c>
      <c r="L18" s="323">
        <v>0</v>
      </c>
      <c r="M18" s="302">
        <v>742</v>
      </c>
      <c r="N18" s="58">
        <v>0</v>
      </c>
      <c r="O18" s="328">
        <v>0</v>
      </c>
      <c r="P18" s="290">
        <f t="shared" si="1"/>
        <v>742</v>
      </c>
      <c r="Q18" s="298">
        <f t="shared" si="2"/>
        <v>1339</v>
      </c>
      <c r="R18" s="295">
        <v>1264</v>
      </c>
      <c r="S18" s="329"/>
      <c r="T18" s="296">
        <v>0</v>
      </c>
      <c r="U18" s="331"/>
    </row>
    <row r="19" spans="1:21" hidden="1" x14ac:dyDescent="0.2">
      <c r="A19" s="299" t="s">
        <v>402</v>
      </c>
      <c r="B19" s="300"/>
      <c r="C19" s="393"/>
      <c r="D19" s="301"/>
      <c r="E19" s="302"/>
      <c r="F19" s="302"/>
      <c r="G19" s="58"/>
      <c r="H19" s="303"/>
      <c r="I19" s="304"/>
      <c r="J19" s="305" t="s">
        <v>402</v>
      </c>
      <c r="K19" s="306"/>
      <c r="L19" s="323">
        <f>[4]Jelzőrendszer!C31</f>
        <v>0</v>
      </c>
      <c r="M19" s="302">
        <f>SUM('[4]Családsegítés, gyerm.jólét'!V57)</f>
        <v>0</v>
      </c>
      <c r="N19" s="58"/>
      <c r="O19" s="328">
        <f>'[4]Püg.,TV, étkeztetés '!C33+'[4]Püg.,TV, étkeztetés '!H33</f>
        <v>2200</v>
      </c>
      <c r="P19" s="304" t="e">
        <f>K19+#REF!+M19+N19+O19</f>
        <v>#REF!</v>
      </c>
      <c r="Q19" s="298" t="e">
        <f t="shared" si="2"/>
        <v>#REF!</v>
      </c>
      <c r="R19" s="295" t="e">
        <v>#REF!</v>
      </c>
      <c r="S19" s="329"/>
      <c r="T19" s="296"/>
    </row>
    <row r="20" spans="1:21" ht="13.5" thickBot="1" x14ac:dyDescent="0.25">
      <c r="A20" s="307" t="s">
        <v>39</v>
      </c>
      <c r="B20" s="308">
        <f>SUM(B6:B19)</f>
        <v>12390</v>
      </c>
      <c r="C20" s="311"/>
      <c r="D20" s="309">
        <f t="shared" ref="D20:I20" si="3">SUM(D6:D18)</f>
        <v>6195</v>
      </c>
      <c r="E20" s="310">
        <f t="shared" si="3"/>
        <v>0</v>
      </c>
      <c r="F20" s="310">
        <f t="shared" si="3"/>
        <v>0</v>
      </c>
      <c r="G20" s="310">
        <f t="shared" si="3"/>
        <v>0</v>
      </c>
      <c r="H20" s="311">
        <f t="shared" si="3"/>
        <v>37204</v>
      </c>
      <c r="I20" s="308">
        <f t="shared" si="3"/>
        <v>43399</v>
      </c>
      <c r="J20" s="312" t="s">
        <v>39</v>
      </c>
      <c r="K20" s="309">
        <f>SUM(K6:K18)</f>
        <v>6160</v>
      </c>
      <c r="L20" s="309">
        <f>SUM(L6:L18)</f>
        <v>0</v>
      </c>
      <c r="M20" s="310">
        <f>SUM(M6:M19)</f>
        <v>5704</v>
      </c>
      <c r="N20" s="310">
        <f>SUM(N6:N18)</f>
        <v>0</v>
      </c>
      <c r="O20" s="313">
        <f>SUM(O6:O18)</f>
        <v>2200</v>
      </c>
      <c r="P20" s="308">
        <f>SUM(K20:O20)</f>
        <v>14064</v>
      </c>
      <c r="Q20" s="400">
        <f>SUM(Q6:Q18)</f>
        <v>57463</v>
      </c>
      <c r="R20" s="314">
        <f>SUM(R6:R18)</f>
        <v>61978</v>
      </c>
      <c r="S20" s="333"/>
      <c r="T20" s="315">
        <f>SUM(T6:T18)</f>
        <v>0</v>
      </c>
    </row>
    <row r="21" spans="1:21" ht="12.75" hidden="1" customHeight="1" x14ac:dyDescent="0.2">
      <c r="A21" s="317"/>
      <c r="B21" s="317"/>
      <c r="C21" s="317"/>
      <c r="D21" s="317"/>
      <c r="E21" s="329">
        <f>SUM(D20+E20+F20)</f>
        <v>6195</v>
      </c>
      <c r="G21" s="332"/>
      <c r="H21" s="332"/>
      <c r="I21" s="332"/>
      <c r="J21" s="317"/>
      <c r="K21" s="317"/>
      <c r="L21" s="317"/>
      <c r="M21" s="317"/>
      <c r="N21" s="317"/>
      <c r="O21" s="317"/>
      <c r="P21" s="332"/>
      <c r="Q21" s="332"/>
      <c r="R21" s="333"/>
      <c r="S21" s="329"/>
    </row>
    <row r="22" spans="1:21" hidden="1" x14ac:dyDescent="0.2">
      <c r="A22" s="600" t="s">
        <v>376</v>
      </c>
      <c r="B22" s="604" t="s">
        <v>607</v>
      </c>
      <c r="C22" s="606" t="s">
        <v>494</v>
      </c>
      <c r="G22" s="316"/>
      <c r="P22"/>
      <c r="S22"/>
    </row>
    <row r="23" spans="1:21" ht="57" hidden="1" customHeight="1" x14ac:dyDescent="0.2">
      <c r="A23" s="601"/>
      <c r="B23" s="605"/>
      <c r="C23" s="607"/>
      <c r="P23"/>
      <c r="S23"/>
    </row>
    <row r="24" spans="1:21" ht="12.75" hidden="1" customHeight="1" thickBot="1" x14ac:dyDescent="0.25">
      <c r="A24" s="289" t="s">
        <v>389</v>
      </c>
      <c r="B24" s="334"/>
      <c r="C24" s="343">
        <v>3640</v>
      </c>
      <c r="P24"/>
      <c r="S24"/>
    </row>
    <row r="25" spans="1:21" hidden="1" x14ac:dyDescent="0.2">
      <c r="A25" s="294" t="s">
        <v>390</v>
      </c>
      <c r="B25" s="334"/>
      <c r="C25" s="343">
        <v>642</v>
      </c>
      <c r="P25"/>
      <c r="S25"/>
    </row>
    <row r="26" spans="1:21" hidden="1" x14ac:dyDescent="0.2">
      <c r="A26" s="294" t="s">
        <v>391</v>
      </c>
      <c r="B26" s="334"/>
      <c r="C26" s="343">
        <v>2891</v>
      </c>
      <c r="P26"/>
      <c r="S26"/>
    </row>
    <row r="27" spans="1:21" hidden="1" x14ac:dyDescent="0.2">
      <c r="A27" s="294" t="s">
        <v>392</v>
      </c>
      <c r="B27" s="334"/>
      <c r="C27" s="343">
        <v>0</v>
      </c>
      <c r="P27"/>
      <c r="S27"/>
    </row>
    <row r="28" spans="1:21" hidden="1" x14ac:dyDescent="0.2">
      <c r="A28" s="294" t="s">
        <v>393</v>
      </c>
      <c r="B28" s="334"/>
      <c r="C28" s="343">
        <v>642</v>
      </c>
      <c r="P28"/>
      <c r="S28"/>
    </row>
    <row r="29" spans="1:21" hidden="1" x14ac:dyDescent="0.2">
      <c r="A29" s="294" t="s">
        <v>394</v>
      </c>
      <c r="B29" s="334"/>
      <c r="C29" s="343">
        <v>642</v>
      </c>
      <c r="P29"/>
      <c r="S29"/>
    </row>
    <row r="30" spans="1:21" hidden="1" x14ac:dyDescent="0.2">
      <c r="A30" s="294" t="s">
        <v>395</v>
      </c>
      <c r="B30" s="334"/>
      <c r="C30" s="343">
        <v>1499</v>
      </c>
      <c r="P30"/>
      <c r="S30"/>
    </row>
    <row r="31" spans="1:21" hidden="1" x14ac:dyDescent="0.2">
      <c r="A31" s="294" t="s">
        <v>396</v>
      </c>
      <c r="B31" s="334"/>
      <c r="C31" s="343">
        <v>642</v>
      </c>
      <c r="P31"/>
      <c r="S31"/>
    </row>
    <row r="32" spans="1:21" hidden="1" x14ac:dyDescent="0.2">
      <c r="A32" s="294" t="s">
        <v>397</v>
      </c>
      <c r="B32" s="334"/>
      <c r="C32" s="343">
        <v>642</v>
      </c>
      <c r="P32"/>
      <c r="S32"/>
    </row>
    <row r="33" spans="1:19" hidden="1" x14ac:dyDescent="0.2">
      <c r="A33" s="294" t="s">
        <v>398</v>
      </c>
      <c r="B33" s="334"/>
      <c r="C33" s="343">
        <v>108</v>
      </c>
      <c r="P33"/>
      <c r="S33"/>
    </row>
    <row r="34" spans="1:19" hidden="1" x14ac:dyDescent="0.2">
      <c r="A34" s="294" t="s">
        <v>399</v>
      </c>
      <c r="B34" s="334"/>
      <c r="C34" s="343">
        <v>322</v>
      </c>
      <c r="P34"/>
      <c r="S34"/>
    </row>
    <row r="35" spans="1:19" hidden="1" x14ac:dyDescent="0.2">
      <c r="A35" s="294" t="s">
        <v>400</v>
      </c>
      <c r="B35" s="334"/>
      <c r="C35" s="344">
        <v>642</v>
      </c>
      <c r="P35"/>
      <c r="S35"/>
    </row>
    <row r="36" spans="1:19" hidden="1" x14ac:dyDescent="0.2">
      <c r="A36" s="294" t="s">
        <v>401</v>
      </c>
      <c r="B36" s="334"/>
      <c r="C36" s="344">
        <v>0</v>
      </c>
      <c r="P36"/>
      <c r="S36"/>
    </row>
    <row r="37" spans="1:19" ht="13.5" hidden="1" customHeight="1" x14ac:dyDescent="0.2">
      <c r="A37" s="307" t="s">
        <v>39</v>
      </c>
      <c r="B37" s="335">
        <f>SUM(B24:B36)</f>
        <v>0</v>
      </c>
      <c r="C37" s="345">
        <f>SUM(C24:C36)</f>
        <v>12312</v>
      </c>
      <c r="P37"/>
      <c r="S37"/>
    </row>
    <row r="38" spans="1:19" ht="12.75" hidden="1" customHeight="1" thickBot="1" x14ac:dyDescent="0.25">
      <c r="P38"/>
      <c r="S38"/>
    </row>
    <row r="39" spans="1:19" ht="12.75" hidden="1" customHeight="1" x14ac:dyDescent="0.2">
      <c r="B39" s="394"/>
      <c r="C39" s="394"/>
      <c r="P39"/>
      <c r="S39"/>
    </row>
    <row r="40" spans="1:19" ht="12.75" hidden="1" customHeight="1" x14ac:dyDescent="0.2">
      <c r="B40" s="394"/>
    </row>
    <row r="41" spans="1:19" x14ac:dyDescent="0.2">
      <c r="B41" s="394"/>
    </row>
    <row r="42" spans="1:19" x14ac:dyDescent="0.2">
      <c r="A42" s="282" t="s">
        <v>697</v>
      </c>
      <c r="B42" s="394"/>
    </row>
    <row r="43" spans="1:19" ht="13.5" thickBot="1" x14ac:dyDescent="0.25">
      <c r="B43" s="394"/>
    </row>
    <row r="44" spans="1:19" ht="13.5" thickBot="1" x14ac:dyDescent="0.25">
      <c r="A44" s="600" t="s">
        <v>376</v>
      </c>
      <c r="B44" s="602" t="s">
        <v>377</v>
      </c>
      <c r="C44" s="391"/>
      <c r="D44" s="612" t="s">
        <v>378</v>
      </c>
      <c r="E44" s="612"/>
      <c r="F44" s="612"/>
      <c r="G44" s="612"/>
      <c r="H44" s="612"/>
      <c r="I44" s="612"/>
      <c r="J44" s="600" t="s">
        <v>376</v>
      </c>
      <c r="K44" s="614" t="s">
        <v>379</v>
      </c>
      <c r="L44" s="615"/>
      <c r="M44" s="615"/>
      <c r="N44" s="615"/>
      <c r="O44" s="615"/>
      <c r="P44" s="616"/>
      <c r="Q44" s="610" t="s">
        <v>694</v>
      </c>
      <c r="R44" s="617" t="s">
        <v>695</v>
      </c>
    </row>
    <row r="45" spans="1:19" ht="36.75" thickBot="1" x14ac:dyDescent="0.25">
      <c r="A45" s="601"/>
      <c r="B45" s="603"/>
      <c r="C45" s="392"/>
      <c r="D45" s="284" t="s">
        <v>380</v>
      </c>
      <c r="E45" s="285" t="s">
        <v>381</v>
      </c>
      <c r="F45" s="285" t="s">
        <v>528</v>
      </c>
      <c r="G45" s="286" t="s">
        <v>382</v>
      </c>
      <c r="H45" s="286" t="s">
        <v>696</v>
      </c>
      <c r="I45" s="287" t="s">
        <v>383</v>
      </c>
      <c r="J45" s="613"/>
      <c r="K45" s="284" t="s">
        <v>384</v>
      </c>
      <c r="L45" s="285" t="s">
        <v>493</v>
      </c>
      <c r="M45" s="285" t="s">
        <v>385</v>
      </c>
      <c r="N45" s="285" t="s">
        <v>386</v>
      </c>
      <c r="O45" s="286" t="s">
        <v>387</v>
      </c>
      <c r="P45" s="287" t="s">
        <v>388</v>
      </c>
      <c r="Q45" s="611"/>
      <c r="R45" s="618"/>
    </row>
    <row r="46" spans="1:19" x14ac:dyDescent="0.2">
      <c r="A46" s="289" t="s">
        <v>389</v>
      </c>
      <c r="B46" s="322">
        <v>2319</v>
      </c>
      <c r="C46" s="325"/>
      <c r="D46" s="301">
        <v>1160</v>
      </c>
      <c r="E46" s="323"/>
      <c r="F46" s="323"/>
      <c r="G46" s="493">
        <v>9233</v>
      </c>
      <c r="H46" s="325">
        <v>250</v>
      </c>
      <c r="I46" s="290">
        <f t="shared" ref="I46:I58" si="4">SUM(D46:H46)</f>
        <v>10643</v>
      </c>
      <c r="J46" s="326" t="s">
        <v>389</v>
      </c>
      <c r="K46" s="327">
        <v>5122</v>
      </c>
      <c r="L46" s="323">
        <v>0</v>
      </c>
      <c r="M46" s="323">
        <v>391</v>
      </c>
      <c r="N46" s="324">
        <v>0</v>
      </c>
      <c r="O46" s="328">
        <v>1150</v>
      </c>
      <c r="P46" s="290">
        <f t="shared" ref="P46:P58" si="5">K46+L46+M46+N46+O46</f>
        <v>6663</v>
      </c>
      <c r="Q46" s="291">
        <f t="shared" ref="Q46:Q59" si="6">I46+P46</f>
        <v>17306</v>
      </c>
      <c r="R46" s="292">
        <v>17813</v>
      </c>
    </row>
    <row r="47" spans="1:19" x14ac:dyDescent="0.2">
      <c r="A47" s="294" t="s">
        <v>390</v>
      </c>
      <c r="B47" s="322">
        <v>591</v>
      </c>
      <c r="C47" s="325"/>
      <c r="D47" s="301">
        <v>295</v>
      </c>
      <c r="E47" s="323"/>
      <c r="F47" s="323"/>
      <c r="G47" s="324">
        <v>2352</v>
      </c>
      <c r="H47" s="325">
        <v>64</v>
      </c>
      <c r="I47" s="290">
        <f t="shared" si="4"/>
        <v>2711</v>
      </c>
      <c r="J47" s="330" t="s">
        <v>390</v>
      </c>
      <c r="K47" s="327">
        <v>222</v>
      </c>
      <c r="L47" s="323">
        <v>0</v>
      </c>
      <c r="M47" s="323">
        <v>234</v>
      </c>
      <c r="N47" s="58">
        <v>0</v>
      </c>
      <c r="O47" s="328">
        <v>0</v>
      </c>
      <c r="P47" s="290">
        <f t="shared" si="5"/>
        <v>456</v>
      </c>
      <c r="Q47" s="291">
        <f t="shared" si="6"/>
        <v>3167</v>
      </c>
      <c r="R47" s="295">
        <v>3265</v>
      </c>
    </row>
    <row r="48" spans="1:19" x14ac:dyDescent="0.2">
      <c r="A48" s="294" t="s">
        <v>391</v>
      </c>
      <c r="B48" s="322">
        <v>2211</v>
      </c>
      <c r="C48" s="325"/>
      <c r="D48" s="301">
        <v>1106</v>
      </c>
      <c r="E48" s="323"/>
      <c r="F48" s="323"/>
      <c r="G48" s="324">
        <v>8802</v>
      </c>
      <c r="H48" s="325">
        <v>239</v>
      </c>
      <c r="I48" s="290">
        <f>SUM(D48:H48)</f>
        <v>10147</v>
      </c>
      <c r="J48" s="330" t="s">
        <v>391</v>
      </c>
      <c r="K48" s="327">
        <v>0</v>
      </c>
      <c r="L48" s="323">
        <v>0</v>
      </c>
      <c r="M48" s="323">
        <v>996</v>
      </c>
      <c r="N48" s="58">
        <v>0</v>
      </c>
      <c r="O48" s="328">
        <v>0</v>
      </c>
      <c r="P48" s="290">
        <f t="shared" si="5"/>
        <v>996</v>
      </c>
      <c r="Q48" s="291">
        <f t="shared" si="6"/>
        <v>11143</v>
      </c>
      <c r="R48" s="295">
        <v>11667</v>
      </c>
    </row>
    <row r="49" spans="1:18" x14ac:dyDescent="0.2">
      <c r="A49" s="294" t="s">
        <v>392</v>
      </c>
      <c r="B49" s="322">
        <v>1800</v>
      </c>
      <c r="C49" s="325"/>
      <c r="D49" s="301">
        <v>900</v>
      </c>
      <c r="E49" s="323"/>
      <c r="F49" s="323"/>
      <c r="G49" s="324">
        <v>1810</v>
      </c>
      <c r="H49" s="325">
        <v>0</v>
      </c>
      <c r="I49" s="290">
        <f>SUM(D49:H49)</f>
        <v>2710</v>
      </c>
      <c r="J49" s="330" t="s">
        <v>392</v>
      </c>
      <c r="K49" s="327">
        <v>0</v>
      </c>
      <c r="L49" s="323">
        <v>0</v>
      </c>
      <c r="M49" s="323">
        <v>469</v>
      </c>
      <c r="N49" s="58">
        <v>0</v>
      </c>
      <c r="O49" s="328">
        <v>0</v>
      </c>
      <c r="P49" s="290">
        <f t="shared" si="5"/>
        <v>469</v>
      </c>
      <c r="Q49" s="291">
        <f t="shared" si="6"/>
        <v>3179</v>
      </c>
      <c r="R49" s="295">
        <v>3179</v>
      </c>
    </row>
    <row r="50" spans="1:18" x14ac:dyDescent="0.2">
      <c r="A50" s="294" t="s">
        <v>393</v>
      </c>
      <c r="B50" s="322">
        <v>616</v>
      </c>
      <c r="C50" s="325"/>
      <c r="D50" s="301">
        <v>308</v>
      </c>
      <c r="E50" s="323"/>
      <c r="F50" s="323"/>
      <c r="G50" s="324">
        <v>1635</v>
      </c>
      <c r="H50" s="325">
        <v>67</v>
      </c>
      <c r="I50" s="290">
        <f t="shared" si="4"/>
        <v>2010</v>
      </c>
      <c r="J50" s="330" t="s">
        <v>393</v>
      </c>
      <c r="K50" s="327">
        <v>0</v>
      </c>
      <c r="L50" s="323">
        <v>0</v>
      </c>
      <c r="M50" s="323">
        <v>371</v>
      </c>
      <c r="N50" s="58">
        <v>0</v>
      </c>
      <c r="O50" s="328">
        <v>225</v>
      </c>
      <c r="P50" s="290">
        <f t="shared" si="5"/>
        <v>596</v>
      </c>
      <c r="Q50" s="291">
        <f t="shared" si="6"/>
        <v>2606</v>
      </c>
      <c r="R50" s="295">
        <v>2232</v>
      </c>
    </row>
    <row r="51" spans="1:18" x14ac:dyDescent="0.2">
      <c r="A51" s="294" t="s">
        <v>394</v>
      </c>
      <c r="B51" s="322">
        <v>542</v>
      </c>
      <c r="C51" s="325"/>
      <c r="D51" s="301">
        <v>271</v>
      </c>
      <c r="E51" s="323"/>
      <c r="F51" s="323"/>
      <c r="G51" s="324">
        <v>1438</v>
      </c>
      <c r="H51" s="325">
        <v>58</v>
      </c>
      <c r="I51" s="290">
        <f t="shared" si="4"/>
        <v>1767</v>
      </c>
      <c r="J51" s="330" t="s">
        <v>394</v>
      </c>
      <c r="K51" s="327">
        <v>222</v>
      </c>
      <c r="L51" s="323">
        <v>0</v>
      </c>
      <c r="M51" s="323">
        <v>156</v>
      </c>
      <c r="N51" s="58">
        <v>0</v>
      </c>
      <c r="O51" s="328">
        <v>0</v>
      </c>
      <c r="P51" s="290">
        <f t="shared" si="5"/>
        <v>378</v>
      </c>
      <c r="Q51" s="291">
        <f t="shared" si="6"/>
        <v>2145</v>
      </c>
      <c r="R51" s="295">
        <v>1774</v>
      </c>
    </row>
    <row r="52" spans="1:18" x14ac:dyDescent="0.2">
      <c r="A52" s="294" t="s">
        <v>395</v>
      </c>
      <c r="B52" s="322">
        <v>1466</v>
      </c>
      <c r="C52" s="325"/>
      <c r="D52" s="301">
        <v>733</v>
      </c>
      <c r="E52" s="323"/>
      <c r="F52" s="323"/>
      <c r="G52" s="324">
        <v>3891</v>
      </c>
      <c r="H52" s="325">
        <v>158</v>
      </c>
      <c r="I52" s="290">
        <f t="shared" si="4"/>
        <v>4782</v>
      </c>
      <c r="J52" s="330" t="s">
        <v>395</v>
      </c>
      <c r="K52" s="327">
        <v>0</v>
      </c>
      <c r="L52" s="323">
        <v>0</v>
      </c>
      <c r="M52" s="323">
        <v>0</v>
      </c>
      <c r="N52" s="58">
        <v>0</v>
      </c>
      <c r="O52" s="328">
        <v>825</v>
      </c>
      <c r="P52" s="290">
        <f t="shared" si="5"/>
        <v>825</v>
      </c>
      <c r="Q52" s="291">
        <f t="shared" si="6"/>
        <v>5607</v>
      </c>
      <c r="R52" s="295">
        <v>4718</v>
      </c>
    </row>
    <row r="53" spans="1:18" x14ac:dyDescent="0.2">
      <c r="A53" s="294" t="s">
        <v>396</v>
      </c>
      <c r="B53" s="322">
        <v>545</v>
      </c>
      <c r="C53" s="325"/>
      <c r="D53" s="301">
        <v>273</v>
      </c>
      <c r="E53" s="323"/>
      <c r="F53" s="323"/>
      <c r="G53" s="324">
        <v>1447</v>
      </c>
      <c r="H53" s="325">
        <v>59</v>
      </c>
      <c r="I53" s="290">
        <f t="shared" si="4"/>
        <v>1779</v>
      </c>
      <c r="J53" s="330" t="s">
        <v>396</v>
      </c>
      <c r="K53" s="327">
        <v>222</v>
      </c>
      <c r="L53" s="323">
        <v>0</v>
      </c>
      <c r="M53" s="323">
        <v>509</v>
      </c>
      <c r="N53" s="58">
        <v>0</v>
      </c>
      <c r="O53" s="328">
        <v>0</v>
      </c>
      <c r="P53" s="290">
        <f t="shared" si="5"/>
        <v>731</v>
      </c>
      <c r="Q53" s="291">
        <f t="shared" si="6"/>
        <v>2510</v>
      </c>
      <c r="R53" s="295">
        <v>2139</v>
      </c>
    </row>
    <row r="54" spans="1:18" x14ac:dyDescent="0.2">
      <c r="A54" s="294" t="s">
        <v>397</v>
      </c>
      <c r="B54" s="322">
        <v>391</v>
      </c>
      <c r="C54" s="325"/>
      <c r="D54" s="301">
        <v>195</v>
      </c>
      <c r="E54" s="323"/>
      <c r="F54" s="323"/>
      <c r="G54" s="324">
        <v>1038</v>
      </c>
      <c r="H54" s="325">
        <v>42</v>
      </c>
      <c r="I54" s="290">
        <f>SUM(D54:H54)</f>
        <v>1275</v>
      </c>
      <c r="J54" s="330" t="s">
        <v>397</v>
      </c>
      <c r="K54" s="327">
        <v>222</v>
      </c>
      <c r="L54" s="323">
        <v>0</v>
      </c>
      <c r="M54" s="323">
        <v>820</v>
      </c>
      <c r="N54" s="58">
        <v>0</v>
      </c>
      <c r="O54" s="328">
        <v>0</v>
      </c>
      <c r="P54" s="290">
        <f t="shared" si="5"/>
        <v>1042</v>
      </c>
      <c r="Q54" s="291">
        <f t="shared" si="6"/>
        <v>2317</v>
      </c>
      <c r="R54" s="295">
        <v>2037</v>
      </c>
    </row>
    <row r="55" spans="1:18" x14ac:dyDescent="0.2">
      <c r="A55" s="294" t="s">
        <v>398</v>
      </c>
      <c r="B55" s="322">
        <v>441</v>
      </c>
      <c r="C55" s="325"/>
      <c r="D55" s="301">
        <v>220</v>
      </c>
      <c r="E55" s="323"/>
      <c r="F55" s="323"/>
      <c r="G55" s="324">
        <v>1171</v>
      </c>
      <c r="H55" s="325">
        <v>48</v>
      </c>
      <c r="I55" s="290">
        <f t="shared" si="4"/>
        <v>1439</v>
      </c>
      <c r="J55" s="330" t="s">
        <v>398</v>
      </c>
      <c r="K55" s="327">
        <v>0</v>
      </c>
      <c r="L55" s="323">
        <v>0</v>
      </c>
      <c r="M55" s="323">
        <v>352</v>
      </c>
      <c r="N55" s="58">
        <v>0</v>
      </c>
      <c r="O55" s="328">
        <v>0</v>
      </c>
      <c r="P55" s="290">
        <f t="shared" si="5"/>
        <v>352</v>
      </c>
      <c r="Q55" s="291">
        <f t="shared" si="6"/>
        <v>1791</v>
      </c>
      <c r="R55" s="295">
        <v>1523</v>
      </c>
    </row>
    <row r="56" spans="1:18" x14ac:dyDescent="0.2">
      <c r="A56" s="294" t="s">
        <v>399</v>
      </c>
      <c r="B56" s="322">
        <v>669</v>
      </c>
      <c r="C56" s="325"/>
      <c r="D56" s="301">
        <v>335</v>
      </c>
      <c r="E56" s="323"/>
      <c r="F56" s="323"/>
      <c r="G56" s="324">
        <v>2664</v>
      </c>
      <c r="H56" s="325">
        <v>72</v>
      </c>
      <c r="I56" s="290">
        <f t="shared" si="4"/>
        <v>3071</v>
      </c>
      <c r="J56" s="330" t="s">
        <v>399</v>
      </c>
      <c r="K56" s="327">
        <v>222</v>
      </c>
      <c r="L56" s="323">
        <v>0</v>
      </c>
      <c r="M56" s="323">
        <v>234</v>
      </c>
      <c r="N56" s="58">
        <v>0</v>
      </c>
      <c r="O56" s="328">
        <v>0</v>
      </c>
      <c r="P56" s="290">
        <f t="shared" si="5"/>
        <v>456</v>
      </c>
      <c r="Q56" s="291">
        <f t="shared" si="6"/>
        <v>3527</v>
      </c>
      <c r="R56" s="295">
        <v>3643</v>
      </c>
    </row>
    <row r="57" spans="1:18" x14ac:dyDescent="0.2">
      <c r="A57" s="294" t="s">
        <v>400</v>
      </c>
      <c r="B57" s="322">
        <v>574</v>
      </c>
      <c r="C57" s="325"/>
      <c r="D57" s="301">
        <v>287</v>
      </c>
      <c r="E57" s="302"/>
      <c r="F57" s="323"/>
      <c r="G57" s="324">
        <v>1524</v>
      </c>
      <c r="H57" s="325">
        <v>62</v>
      </c>
      <c r="I57" s="304">
        <f>SUM(D57:H57)</f>
        <v>1873</v>
      </c>
      <c r="J57" s="330" t="s">
        <v>400</v>
      </c>
      <c r="K57" s="306">
        <v>222</v>
      </c>
      <c r="L57" s="323">
        <v>0</v>
      </c>
      <c r="M57" s="302">
        <v>430</v>
      </c>
      <c r="N57" s="58">
        <v>0</v>
      </c>
      <c r="O57" s="328">
        <v>0</v>
      </c>
      <c r="P57" s="290">
        <f t="shared" si="5"/>
        <v>652</v>
      </c>
      <c r="Q57" s="298">
        <f t="shared" si="6"/>
        <v>2525</v>
      </c>
      <c r="R57" s="295">
        <v>2134</v>
      </c>
    </row>
    <row r="58" spans="1:18" x14ac:dyDescent="0.2">
      <c r="A58" s="294" t="s">
        <v>401</v>
      </c>
      <c r="B58" s="322">
        <v>225</v>
      </c>
      <c r="C58" s="325"/>
      <c r="D58" s="301">
        <v>112</v>
      </c>
      <c r="E58" s="302"/>
      <c r="F58" s="323"/>
      <c r="G58" s="324">
        <v>598</v>
      </c>
      <c r="H58" s="325">
        <v>24</v>
      </c>
      <c r="I58" s="304">
        <f t="shared" si="4"/>
        <v>734</v>
      </c>
      <c r="J58" s="330" t="s">
        <v>401</v>
      </c>
      <c r="K58" s="306">
        <v>0</v>
      </c>
      <c r="L58" s="323">
        <v>0</v>
      </c>
      <c r="M58" s="302">
        <v>742</v>
      </c>
      <c r="N58" s="58">
        <v>0</v>
      </c>
      <c r="O58" s="328">
        <v>0</v>
      </c>
      <c r="P58" s="290">
        <f t="shared" si="5"/>
        <v>742</v>
      </c>
      <c r="Q58" s="298">
        <f t="shared" si="6"/>
        <v>1476</v>
      </c>
      <c r="R58" s="295">
        <v>1339</v>
      </c>
    </row>
    <row r="59" spans="1:18" hidden="1" x14ac:dyDescent="0.2">
      <c r="A59" s="299" t="s">
        <v>402</v>
      </c>
      <c r="B59" s="300"/>
      <c r="C59" s="393"/>
      <c r="D59" s="301"/>
      <c r="E59" s="302"/>
      <c r="F59" s="302"/>
      <c r="G59" s="58"/>
      <c r="H59" s="393"/>
      <c r="I59" s="304"/>
      <c r="J59" s="305" t="s">
        <v>402</v>
      </c>
      <c r="K59" s="306"/>
      <c r="L59" s="323">
        <f>[5]Jelzőrendszer!C70</f>
        <v>0</v>
      </c>
      <c r="M59" s="302"/>
      <c r="N59" s="58"/>
      <c r="O59" s="328">
        <f>'[5]Püg.,TV, étkeztetés '!C72+'[5]Püg.,TV, étkeztetés '!H72</f>
        <v>0</v>
      </c>
      <c r="P59" s="304" t="e">
        <f>K59+#REF!+M59+N59+O59</f>
        <v>#REF!</v>
      </c>
      <c r="Q59" s="298" t="e">
        <f t="shared" si="6"/>
        <v>#REF!</v>
      </c>
      <c r="R59" s="295" t="e">
        <v>#REF!</v>
      </c>
    </row>
    <row r="60" spans="1:18" ht="13.5" thickBot="1" x14ac:dyDescent="0.25">
      <c r="A60" s="307" t="s">
        <v>39</v>
      </c>
      <c r="B60" s="308">
        <f>SUM(B46:B59)</f>
        <v>12390</v>
      </c>
      <c r="C60" s="311"/>
      <c r="D60" s="309">
        <f t="shared" ref="D60:I60" si="7">SUM(D46:D58)</f>
        <v>6195</v>
      </c>
      <c r="E60" s="310">
        <f t="shared" si="7"/>
        <v>0</v>
      </c>
      <c r="F60" s="310">
        <f t="shared" si="7"/>
        <v>0</v>
      </c>
      <c r="G60" s="310">
        <f>SUM(G46:G58)</f>
        <v>37603</v>
      </c>
      <c r="H60" s="311">
        <f t="shared" si="7"/>
        <v>1143</v>
      </c>
      <c r="I60" s="308">
        <f t="shared" si="7"/>
        <v>44941</v>
      </c>
      <c r="J60" s="312" t="s">
        <v>39</v>
      </c>
      <c r="K60" s="309">
        <f>SUM(K46:K58)</f>
        <v>6454</v>
      </c>
      <c r="L60" s="309">
        <f>SUM(L46:L58)</f>
        <v>0</v>
      </c>
      <c r="M60" s="310">
        <f>SUM(M46:M59)</f>
        <v>5704</v>
      </c>
      <c r="N60" s="310">
        <f>SUM(N46:N58)</f>
        <v>0</v>
      </c>
      <c r="O60" s="313">
        <f>SUM(O46:O58)</f>
        <v>2200</v>
      </c>
      <c r="P60" s="308">
        <f>SUM(K60:O60)</f>
        <v>14358</v>
      </c>
      <c r="Q60" s="400">
        <f>SUM(Q46:Q58)</f>
        <v>59299</v>
      </c>
      <c r="R60" s="314">
        <f>SUM(R46:R58)</f>
        <v>57463</v>
      </c>
    </row>
  </sheetData>
  <mergeCells count="18">
    <mergeCell ref="Q44:Q45"/>
    <mergeCell ref="R44:R45"/>
    <mergeCell ref="A44:A45"/>
    <mergeCell ref="B44:B45"/>
    <mergeCell ref="D44:I44"/>
    <mergeCell ref="J44:J45"/>
    <mergeCell ref="K44:P44"/>
    <mergeCell ref="T4:T5"/>
    <mergeCell ref="Q4:Q5"/>
    <mergeCell ref="D4:I4"/>
    <mergeCell ref="J4:J5"/>
    <mergeCell ref="K4:P4"/>
    <mergeCell ref="R4:R5"/>
    <mergeCell ref="A4:A5"/>
    <mergeCell ref="B4:B5"/>
    <mergeCell ref="A22:A23"/>
    <mergeCell ref="B22:B23"/>
    <mergeCell ref="C22:C23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777"/>
  <sheetViews>
    <sheetView zoomScale="90" zoomScaleNormal="90" zoomScaleSheetLayoutView="80" workbookViewId="0">
      <selection activeCell="B34" sqref="B34"/>
    </sheetView>
  </sheetViews>
  <sheetFormatPr defaultRowHeight="12.75" x14ac:dyDescent="0.2"/>
  <cols>
    <col min="1" max="1" width="6.28515625" style="2" customWidth="1"/>
    <col min="2" max="2" width="77" customWidth="1"/>
    <col min="3" max="3" width="8.7109375" customWidth="1"/>
    <col min="4" max="4" width="13.42578125" customWidth="1"/>
    <col min="5" max="5" width="10.140625" hidden="1" customWidth="1"/>
    <col min="6" max="6" width="14.28515625" customWidth="1"/>
    <col min="7" max="7" width="10.42578125" customWidth="1"/>
    <col min="8" max="8" width="14" customWidth="1"/>
    <col min="9" max="9" width="13.85546875" style="35" hidden="1" customWidth="1"/>
    <col min="10" max="10" width="4.7109375" customWidth="1"/>
    <col min="11" max="11" width="18.42578125" hidden="1" customWidth="1"/>
    <col min="12" max="17" width="9.140625" hidden="1" customWidth="1"/>
    <col min="18" max="21" width="9.140625" customWidth="1"/>
  </cols>
  <sheetData>
    <row r="1" spans="1:48" ht="15" customHeight="1" x14ac:dyDescent="0.3">
      <c r="A1" s="54"/>
      <c r="B1" s="33"/>
      <c r="H1" s="55" t="s">
        <v>438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5" customHeight="1" x14ac:dyDescent="0.3">
      <c r="A2" s="54"/>
      <c r="B2" s="33"/>
      <c r="H2" s="55" t="str">
        <f>'1.Bev-kiad.'!H2</f>
        <v>az 1/2026.(II.26.) önkormányzati rendelethez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5" customHeight="1" x14ac:dyDescent="0.3">
      <c r="A3" s="54"/>
      <c r="B3" s="33"/>
      <c r="C3" s="55"/>
      <c r="D3" s="55"/>
      <c r="E3" s="55"/>
      <c r="H3" s="55" t="s">
        <v>676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19.5" x14ac:dyDescent="0.35">
      <c r="A4" s="522" t="s">
        <v>354</v>
      </c>
      <c r="B4" s="522"/>
      <c r="C4" s="522"/>
      <c r="D4" s="522"/>
      <c r="E4" s="522"/>
      <c r="F4" s="522"/>
      <c r="G4" s="522"/>
      <c r="H4" s="522"/>
      <c r="I4" s="52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9.5" x14ac:dyDescent="0.35">
      <c r="A5" s="522" t="s">
        <v>611</v>
      </c>
      <c r="B5" s="522"/>
      <c r="C5" s="522"/>
      <c r="D5" s="522"/>
      <c r="E5" s="522"/>
      <c r="F5" s="522"/>
      <c r="G5" s="522"/>
      <c r="H5" s="522"/>
      <c r="I5" s="52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3.5" thickBot="1" x14ac:dyDescent="0.25">
      <c r="A6" s="54"/>
      <c r="B6" s="1"/>
      <c r="H6" s="55" t="s"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53.25" customHeight="1" thickBot="1" x14ac:dyDescent="0.25">
      <c r="A7" s="163" t="s">
        <v>100</v>
      </c>
      <c r="B7" s="155" t="s">
        <v>189</v>
      </c>
      <c r="C7" s="419" t="str">
        <f>'1.Bev-kiad.'!C8</f>
        <v>Teljesítés 2024.12.31.</v>
      </c>
      <c r="D7" s="210" t="str">
        <f>'1.Bev-kiad.'!D8</f>
        <v>2025. évi eredeti előirányzat</v>
      </c>
      <c r="E7" s="453" t="s">
        <v>673</v>
      </c>
      <c r="F7" s="210" t="str">
        <f>'1.Bev-kiad.'!F8</f>
        <v>Módosított előirányzat 2025.10.havi</v>
      </c>
      <c r="G7" s="453" t="s">
        <v>673</v>
      </c>
      <c r="H7" s="210" t="str">
        <f>'1.Bev-kiad.'!H8</f>
        <v>Módosított előirányzat 2025.12.31.</v>
      </c>
      <c r="I7" s="42" t="str">
        <f>'1.Bev-kiad.'!I8</f>
        <v>Teljesítés 2025.12.31.</v>
      </c>
      <c r="J7" s="22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20.25" customHeight="1" x14ac:dyDescent="0.2">
      <c r="A8" s="164" t="s">
        <v>101</v>
      </c>
      <c r="B8" s="156" t="s">
        <v>333</v>
      </c>
      <c r="C8" s="420">
        <f>SUM(C9+C65+C79+C91)</f>
        <v>68702</v>
      </c>
      <c r="D8" s="201">
        <f>SUM(D9+D65+D79+D91)</f>
        <v>79600</v>
      </c>
      <c r="E8" s="455">
        <f>F8-D8</f>
        <v>2839</v>
      </c>
      <c r="F8" s="201">
        <f>SUM(F9+F65+F79+F91)</f>
        <v>82439</v>
      </c>
      <c r="G8" s="455">
        <f>H8-F8</f>
        <v>9440</v>
      </c>
      <c r="H8" s="201">
        <f>SUM(H9+H65+H79+H91)</f>
        <v>91879</v>
      </c>
      <c r="I8" s="201">
        <f>SUM(I9+I65+I79+I91)</f>
        <v>89848</v>
      </c>
      <c r="J8" s="2"/>
      <c r="K8" s="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8" customHeight="1" x14ac:dyDescent="0.25">
      <c r="A9" s="8" t="s">
        <v>102</v>
      </c>
      <c r="B9" s="22" t="s">
        <v>463</v>
      </c>
      <c r="C9" s="426">
        <f>C10+C62</f>
        <v>29737</v>
      </c>
      <c r="D9" s="202">
        <f>D10+D62</f>
        <v>36175</v>
      </c>
      <c r="E9" s="455">
        <f t="shared" ref="E9:G72" si="0">F9-D9</f>
        <v>-17</v>
      </c>
      <c r="F9" s="202">
        <f>F10+F62</f>
        <v>36158</v>
      </c>
      <c r="G9" s="455">
        <f t="shared" si="0"/>
        <v>310</v>
      </c>
      <c r="H9" s="202">
        <f>H10+H62</f>
        <v>36468</v>
      </c>
      <c r="I9" s="202">
        <f>I10+I62</f>
        <v>36468</v>
      </c>
      <c r="J9" s="2"/>
      <c r="K9" s="202">
        <f>K10+K62</f>
        <v>36313000</v>
      </c>
      <c r="L9" s="2"/>
      <c r="M9" s="2"/>
      <c r="N9" s="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3.5" customHeight="1" x14ac:dyDescent="0.2">
      <c r="A10" s="8" t="s">
        <v>103</v>
      </c>
      <c r="B10" s="13" t="s">
        <v>464</v>
      </c>
      <c r="C10" s="412">
        <f>C11+C26+C37+C43+C47+C61</f>
        <v>27737</v>
      </c>
      <c r="D10" s="5">
        <f>D11+D26+D37+D43+D47+D61</f>
        <v>36175</v>
      </c>
      <c r="E10" s="455">
        <f t="shared" si="0"/>
        <v>-17</v>
      </c>
      <c r="F10" s="5">
        <f>F11+F26+F37+F43+F47+F61</f>
        <v>36158</v>
      </c>
      <c r="G10" s="455">
        <f t="shared" si="0"/>
        <v>0</v>
      </c>
      <c r="H10" s="5">
        <f>H11+H26+H37+H43+H47+H61</f>
        <v>36158</v>
      </c>
      <c r="I10" s="5">
        <f>I11+I26+I37+I43+I47+I61</f>
        <v>36158</v>
      </c>
      <c r="J10" s="2"/>
      <c r="K10" s="5">
        <f>K11+K26+K37+K43+K47+K61</f>
        <v>36158016</v>
      </c>
      <c r="L10" s="2"/>
      <c r="M10" s="2"/>
      <c r="N10" s="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3.5" customHeight="1" x14ac:dyDescent="0.2">
      <c r="A11" s="8" t="s">
        <v>191</v>
      </c>
      <c r="B11" s="319" t="s">
        <v>465</v>
      </c>
      <c r="C11" s="412">
        <f>C12+C21+C22+C24+C23</f>
        <v>14997</v>
      </c>
      <c r="D11" s="5">
        <f>D12+D21+D22+D24+D23</f>
        <v>12379</v>
      </c>
      <c r="E11" s="455">
        <f t="shared" si="0"/>
        <v>11836</v>
      </c>
      <c r="F11" s="5">
        <f>F12+F21+F22+F24+F23</f>
        <v>24215</v>
      </c>
      <c r="G11" s="455">
        <f t="shared" si="0"/>
        <v>0</v>
      </c>
      <c r="H11" s="5">
        <f>H12+H21+H22+H24+H23</f>
        <v>24215</v>
      </c>
      <c r="I11" s="5">
        <f>I12+I21+I22+I24+I23</f>
        <v>24215</v>
      </c>
      <c r="J11" s="7"/>
      <c r="K11" s="5">
        <f>K12+K21+K22+K24+K23</f>
        <v>24214588</v>
      </c>
      <c r="L11" s="2"/>
      <c r="M11" s="2"/>
      <c r="N11" s="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3.5" customHeight="1" x14ac:dyDescent="0.2">
      <c r="A12" s="8"/>
      <c r="B12" s="318" t="s">
        <v>466</v>
      </c>
      <c r="C12" s="413">
        <f>SUM(C13:C20)</f>
        <v>11081</v>
      </c>
      <c r="D12" s="12">
        <f>SUM(D13:D20)</f>
        <v>12379</v>
      </c>
      <c r="E12" s="454">
        <f t="shared" si="0"/>
        <v>100</v>
      </c>
      <c r="F12" s="12">
        <f>SUM(F13:F20)</f>
        <v>12479</v>
      </c>
      <c r="G12" s="454">
        <f t="shared" si="0"/>
        <v>0</v>
      </c>
      <c r="H12" s="12">
        <f>SUM(H13:H20)</f>
        <v>12479</v>
      </c>
      <c r="I12" s="12">
        <f>SUM(I13:I20)</f>
        <v>12479</v>
      </c>
      <c r="J12" s="7"/>
      <c r="K12" s="12">
        <f>SUM(K13:K20)</f>
        <v>12478845</v>
      </c>
      <c r="L12" s="2"/>
      <c r="M12" s="2"/>
      <c r="N12" s="7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3.5" customHeight="1" x14ac:dyDescent="0.2">
      <c r="A13" s="8"/>
      <c r="B13" s="318" t="s">
        <v>467</v>
      </c>
      <c r="C13" s="413">
        <v>0</v>
      </c>
      <c r="D13" s="217">
        <v>0</v>
      </c>
      <c r="E13" s="454">
        <f t="shared" si="0"/>
        <v>0</v>
      </c>
      <c r="F13" s="217">
        <v>0</v>
      </c>
      <c r="G13" s="454">
        <f t="shared" si="0"/>
        <v>0</v>
      </c>
      <c r="H13" s="217">
        <v>0</v>
      </c>
      <c r="I13" s="217">
        <v>0</v>
      </c>
      <c r="J13" s="7"/>
      <c r="K13" s="7"/>
      <c r="L13" s="2"/>
      <c r="M13" s="2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3.5" customHeight="1" x14ac:dyDescent="0.2">
      <c r="A14" s="8"/>
      <c r="B14" s="318" t="s">
        <v>622</v>
      </c>
      <c r="C14" s="413">
        <v>2675</v>
      </c>
      <c r="D14" s="217">
        <v>2676</v>
      </c>
      <c r="E14" s="454">
        <f t="shared" si="0"/>
        <v>0</v>
      </c>
      <c r="F14" s="217">
        <v>2676</v>
      </c>
      <c r="G14" s="454">
        <f t="shared" si="0"/>
        <v>0</v>
      </c>
      <c r="H14" s="217">
        <v>2676</v>
      </c>
      <c r="I14" s="217">
        <v>2676</v>
      </c>
      <c r="J14" s="7"/>
      <c r="K14" s="7">
        <v>2675400</v>
      </c>
      <c r="L14" s="2"/>
      <c r="M14" s="2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3.5" customHeight="1" x14ac:dyDescent="0.2">
      <c r="A15" s="8"/>
      <c r="B15" s="318" t="s">
        <v>623</v>
      </c>
      <c r="C15" s="413">
        <v>2479</v>
      </c>
      <c r="D15" s="217">
        <v>2479</v>
      </c>
      <c r="E15" s="454">
        <f t="shared" si="0"/>
        <v>0</v>
      </c>
      <c r="F15" s="217">
        <v>2479</v>
      </c>
      <c r="G15" s="454">
        <f t="shared" si="0"/>
        <v>0</v>
      </c>
      <c r="H15" s="217">
        <v>2479</v>
      </c>
      <c r="I15" s="217">
        <v>2479</v>
      </c>
      <c r="J15" s="7"/>
      <c r="K15" s="7">
        <v>2479000</v>
      </c>
      <c r="L15" s="2"/>
      <c r="M15" s="2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3.5" customHeight="1" x14ac:dyDescent="0.2">
      <c r="A16" s="8"/>
      <c r="B16" s="318" t="s">
        <v>571</v>
      </c>
      <c r="C16" s="413">
        <v>150</v>
      </c>
      <c r="D16" s="217">
        <v>150</v>
      </c>
      <c r="E16" s="454">
        <f t="shared" si="0"/>
        <v>100</v>
      </c>
      <c r="F16" s="217">
        <f>150+100</f>
        <v>250</v>
      </c>
      <c r="G16" s="454">
        <f t="shared" si="0"/>
        <v>0</v>
      </c>
      <c r="H16" s="217">
        <f>150+100</f>
        <v>250</v>
      </c>
      <c r="I16" s="217">
        <v>250</v>
      </c>
      <c r="J16" s="7"/>
      <c r="K16" s="7">
        <f>150000+100000</f>
        <v>250000</v>
      </c>
      <c r="L16" s="2"/>
      <c r="M16" s="2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3.5" customHeight="1" x14ac:dyDescent="0.2">
      <c r="A17" s="8"/>
      <c r="B17" s="318" t="s">
        <v>468</v>
      </c>
      <c r="C17" s="413">
        <v>100</v>
      </c>
      <c r="D17" s="217">
        <v>1400</v>
      </c>
      <c r="E17" s="454">
        <f t="shared" si="0"/>
        <v>0</v>
      </c>
      <c r="F17" s="217">
        <v>1400</v>
      </c>
      <c r="G17" s="454">
        <f t="shared" si="0"/>
        <v>0</v>
      </c>
      <c r="H17" s="217">
        <v>1400</v>
      </c>
      <c r="I17" s="217">
        <v>1400</v>
      </c>
      <c r="J17" s="7"/>
      <c r="K17" s="7">
        <v>1400375</v>
      </c>
      <c r="L17" s="2"/>
      <c r="M17" s="2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3.5" customHeight="1" x14ac:dyDescent="0.2">
      <c r="A18" s="8"/>
      <c r="B18" s="318" t="s">
        <v>469</v>
      </c>
      <c r="C18" s="413">
        <v>864</v>
      </c>
      <c r="D18" s="217">
        <v>864</v>
      </c>
      <c r="E18" s="454">
        <f t="shared" si="0"/>
        <v>0</v>
      </c>
      <c r="F18" s="217">
        <v>864</v>
      </c>
      <c r="G18" s="454">
        <f t="shared" si="0"/>
        <v>0</v>
      </c>
      <c r="H18" s="217">
        <v>864</v>
      </c>
      <c r="I18" s="217">
        <v>864</v>
      </c>
      <c r="J18" s="7"/>
      <c r="K18" s="7">
        <v>863870</v>
      </c>
      <c r="L18" s="2"/>
      <c r="M18" s="2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3.5" customHeight="1" x14ac:dyDescent="0.2">
      <c r="A19" s="8"/>
      <c r="B19" s="318" t="s">
        <v>470</v>
      </c>
      <c r="C19" s="413">
        <v>4800</v>
      </c>
      <c r="D19" s="217">
        <v>4800</v>
      </c>
      <c r="E19" s="454">
        <f t="shared" si="0"/>
        <v>0</v>
      </c>
      <c r="F19" s="217">
        <v>4800</v>
      </c>
      <c r="G19" s="454">
        <f t="shared" si="0"/>
        <v>0</v>
      </c>
      <c r="H19" s="217">
        <v>4800</v>
      </c>
      <c r="I19" s="217">
        <v>4800</v>
      </c>
      <c r="J19" s="7"/>
      <c r="K19" s="7">
        <v>4800000</v>
      </c>
      <c r="L19" s="2"/>
      <c r="M19" s="2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3.5" customHeight="1" x14ac:dyDescent="0.2">
      <c r="A20" s="8"/>
      <c r="B20" s="318" t="s">
        <v>471</v>
      </c>
      <c r="C20" s="413">
        <v>13</v>
      </c>
      <c r="D20" s="12">
        <v>10</v>
      </c>
      <c r="E20" s="454">
        <f t="shared" si="0"/>
        <v>0</v>
      </c>
      <c r="F20" s="12">
        <v>10</v>
      </c>
      <c r="G20" s="454">
        <f t="shared" si="0"/>
        <v>0</v>
      </c>
      <c r="H20" s="12">
        <v>10</v>
      </c>
      <c r="I20" s="12">
        <v>10</v>
      </c>
      <c r="J20" s="7"/>
      <c r="K20" s="7">
        <v>10200</v>
      </c>
      <c r="L20" s="2"/>
      <c r="M20" s="2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3.5" hidden="1" customHeight="1" x14ac:dyDescent="0.2">
      <c r="A21" s="8"/>
      <c r="B21" s="318" t="s">
        <v>472</v>
      </c>
      <c r="C21" s="413">
        <v>0</v>
      </c>
      <c r="D21" s="12">
        <v>0</v>
      </c>
      <c r="E21" s="454">
        <f t="shared" si="0"/>
        <v>0</v>
      </c>
      <c r="F21" s="12">
        <v>0</v>
      </c>
      <c r="G21" s="454">
        <f t="shared" si="0"/>
        <v>0</v>
      </c>
      <c r="H21" s="12">
        <v>0</v>
      </c>
      <c r="I21" s="12">
        <v>0</v>
      </c>
      <c r="J21" s="7"/>
      <c r="K21" s="7"/>
      <c r="L21" s="2"/>
      <c r="M21" s="2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3.5" hidden="1" customHeight="1" x14ac:dyDescent="0.2">
      <c r="A22" s="8"/>
      <c r="B22" s="318" t="s">
        <v>473</v>
      </c>
      <c r="C22" s="413">
        <v>0</v>
      </c>
      <c r="D22" s="12">
        <v>0</v>
      </c>
      <c r="E22" s="454">
        <f t="shared" si="0"/>
        <v>0</v>
      </c>
      <c r="F22" s="12">
        <v>0</v>
      </c>
      <c r="G22" s="454">
        <f t="shared" si="0"/>
        <v>0</v>
      </c>
      <c r="H22" s="12">
        <v>0</v>
      </c>
      <c r="I22" s="12">
        <v>0</v>
      </c>
      <c r="J22" s="7"/>
      <c r="K22" s="7"/>
      <c r="L22" s="2"/>
      <c r="M22" s="2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3.5" customHeight="1" x14ac:dyDescent="0.2">
      <c r="A23" s="8"/>
      <c r="B23" s="318" t="s">
        <v>516</v>
      </c>
      <c r="C23" s="413">
        <v>3916</v>
      </c>
      <c r="D23" s="12">
        <v>0</v>
      </c>
      <c r="E23" s="454">
        <f t="shared" si="0"/>
        <v>11736</v>
      </c>
      <c r="F23" s="12">
        <f>11498+238</f>
        <v>11736</v>
      </c>
      <c r="G23" s="454">
        <f t="shared" si="0"/>
        <v>0</v>
      </c>
      <c r="H23" s="12">
        <f>11498+238</f>
        <v>11736</v>
      </c>
      <c r="I23" s="12">
        <v>11736</v>
      </c>
      <c r="J23" s="7"/>
      <c r="K23" s="7">
        <f>11498428+237315</f>
        <v>11735743</v>
      </c>
      <c r="L23" s="2"/>
      <c r="M23" s="2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idden="1" x14ac:dyDescent="0.2">
      <c r="A24" s="8"/>
      <c r="B24" s="318" t="s">
        <v>624</v>
      </c>
      <c r="C24" s="433">
        <v>0</v>
      </c>
      <c r="D24" s="401">
        <v>0</v>
      </c>
      <c r="E24" s="454">
        <f t="shared" si="0"/>
        <v>0</v>
      </c>
      <c r="F24" s="401">
        <v>0</v>
      </c>
      <c r="G24" s="454">
        <f t="shared" si="0"/>
        <v>0</v>
      </c>
      <c r="H24" s="401">
        <v>0</v>
      </c>
      <c r="I24" s="401">
        <v>0</v>
      </c>
      <c r="J24" s="7"/>
      <c r="K24" s="7">
        <v>0</v>
      </c>
      <c r="L24" s="2"/>
      <c r="M24" s="2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3.5" x14ac:dyDescent="0.2">
      <c r="A25" s="8" t="s">
        <v>192</v>
      </c>
      <c r="B25" s="13" t="s">
        <v>474</v>
      </c>
      <c r="C25" s="412">
        <v>0</v>
      </c>
      <c r="D25" s="5">
        <v>0</v>
      </c>
      <c r="E25" s="455">
        <f t="shared" si="0"/>
        <v>0</v>
      </c>
      <c r="F25" s="5">
        <v>0</v>
      </c>
      <c r="G25" s="455">
        <f t="shared" si="0"/>
        <v>0</v>
      </c>
      <c r="H25" s="5">
        <v>0</v>
      </c>
      <c r="I25" s="5">
        <v>0</v>
      </c>
      <c r="J25" s="7"/>
      <c r="K25" s="7">
        <v>0</v>
      </c>
      <c r="L25" s="2"/>
      <c r="M25" s="2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3.5" x14ac:dyDescent="0.2">
      <c r="A26" s="8" t="s">
        <v>193</v>
      </c>
      <c r="B26" s="13" t="s">
        <v>475</v>
      </c>
      <c r="C26" s="412">
        <f>C27+C28+C35+C36</f>
        <v>9241</v>
      </c>
      <c r="D26" s="5">
        <f>D27+D28+D35+D36</f>
        <v>8810</v>
      </c>
      <c r="E26" s="455">
        <f t="shared" si="0"/>
        <v>269</v>
      </c>
      <c r="F26" s="5">
        <f>F27+F28+F35+F36</f>
        <v>9079</v>
      </c>
      <c r="G26" s="455">
        <f t="shared" si="0"/>
        <v>0</v>
      </c>
      <c r="H26" s="5">
        <f>H27+H28+H35+H36</f>
        <v>9079</v>
      </c>
      <c r="I26" s="5">
        <f>I27+I28+I35+I36</f>
        <v>9079</v>
      </c>
      <c r="J26" s="7"/>
      <c r="K26" s="5">
        <f>K27+K28+K35+K36</f>
        <v>9079500</v>
      </c>
      <c r="L26" s="2"/>
      <c r="M26" s="2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x14ac:dyDescent="0.2">
      <c r="A27" s="8"/>
      <c r="B27" s="318" t="s">
        <v>476</v>
      </c>
      <c r="C27" s="413">
        <v>1128</v>
      </c>
      <c r="D27" s="12">
        <v>1050</v>
      </c>
      <c r="E27" s="454">
        <f t="shared" si="0"/>
        <v>0</v>
      </c>
      <c r="F27" s="12">
        <v>1050</v>
      </c>
      <c r="G27" s="454">
        <f t="shared" si="0"/>
        <v>0</v>
      </c>
      <c r="H27" s="12">
        <v>1050</v>
      </c>
      <c r="I27" s="12">
        <v>1050</v>
      </c>
      <c r="J27" s="7"/>
      <c r="K27" s="12">
        <v>1050000</v>
      </c>
      <c r="L27" s="2"/>
      <c r="M27" s="2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x14ac:dyDescent="0.2">
      <c r="A28" s="8"/>
      <c r="B28" s="318" t="s">
        <v>477</v>
      </c>
      <c r="C28" s="413">
        <f>C29+C30+C32+C34</f>
        <v>7489</v>
      </c>
      <c r="D28" s="12">
        <f>D29+D30+D32+D34</f>
        <v>7760</v>
      </c>
      <c r="E28" s="454">
        <f t="shared" si="0"/>
        <v>-355</v>
      </c>
      <c r="F28" s="12">
        <f>F29+F30+F32+F34</f>
        <v>7405</v>
      </c>
      <c r="G28" s="454">
        <f t="shared" si="0"/>
        <v>0</v>
      </c>
      <c r="H28" s="12">
        <f>H29+H30+H32+H34</f>
        <v>7405</v>
      </c>
      <c r="I28" s="12">
        <f>I29+I30+I32+I34</f>
        <v>7405</v>
      </c>
      <c r="J28" s="7"/>
      <c r="K28" s="12">
        <f>K29+K30+K32+K34</f>
        <v>7405740</v>
      </c>
      <c r="L28" s="2"/>
      <c r="M28" s="2"/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x14ac:dyDescent="0.2">
      <c r="A29" s="8"/>
      <c r="B29" s="318" t="s">
        <v>478</v>
      </c>
      <c r="C29" s="413">
        <v>0</v>
      </c>
      <c r="D29" s="12">
        <v>0</v>
      </c>
      <c r="E29" s="454">
        <f t="shared" si="0"/>
        <v>0</v>
      </c>
      <c r="F29" s="12">
        <v>0</v>
      </c>
      <c r="G29" s="454">
        <f t="shared" si="0"/>
        <v>0</v>
      </c>
      <c r="H29" s="12">
        <v>0</v>
      </c>
      <c r="I29" s="12">
        <v>0</v>
      </c>
      <c r="J29" s="7"/>
      <c r="K29" s="12">
        <v>0</v>
      </c>
      <c r="L29" s="2"/>
      <c r="M29" s="2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x14ac:dyDescent="0.2">
      <c r="A30" s="8"/>
      <c r="B30" s="318" t="s">
        <v>479</v>
      </c>
      <c r="C30" s="413">
        <f>C31</f>
        <v>1442</v>
      </c>
      <c r="D30" s="12">
        <f>D31</f>
        <v>1416</v>
      </c>
      <c r="E30" s="454">
        <f t="shared" si="0"/>
        <v>-355</v>
      </c>
      <c r="F30" s="12">
        <f>F31</f>
        <v>1061</v>
      </c>
      <c r="G30" s="454">
        <f t="shared" si="0"/>
        <v>1</v>
      </c>
      <c r="H30" s="12">
        <f>H31</f>
        <v>1062</v>
      </c>
      <c r="I30" s="12">
        <f>I31</f>
        <v>1062</v>
      </c>
      <c r="J30" s="7"/>
      <c r="K30" s="12">
        <f>K31</f>
        <v>1062240</v>
      </c>
      <c r="L30" s="2"/>
      <c r="M30" s="2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x14ac:dyDescent="0.2">
      <c r="A31" s="8"/>
      <c r="B31" s="318" t="s">
        <v>625</v>
      </c>
      <c r="C31" s="413">
        <v>1442</v>
      </c>
      <c r="D31" s="12">
        <v>1416</v>
      </c>
      <c r="E31" s="456">
        <f t="shared" si="0"/>
        <v>-355</v>
      </c>
      <c r="F31" s="12">
        <f>1416-355</f>
        <v>1061</v>
      </c>
      <c r="G31" s="456">
        <f t="shared" si="0"/>
        <v>1</v>
      </c>
      <c r="H31" s="12">
        <f>1416-354</f>
        <v>1062</v>
      </c>
      <c r="I31" s="12">
        <v>1062</v>
      </c>
      <c r="J31" s="7"/>
      <c r="K31" s="12">
        <f>1416320-354080</f>
        <v>1062240</v>
      </c>
      <c r="L31" s="2"/>
      <c r="M31" s="2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x14ac:dyDescent="0.2">
      <c r="A32" s="8"/>
      <c r="B32" s="318" t="s">
        <v>480</v>
      </c>
      <c r="C32" s="413">
        <f>C33</f>
        <v>0</v>
      </c>
      <c r="D32" s="12">
        <f>D33</f>
        <v>0</v>
      </c>
      <c r="E32" s="456">
        <f t="shared" si="0"/>
        <v>0</v>
      </c>
      <c r="F32" s="12">
        <f>F33</f>
        <v>0</v>
      </c>
      <c r="G32" s="456">
        <f t="shared" si="0"/>
        <v>0</v>
      </c>
      <c r="H32" s="12">
        <f>H33</f>
        <v>0</v>
      </c>
      <c r="I32" s="12">
        <f>I33</f>
        <v>0</v>
      </c>
      <c r="J32" s="7"/>
      <c r="K32" s="12">
        <f>K33</f>
        <v>0</v>
      </c>
      <c r="L32" s="2"/>
      <c r="M32" s="2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x14ac:dyDescent="0.2">
      <c r="A33" s="8"/>
      <c r="B33" s="318" t="s">
        <v>481</v>
      </c>
      <c r="C33" s="413">
        <v>0</v>
      </c>
      <c r="D33" s="12">
        <v>0</v>
      </c>
      <c r="E33" s="456">
        <f t="shared" si="0"/>
        <v>0</v>
      </c>
      <c r="F33" s="12">
        <v>0</v>
      </c>
      <c r="G33" s="456">
        <f t="shared" si="0"/>
        <v>0</v>
      </c>
      <c r="H33" s="12">
        <v>0</v>
      </c>
      <c r="I33" s="12">
        <v>0</v>
      </c>
      <c r="J33" s="7"/>
      <c r="K33" s="12">
        <v>0</v>
      </c>
      <c r="L33" s="2"/>
      <c r="M33" s="2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x14ac:dyDescent="0.2">
      <c r="A34" s="8"/>
      <c r="B34" s="318" t="s">
        <v>482</v>
      </c>
      <c r="C34" s="413">
        <v>6047</v>
      </c>
      <c r="D34" s="12">
        <v>6344</v>
      </c>
      <c r="E34" s="456">
        <f t="shared" si="0"/>
        <v>0</v>
      </c>
      <c r="F34" s="12">
        <v>6344</v>
      </c>
      <c r="G34" s="456">
        <f t="shared" si="0"/>
        <v>-1</v>
      </c>
      <c r="H34" s="12">
        <f>6344-1</f>
        <v>6343</v>
      </c>
      <c r="I34" s="12">
        <v>6343</v>
      </c>
      <c r="J34" s="7"/>
      <c r="K34" s="12">
        <v>6343500</v>
      </c>
      <c r="L34" s="2"/>
      <c r="M34" s="2"/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idden="1" x14ac:dyDescent="0.2">
      <c r="A35" s="8"/>
      <c r="B35" s="318" t="s">
        <v>626</v>
      </c>
      <c r="C35" s="413">
        <v>0</v>
      </c>
      <c r="D35" s="12">
        <v>0</v>
      </c>
      <c r="E35" s="456">
        <f t="shared" si="0"/>
        <v>0</v>
      </c>
      <c r="F35" s="12">
        <v>0</v>
      </c>
      <c r="G35" s="456">
        <f t="shared" si="0"/>
        <v>0</v>
      </c>
      <c r="H35" s="12">
        <v>0</v>
      </c>
      <c r="I35" s="12">
        <v>0</v>
      </c>
      <c r="J35" s="7"/>
      <c r="K35" s="12">
        <v>0</v>
      </c>
      <c r="L35" s="2"/>
      <c r="M35" s="2"/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x14ac:dyDescent="0.2">
      <c r="A36" s="8"/>
      <c r="B36" s="318" t="s">
        <v>627</v>
      </c>
      <c r="C36" s="413">
        <v>624</v>
      </c>
      <c r="D36" s="12">
        <v>0</v>
      </c>
      <c r="E36" s="456">
        <f t="shared" si="0"/>
        <v>624</v>
      </c>
      <c r="F36" s="12">
        <v>624</v>
      </c>
      <c r="G36" s="456">
        <f t="shared" si="0"/>
        <v>0</v>
      </c>
      <c r="H36" s="12">
        <v>624</v>
      </c>
      <c r="I36" s="12">
        <v>624</v>
      </c>
      <c r="J36" s="7"/>
      <c r="K36" s="12">
        <v>623760</v>
      </c>
      <c r="L36" s="2"/>
      <c r="M36" s="2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3.5" x14ac:dyDescent="0.25">
      <c r="A37" s="8"/>
      <c r="B37" s="319" t="s">
        <v>483</v>
      </c>
      <c r="C37" s="412">
        <f>C38+C41+C42</f>
        <v>0</v>
      </c>
      <c r="D37" s="5">
        <f>D38+D41+D42</f>
        <v>0</v>
      </c>
      <c r="E37" s="179">
        <f t="shared" si="0"/>
        <v>0</v>
      </c>
      <c r="F37" s="5">
        <f>F38+F41+F42</f>
        <v>0</v>
      </c>
      <c r="G37" s="179">
        <f t="shared" si="0"/>
        <v>0</v>
      </c>
      <c r="H37" s="5">
        <f>H38+H41+H42</f>
        <v>0</v>
      </c>
      <c r="I37" s="5">
        <f>I38+I41+I42</f>
        <v>0</v>
      </c>
      <c r="J37" s="7"/>
      <c r="K37" s="5">
        <f>K38+K41+K42</f>
        <v>0</v>
      </c>
      <c r="L37" s="2"/>
      <c r="M37" s="2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x14ac:dyDescent="0.2">
      <c r="A38" s="8"/>
      <c r="B38" s="318" t="s">
        <v>484</v>
      </c>
      <c r="C38" s="413">
        <f>C39+C40</f>
        <v>0</v>
      </c>
      <c r="D38" s="12">
        <f>D39+D40</f>
        <v>0</v>
      </c>
      <c r="E38" s="456">
        <f t="shared" si="0"/>
        <v>0</v>
      </c>
      <c r="F38" s="12">
        <f>F39+F40</f>
        <v>0</v>
      </c>
      <c r="G38" s="456">
        <f t="shared" si="0"/>
        <v>0</v>
      </c>
      <c r="H38" s="12">
        <f>H39+H40</f>
        <v>0</v>
      </c>
      <c r="I38" s="12">
        <f>I39+I40</f>
        <v>0</v>
      </c>
      <c r="J38" s="7"/>
      <c r="K38" s="12">
        <f>K39+K40</f>
        <v>0</v>
      </c>
      <c r="L38" s="2"/>
      <c r="M38" s="2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x14ac:dyDescent="0.2">
      <c r="A39" s="8"/>
      <c r="B39" s="318" t="s">
        <v>485</v>
      </c>
      <c r="C39" s="413">
        <v>0</v>
      </c>
      <c r="D39" s="12">
        <v>0</v>
      </c>
      <c r="E39" s="456">
        <f t="shared" si="0"/>
        <v>0</v>
      </c>
      <c r="F39" s="12">
        <v>0</v>
      </c>
      <c r="G39" s="456">
        <f t="shared" si="0"/>
        <v>0</v>
      </c>
      <c r="H39" s="12">
        <v>0</v>
      </c>
      <c r="I39" s="12">
        <v>0</v>
      </c>
      <c r="J39" s="7"/>
      <c r="K39" s="12">
        <v>0</v>
      </c>
      <c r="L39" s="2"/>
      <c r="M39" s="2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idden="1" x14ac:dyDescent="0.2">
      <c r="A40" s="8"/>
      <c r="B40" s="318" t="s">
        <v>486</v>
      </c>
      <c r="C40" s="413">
        <v>0</v>
      </c>
      <c r="D40" s="12">
        <v>0</v>
      </c>
      <c r="E40" s="456">
        <f t="shared" si="0"/>
        <v>0</v>
      </c>
      <c r="F40" s="12">
        <v>0</v>
      </c>
      <c r="G40" s="456">
        <f t="shared" si="0"/>
        <v>0</v>
      </c>
      <c r="H40" s="12">
        <v>0</v>
      </c>
      <c r="I40" s="12">
        <v>0</v>
      </c>
      <c r="J40" s="7"/>
      <c r="K40" s="12">
        <v>0</v>
      </c>
      <c r="L40" s="2"/>
      <c r="M40" s="2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idden="1" x14ac:dyDescent="0.2">
      <c r="A41" s="8"/>
      <c r="B41" s="318" t="s">
        <v>487</v>
      </c>
      <c r="C41" s="413">
        <v>0</v>
      </c>
      <c r="D41" s="12">
        <v>0</v>
      </c>
      <c r="E41" s="456">
        <f t="shared" si="0"/>
        <v>0</v>
      </c>
      <c r="F41" s="12">
        <v>0</v>
      </c>
      <c r="G41" s="456">
        <f t="shared" si="0"/>
        <v>0</v>
      </c>
      <c r="H41" s="12">
        <v>0</v>
      </c>
      <c r="I41" s="12">
        <v>0</v>
      </c>
      <c r="J41" s="7"/>
      <c r="K41" s="12">
        <v>0</v>
      </c>
      <c r="L41" s="2"/>
      <c r="M41" s="2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idden="1" x14ac:dyDescent="0.2">
      <c r="A42" s="8"/>
      <c r="B42" s="318"/>
      <c r="C42" s="413">
        <v>0</v>
      </c>
      <c r="D42" s="12">
        <v>0</v>
      </c>
      <c r="E42" s="456">
        <f t="shared" si="0"/>
        <v>0</v>
      </c>
      <c r="F42" s="12">
        <v>0</v>
      </c>
      <c r="G42" s="456">
        <f t="shared" si="0"/>
        <v>0</v>
      </c>
      <c r="H42" s="12">
        <v>0</v>
      </c>
      <c r="I42" s="12">
        <v>0</v>
      </c>
      <c r="J42" s="7"/>
      <c r="K42" s="12">
        <v>0</v>
      </c>
      <c r="L42" s="2"/>
      <c r="M42" s="2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3.5" x14ac:dyDescent="0.25">
      <c r="A43" s="8" t="s">
        <v>194</v>
      </c>
      <c r="B43" s="13" t="s">
        <v>488</v>
      </c>
      <c r="C43" s="421">
        <f>SUM(C44:C46)</f>
        <v>2864</v>
      </c>
      <c r="D43" s="6">
        <f>SUM(D44:D46)</f>
        <v>2270</v>
      </c>
      <c r="E43" s="457">
        <f t="shared" si="0"/>
        <v>594</v>
      </c>
      <c r="F43" s="6">
        <f>SUM(F44:F46)</f>
        <v>2864</v>
      </c>
      <c r="G43" s="457">
        <f t="shared" si="0"/>
        <v>0</v>
      </c>
      <c r="H43" s="6">
        <f>SUM(H44:H46)</f>
        <v>2864</v>
      </c>
      <c r="I43" s="6">
        <f>SUM(I44:I46)</f>
        <v>2864</v>
      </c>
      <c r="J43" s="7"/>
      <c r="K43" s="6">
        <f>SUM(K44:K46)</f>
        <v>2863928</v>
      </c>
      <c r="L43" s="2"/>
      <c r="M43" s="2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x14ac:dyDescent="0.2">
      <c r="A44" s="8"/>
      <c r="B44" s="318" t="s">
        <v>628</v>
      </c>
      <c r="C44" s="413">
        <v>2270</v>
      </c>
      <c r="D44" s="217">
        <v>2270</v>
      </c>
      <c r="E44" s="458">
        <f t="shared" si="0"/>
        <v>0</v>
      </c>
      <c r="F44" s="217">
        <v>2270</v>
      </c>
      <c r="G44" s="458">
        <f t="shared" si="0"/>
        <v>0</v>
      </c>
      <c r="H44" s="217">
        <v>2270</v>
      </c>
      <c r="I44" s="217">
        <v>2270</v>
      </c>
      <c r="J44" s="7"/>
      <c r="K44" s="217">
        <v>2270000</v>
      </c>
      <c r="L44" s="2"/>
      <c r="M44" s="2"/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idden="1" x14ac:dyDescent="0.2">
      <c r="A45" s="8"/>
      <c r="B45" s="318" t="s">
        <v>629</v>
      </c>
      <c r="C45" s="413">
        <v>0</v>
      </c>
      <c r="D45" s="217">
        <v>0</v>
      </c>
      <c r="E45" s="458">
        <f t="shared" si="0"/>
        <v>0</v>
      </c>
      <c r="F45" s="217">
        <v>0</v>
      </c>
      <c r="G45" s="458">
        <f t="shared" si="0"/>
        <v>0</v>
      </c>
      <c r="H45" s="217">
        <v>0</v>
      </c>
      <c r="I45" s="217">
        <v>0</v>
      </c>
      <c r="J45" s="7"/>
      <c r="K45" s="217">
        <v>0</v>
      </c>
      <c r="L45" s="2"/>
      <c r="M45" s="2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x14ac:dyDescent="0.2">
      <c r="A46" s="8"/>
      <c r="B46" s="318" t="s">
        <v>525</v>
      </c>
      <c r="C46" s="413">
        <v>594</v>
      </c>
      <c r="D46" s="217">
        <v>0</v>
      </c>
      <c r="E46" s="458">
        <f t="shared" si="0"/>
        <v>594</v>
      </c>
      <c r="F46" s="217">
        <v>594</v>
      </c>
      <c r="G46" s="458">
        <f t="shared" si="0"/>
        <v>0</v>
      </c>
      <c r="H46" s="217">
        <v>594</v>
      </c>
      <c r="I46" s="217">
        <v>594</v>
      </c>
      <c r="J46" s="7"/>
      <c r="K46" s="217">
        <v>593928</v>
      </c>
      <c r="L46" s="2"/>
      <c r="M46" s="2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3.5" x14ac:dyDescent="0.25">
      <c r="A47" s="8" t="s">
        <v>195</v>
      </c>
      <c r="B47" s="13" t="s">
        <v>630</v>
      </c>
      <c r="C47" s="412">
        <f>C48+C53+C55+C58</f>
        <v>635</v>
      </c>
      <c r="D47" s="5">
        <f>D48+D53+D55+D58</f>
        <v>12716</v>
      </c>
      <c r="E47" s="179">
        <f t="shared" si="0"/>
        <v>-12716</v>
      </c>
      <c r="F47" s="5">
        <f>F48+F53+F55+F58</f>
        <v>0</v>
      </c>
      <c r="G47" s="179">
        <f t="shared" si="0"/>
        <v>0</v>
      </c>
      <c r="H47" s="5">
        <f>H48+H53+H55+H58</f>
        <v>0</v>
      </c>
      <c r="I47" s="5">
        <f>I48+I53+I55+I58</f>
        <v>0</v>
      </c>
      <c r="J47" s="7"/>
      <c r="K47" s="5">
        <f>K48+K53+K55+K58</f>
        <v>0</v>
      </c>
      <c r="L47" s="2"/>
      <c r="M47" s="2"/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3.5" x14ac:dyDescent="0.25">
      <c r="A48" s="8"/>
      <c r="B48" s="169" t="s">
        <v>631</v>
      </c>
      <c r="C48" s="412">
        <v>635</v>
      </c>
      <c r="D48" s="5">
        <f>D49+D50+D51+D52</f>
        <v>11498</v>
      </c>
      <c r="E48" s="179">
        <f t="shared" si="0"/>
        <v>-11498</v>
      </c>
      <c r="F48" s="5">
        <f>F49+F50+F51+F52</f>
        <v>0</v>
      </c>
      <c r="G48" s="179">
        <f t="shared" si="0"/>
        <v>0</v>
      </c>
      <c r="H48" s="5">
        <f>H49+H50+H51+H52</f>
        <v>0</v>
      </c>
      <c r="I48" s="5">
        <f>I49+I50+I51+I52</f>
        <v>0</v>
      </c>
      <c r="J48" s="7"/>
      <c r="K48" s="5">
        <f>K49+K50+K51+K52</f>
        <v>0</v>
      </c>
      <c r="L48" s="2"/>
      <c r="M48" s="2"/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x14ac:dyDescent="0.2">
      <c r="A49" s="8"/>
      <c r="B49" s="169" t="s">
        <v>632</v>
      </c>
      <c r="C49" s="413">
        <v>0</v>
      </c>
      <c r="D49" s="12">
        <v>11498</v>
      </c>
      <c r="E49" s="456">
        <f t="shared" si="0"/>
        <v>-11498</v>
      </c>
      <c r="F49" s="12">
        <f>11498-11498</f>
        <v>0</v>
      </c>
      <c r="G49" s="456">
        <f t="shared" si="0"/>
        <v>0</v>
      </c>
      <c r="H49" s="12">
        <f>11498-11498</f>
        <v>0</v>
      </c>
      <c r="I49" s="12">
        <v>0</v>
      </c>
      <c r="J49" s="7"/>
      <c r="K49" s="12">
        <f>11498428-11498428</f>
        <v>0</v>
      </c>
      <c r="L49" s="2"/>
      <c r="M49" s="2"/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24" hidden="1" x14ac:dyDescent="0.2">
      <c r="A50" s="8"/>
      <c r="B50" s="338" t="s">
        <v>489</v>
      </c>
      <c r="C50" s="413">
        <v>0</v>
      </c>
      <c r="D50" s="12">
        <v>0</v>
      </c>
      <c r="E50" s="456">
        <f t="shared" si="0"/>
        <v>0</v>
      </c>
      <c r="F50" s="12">
        <v>0</v>
      </c>
      <c r="G50" s="456">
        <f t="shared" si="0"/>
        <v>0</v>
      </c>
      <c r="H50" s="12">
        <v>0</v>
      </c>
      <c r="I50" s="12">
        <v>0</v>
      </c>
      <c r="J50" s="7"/>
      <c r="K50" s="12">
        <v>0</v>
      </c>
      <c r="L50" s="2"/>
      <c r="M50" s="2"/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x14ac:dyDescent="0.2">
      <c r="A51" s="8"/>
      <c r="B51" s="169" t="s">
        <v>490</v>
      </c>
      <c r="C51" s="413">
        <v>0</v>
      </c>
      <c r="D51" s="12">
        <v>0</v>
      </c>
      <c r="E51" s="456">
        <f t="shared" si="0"/>
        <v>0</v>
      </c>
      <c r="F51" s="12">
        <v>0</v>
      </c>
      <c r="G51" s="456">
        <f t="shared" si="0"/>
        <v>0</v>
      </c>
      <c r="H51" s="12">
        <v>0</v>
      </c>
      <c r="I51" s="12">
        <v>0</v>
      </c>
      <c r="J51" s="7"/>
      <c r="K51" s="12">
        <v>0</v>
      </c>
      <c r="L51" s="2"/>
      <c r="M51" s="2"/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x14ac:dyDescent="0.2">
      <c r="A52" s="8"/>
      <c r="B52" s="169" t="s">
        <v>633</v>
      </c>
      <c r="C52" s="413">
        <v>0</v>
      </c>
      <c r="D52" s="12">
        <v>0</v>
      </c>
      <c r="E52" s="456">
        <f t="shared" si="0"/>
        <v>0</v>
      </c>
      <c r="F52" s="12">
        <v>0</v>
      </c>
      <c r="G52" s="456">
        <f t="shared" si="0"/>
        <v>0</v>
      </c>
      <c r="H52" s="12">
        <v>0</v>
      </c>
      <c r="I52" s="12">
        <v>0</v>
      </c>
      <c r="J52" s="7"/>
      <c r="K52" s="12">
        <v>0</v>
      </c>
      <c r="L52" s="2"/>
      <c r="M52" s="2"/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3.5" x14ac:dyDescent="0.25">
      <c r="A53" s="8"/>
      <c r="B53" s="169" t="s">
        <v>634</v>
      </c>
      <c r="C53" s="412">
        <f>C54</f>
        <v>0</v>
      </c>
      <c r="D53" s="5">
        <f>D54</f>
        <v>0</v>
      </c>
      <c r="E53" s="179">
        <f t="shared" si="0"/>
        <v>0</v>
      </c>
      <c r="F53" s="5">
        <f>F54</f>
        <v>0</v>
      </c>
      <c r="G53" s="179">
        <f t="shared" si="0"/>
        <v>0</v>
      </c>
      <c r="H53" s="5">
        <f>H54</f>
        <v>0</v>
      </c>
      <c r="I53" s="5">
        <f>I54</f>
        <v>0</v>
      </c>
      <c r="J53" s="7"/>
      <c r="K53" s="5">
        <f>K54</f>
        <v>0</v>
      </c>
      <c r="L53" s="2"/>
      <c r="M53" s="2"/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x14ac:dyDescent="0.2">
      <c r="A54" s="8"/>
      <c r="B54" s="169" t="s">
        <v>635</v>
      </c>
      <c r="C54" s="413">
        <v>0</v>
      </c>
      <c r="D54" s="12">
        <v>0</v>
      </c>
      <c r="E54" s="456">
        <f t="shared" si="0"/>
        <v>0</v>
      </c>
      <c r="F54" s="12">
        <v>0</v>
      </c>
      <c r="G54" s="456">
        <f t="shared" si="0"/>
        <v>0</v>
      </c>
      <c r="H54" s="12">
        <v>0</v>
      </c>
      <c r="I54" s="12">
        <v>0</v>
      </c>
      <c r="J54" s="7"/>
      <c r="K54" s="12">
        <v>0</v>
      </c>
      <c r="L54" s="2"/>
      <c r="M54" s="347"/>
      <c r="N54" s="2"/>
      <c r="O54" s="2"/>
      <c r="P54" s="2"/>
      <c r="Q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3.5" x14ac:dyDescent="0.25">
      <c r="A55" s="8"/>
      <c r="B55" s="169" t="s">
        <v>636</v>
      </c>
      <c r="C55" s="412">
        <f>C56+C57</f>
        <v>0</v>
      </c>
      <c r="D55" s="5">
        <f>D56+D57</f>
        <v>624</v>
      </c>
      <c r="E55" s="179">
        <f t="shared" si="0"/>
        <v>-624</v>
      </c>
      <c r="F55" s="5">
        <f>F56+F57</f>
        <v>0</v>
      </c>
      <c r="G55" s="179">
        <f t="shared" si="0"/>
        <v>0</v>
      </c>
      <c r="H55" s="5">
        <f>H56+H57</f>
        <v>0</v>
      </c>
      <c r="I55" s="5">
        <f>I56+I57</f>
        <v>0</v>
      </c>
      <c r="J55" s="7"/>
      <c r="K55" s="5">
        <f>K56+K57</f>
        <v>0</v>
      </c>
      <c r="L55" s="2"/>
      <c r="M55" s="347" t="s">
        <v>504</v>
      </c>
      <c r="N55" s="2"/>
      <c r="O55" s="2"/>
      <c r="P55" s="2"/>
      <c r="Q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x14ac:dyDescent="0.2">
      <c r="A56" s="8"/>
      <c r="B56" s="169" t="s">
        <v>637</v>
      </c>
      <c r="C56" s="413">
        <v>0</v>
      </c>
      <c r="D56" s="12">
        <v>0</v>
      </c>
      <c r="E56" s="456">
        <f t="shared" si="0"/>
        <v>0</v>
      </c>
      <c r="F56" s="12">
        <v>0</v>
      </c>
      <c r="G56" s="456">
        <f t="shared" si="0"/>
        <v>0</v>
      </c>
      <c r="H56" s="12">
        <v>0</v>
      </c>
      <c r="I56" s="12">
        <v>0</v>
      </c>
      <c r="J56" s="7"/>
      <c r="K56" s="12">
        <v>0</v>
      </c>
      <c r="L56" s="2"/>
      <c r="M56" s="2"/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x14ac:dyDescent="0.2">
      <c r="A57" s="8"/>
      <c r="B57" s="169" t="s">
        <v>638</v>
      </c>
      <c r="C57" s="413">
        <v>0</v>
      </c>
      <c r="D57" s="12">
        <v>624</v>
      </c>
      <c r="E57" s="456">
        <f t="shared" si="0"/>
        <v>-624</v>
      </c>
      <c r="F57" s="12">
        <f>624-624</f>
        <v>0</v>
      </c>
      <c r="G57" s="456">
        <f t="shared" si="0"/>
        <v>0</v>
      </c>
      <c r="H57" s="12">
        <f>624-624</f>
        <v>0</v>
      </c>
      <c r="I57" s="12">
        <v>0</v>
      </c>
      <c r="J57" s="7"/>
      <c r="K57" s="12">
        <f>623760-623760</f>
        <v>0</v>
      </c>
      <c r="L57" s="2"/>
      <c r="M57" s="2"/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3.5" x14ac:dyDescent="0.25">
      <c r="A58" s="8"/>
      <c r="B58" s="169" t="s">
        <v>639</v>
      </c>
      <c r="C58" s="412">
        <f>C59+C60</f>
        <v>0</v>
      </c>
      <c r="D58" s="5">
        <f>D59+D60</f>
        <v>594</v>
      </c>
      <c r="E58" s="179">
        <f t="shared" si="0"/>
        <v>-594</v>
      </c>
      <c r="F58" s="5">
        <f>F59+F60</f>
        <v>0</v>
      </c>
      <c r="G58" s="179">
        <f t="shared" si="0"/>
        <v>0</v>
      </c>
      <c r="H58" s="5">
        <f>H59+H60</f>
        <v>0</v>
      </c>
      <c r="I58" s="5">
        <f>I59+I60</f>
        <v>0</v>
      </c>
      <c r="J58" s="7"/>
      <c r="K58" s="5">
        <f>K59+K60</f>
        <v>0</v>
      </c>
      <c r="L58" s="2"/>
      <c r="M58" s="2"/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idden="1" x14ac:dyDescent="0.2">
      <c r="A59" s="8"/>
      <c r="B59" s="318" t="s">
        <v>640</v>
      </c>
      <c r="C59" s="413">
        <v>0</v>
      </c>
      <c r="D59" s="12">
        <v>0</v>
      </c>
      <c r="E59" s="456">
        <f t="shared" si="0"/>
        <v>0</v>
      </c>
      <c r="F59" s="12">
        <v>0</v>
      </c>
      <c r="G59" s="456">
        <f t="shared" si="0"/>
        <v>0</v>
      </c>
      <c r="H59" s="12">
        <v>0</v>
      </c>
      <c r="I59" s="12">
        <v>0</v>
      </c>
      <c r="J59" s="7"/>
      <c r="K59" s="12">
        <v>0</v>
      </c>
      <c r="L59" s="2"/>
      <c r="M59" s="2"/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x14ac:dyDescent="0.2">
      <c r="A60" s="8"/>
      <c r="B60" s="318" t="s">
        <v>641</v>
      </c>
      <c r="C60" s="413">
        <v>0</v>
      </c>
      <c r="D60" s="12">
        <v>594</v>
      </c>
      <c r="E60" s="456">
        <f t="shared" si="0"/>
        <v>-594</v>
      </c>
      <c r="F60" s="12">
        <f>594-594</f>
        <v>0</v>
      </c>
      <c r="G60" s="456">
        <f t="shared" si="0"/>
        <v>0</v>
      </c>
      <c r="H60" s="12">
        <f>594-594</f>
        <v>0</v>
      </c>
      <c r="I60" s="12">
        <v>0</v>
      </c>
      <c r="J60" s="7"/>
      <c r="K60" s="12">
        <f>593928-593928</f>
        <v>0</v>
      </c>
      <c r="L60" s="2"/>
      <c r="M60" s="2"/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s="405" customFormat="1" ht="13.5" x14ac:dyDescent="0.2">
      <c r="A61" s="491" t="s">
        <v>196</v>
      </c>
      <c r="B61" s="492" t="s">
        <v>642</v>
      </c>
      <c r="C61" s="410">
        <v>0</v>
      </c>
      <c r="D61" s="273">
        <v>0</v>
      </c>
      <c r="E61" s="472">
        <f t="shared" si="0"/>
        <v>0</v>
      </c>
      <c r="F61" s="273">
        <v>0</v>
      </c>
      <c r="G61" s="472">
        <f t="shared" si="0"/>
        <v>0</v>
      </c>
      <c r="H61" s="273">
        <v>0</v>
      </c>
      <c r="I61" s="273">
        <v>0</v>
      </c>
      <c r="J61" s="82"/>
      <c r="K61" s="273">
        <v>0</v>
      </c>
      <c r="L61" s="71"/>
      <c r="M61" s="71"/>
      <c r="N61" s="82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</row>
    <row r="62" spans="1:48" ht="15" x14ac:dyDescent="0.25">
      <c r="A62" s="8" t="s">
        <v>152</v>
      </c>
      <c r="B62" s="13" t="s">
        <v>643</v>
      </c>
      <c r="C62" s="426">
        <v>2000</v>
      </c>
      <c r="D62" s="36">
        <f>SUM(D63:D64)</f>
        <v>0</v>
      </c>
      <c r="E62" s="36">
        <f t="shared" si="0"/>
        <v>0</v>
      </c>
      <c r="F62" s="36">
        <f>SUM(F63:F64)</f>
        <v>0</v>
      </c>
      <c r="G62" s="36">
        <f t="shared" si="0"/>
        <v>310</v>
      </c>
      <c r="H62" s="36">
        <f>SUM(H63:H64)</f>
        <v>310</v>
      </c>
      <c r="I62" s="36">
        <f>SUM(I63:I64)</f>
        <v>310</v>
      </c>
      <c r="J62" s="7"/>
      <c r="K62" s="36">
        <f>SUM(K63:K64)</f>
        <v>154984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x14ac:dyDescent="0.2">
      <c r="A63" s="8" t="s">
        <v>107</v>
      </c>
      <c r="B63" s="159" t="s">
        <v>644</v>
      </c>
      <c r="C63" s="434">
        <v>0</v>
      </c>
      <c r="D63" s="341">
        <v>0</v>
      </c>
      <c r="E63" s="459">
        <f t="shared" si="0"/>
        <v>0</v>
      </c>
      <c r="F63" s="341">
        <v>0</v>
      </c>
      <c r="G63" s="459">
        <f t="shared" si="0"/>
        <v>310</v>
      </c>
      <c r="H63" s="341">
        <v>310</v>
      </c>
      <c r="I63" s="341">
        <v>310</v>
      </c>
      <c r="J63" s="7"/>
      <c r="K63" s="342">
        <f>154851+133</f>
        <v>154984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idden="1" x14ac:dyDescent="0.2">
      <c r="A64" s="8"/>
      <c r="B64" s="159"/>
      <c r="C64" s="413"/>
      <c r="D64" s="12"/>
      <c r="E64" s="456">
        <f t="shared" si="0"/>
        <v>0</v>
      </c>
      <c r="F64" s="12"/>
      <c r="G64" s="456">
        <f t="shared" si="0"/>
        <v>0</v>
      </c>
      <c r="H64" s="12"/>
      <c r="I64" s="12"/>
      <c r="J64" s="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8" customHeight="1" x14ac:dyDescent="0.25">
      <c r="A65" s="13" t="s">
        <v>122</v>
      </c>
      <c r="B65" s="157" t="s">
        <v>209</v>
      </c>
      <c r="C65" s="422">
        <f>SUM(C69+C74+C78)</f>
        <v>30431</v>
      </c>
      <c r="D65" s="41">
        <f>SUM(D69+D74+D78)</f>
        <v>33000</v>
      </c>
      <c r="E65" s="41">
        <f t="shared" si="0"/>
        <v>0</v>
      </c>
      <c r="F65" s="41">
        <f>SUM(F69+F74+F78)</f>
        <v>33000</v>
      </c>
      <c r="G65" s="41">
        <f t="shared" si="0"/>
        <v>8300</v>
      </c>
      <c r="H65" s="41">
        <f>SUM(H69+H74+H78)</f>
        <v>41300</v>
      </c>
      <c r="I65" s="41">
        <f>SUM(I69+I74+I78)</f>
        <v>40587</v>
      </c>
      <c r="J65" s="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3.5" hidden="1" customHeight="1" x14ac:dyDescent="0.2">
      <c r="A66" s="8" t="s">
        <v>123</v>
      </c>
      <c r="B66" s="159" t="s">
        <v>129</v>
      </c>
      <c r="C66" s="413"/>
      <c r="D66" s="12"/>
      <c r="E66" s="456">
        <f t="shared" si="0"/>
        <v>0</v>
      </c>
      <c r="F66" s="12"/>
      <c r="G66" s="456">
        <f t="shared" si="0"/>
        <v>0</v>
      </c>
      <c r="H66" s="12"/>
      <c r="I66" s="12"/>
      <c r="J66" s="7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3.5" hidden="1" customHeight="1" x14ac:dyDescent="0.2">
      <c r="A67" s="8" t="s">
        <v>124</v>
      </c>
      <c r="B67" s="159" t="s">
        <v>130</v>
      </c>
      <c r="C67" s="413"/>
      <c r="D67" s="12"/>
      <c r="E67" s="456">
        <f t="shared" si="0"/>
        <v>0</v>
      </c>
      <c r="F67" s="12"/>
      <c r="G67" s="456">
        <f t="shared" si="0"/>
        <v>0</v>
      </c>
      <c r="H67" s="12"/>
      <c r="I67" s="12"/>
      <c r="J67" s="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3.5" hidden="1" customHeight="1" x14ac:dyDescent="0.2">
      <c r="A68" s="8" t="s">
        <v>125</v>
      </c>
      <c r="B68" s="160" t="s">
        <v>131</v>
      </c>
      <c r="C68" s="435"/>
      <c r="D68" s="45"/>
      <c r="E68" s="460">
        <f t="shared" si="0"/>
        <v>0</v>
      </c>
      <c r="F68" s="45"/>
      <c r="G68" s="460">
        <f t="shared" si="0"/>
        <v>0</v>
      </c>
      <c r="H68" s="45"/>
      <c r="I68" s="45"/>
      <c r="J68" s="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3.5" customHeight="1" x14ac:dyDescent="0.2">
      <c r="A69" s="8" t="s">
        <v>126</v>
      </c>
      <c r="B69" s="159" t="s">
        <v>210</v>
      </c>
      <c r="C69" s="436">
        <f>SUM(C70:C73)</f>
        <v>8726</v>
      </c>
      <c r="D69" s="178">
        <f>SUM(D70:D73)</f>
        <v>9000</v>
      </c>
      <c r="E69" s="461">
        <f t="shared" si="0"/>
        <v>0</v>
      </c>
      <c r="F69" s="178">
        <f>SUM(F70:F73)</f>
        <v>9000</v>
      </c>
      <c r="G69" s="461">
        <f t="shared" si="0"/>
        <v>350</v>
      </c>
      <c r="H69" s="178">
        <f>SUM(H70:H73)</f>
        <v>9350</v>
      </c>
      <c r="I69" s="178">
        <f>SUM(I70:I73)</f>
        <v>8834</v>
      </c>
      <c r="J69" s="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3.5" customHeight="1" x14ac:dyDescent="0.2">
      <c r="A70" s="8"/>
      <c r="B70" s="169" t="s">
        <v>211</v>
      </c>
      <c r="C70" s="437">
        <v>4398</v>
      </c>
      <c r="D70" s="37">
        <v>4500</v>
      </c>
      <c r="E70" s="462">
        <f t="shared" si="0"/>
        <v>0</v>
      </c>
      <c r="F70" s="37">
        <v>4500</v>
      </c>
      <c r="G70" s="462">
        <f t="shared" si="0"/>
        <v>250</v>
      </c>
      <c r="H70" s="37">
        <f>4500+250</f>
        <v>4750</v>
      </c>
      <c r="I70" s="37">
        <v>4573</v>
      </c>
      <c r="J70" s="7"/>
      <c r="K70" s="7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3.5" hidden="1" customHeight="1" x14ac:dyDescent="0.2">
      <c r="A71" s="8"/>
      <c r="B71" s="169" t="s">
        <v>212</v>
      </c>
      <c r="C71" s="437"/>
      <c r="D71" s="37"/>
      <c r="E71" s="462">
        <f t="shared" si="0"/>
        <v>0</v>
      </c>
      <c r="F71" s="37"/>
      <c r="G71" s="462">
        <f t="shared" si="0"/>
        <v>0</v>
      </c>
      <c r="H71" s="37"/>
      <c r="I71" s="37"/>
      <c r="J71" s="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3.5" customHeight="1" x14ac:dyDescent="0.2">
      <c r="A72" s="8"/>
      <c r="B72" s="169" t="s">
        <v>424</v>
      </c>
      <c r="C72" s="437">
        <v>2754</v>
      </c>
      <c r="D72" s="37">
        <v>2800</v>
      </c>
      <c r="E72" s="462">
        <f t="shared" si="0"/>
        <v>0</v>
      </c>
      <c r="F72" s="37">
        <v>2800</v>
      </c>
      <c r="G72" s="462">
        <f t="shared" si="0"/>
        <v>0</v>
      </c>
      <c r="H72" s="37">
        <v>2800</v>
      </c>
      <c r="I72" s="37">
        <v>2522</v>
      </c>
      <c r="J72" s="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3.5" customHeight="1" x14ac:dyDescent="0.2">
      <c r="A73" s="8"/>
      <c r="B73" s="169" t="s">
        <v>425</v>
      </c>
      <c r="C73" s="437">
        <v>1574</v>
      </c>
      <c r="D73" s="37">
        <v>1700</v>
      </c>
      <c r="E73" s="462">
        <f t="shared" ref="E73:G115" si="1">F73-D73</f>
        <v>0</v>
      </c>
      <c r="F73" s="37">
        <v>1700</v>
      </c>
      <c r="G73" s="462">
        <f t="shared" si="1"/>
        <v>100</v>
      </c>
      <c r="H73" s="37">
        <f>1700+100</f>
        <v>1800</v>
      </c>
      <c r="I73" s="37">
        <v>1739</v>
      </c>
      <c r="J73" s="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s="46" customFormat="1" ht="13.5" customHeight="1" x14ac:dyDescent="0.25">
      <c r="A74" s="8" t="s">
        <v>127</v>
      </c>
      <c r="B74" s="159" t="s">
        <v>213</v>
      </c>
      <c r="C74" s="412">
        <f>SUM(C75:C77)</f>
        <v>21183</v>
      </c>
      <c r="D74" s="5">
        <f>SUM(D75:D77)</f>
        <v>23500</v>
      </c>
      <c r="E74" s="179">
        <f t="shared" si="1"/>
        <v>150</v>
      </c>
      <c r="F74" s="5">
        <f>SUM(F75:F77)</f>
        <v>23650</v>
      </c>
      <c r="G74" s="179">
        <f t="shared" si="1"/>
        <v>7950</v>
      </c>
      <c r="H74" s="5">
        <f>SUM(H75:H77)</f>
        <v>31600</v>
      </c>
      <c r="I74" s="5">
        <f>SUM(I75:I77)</f>
        <v>31535</v>
      </c>
      <c r="J74" s="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s="46" customFormat="1" ht="13.5" customHeight="1" x14ac:dyDescent="0.2">
      <c r="A75" s="8" t="s">
        <v>404</v>
      </c>
      <c r="B75" s="169" t="s">
        <v>214</v>
      </c>
      <c r="C75" s="413">
        <v>21183</v>
      </c>
      <c r="D75" s="12">
        <v>23500</v>
      </c>
      <c r="E75" s="456">
        <f t="shared" si="1"/>
        <v>0</v>
      </c>
      <c r="F75" s="12">
        <v>23500</v>
      </c>
      <c r="G75" s="456">
        <f t="shared" si="1"/>
        <v>7900</v>
      </c>
      <c r="H75" s="12">
        <f>23500+7900</f>
        <v>31400</v>
      </c>
      <c r="I75" s="12">
        <v>31338</v>
      </c>
      <c r="J75" s="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s="46" customFormat="1" ht="13.5" hidden="1" customHeight="1" x14ac:dyDescent="0.2">
      <c r="A76" s="8" t="s">
        <v>405</v>
      </c>
      <c r="B76" s="169" t="s">
        <v>326</v>
      </c>
      <c r="C76" s="413">
        <v>0</v>
      </c>
      <c r="D76" s="12">
        <v>0</v>
      </c>
      <c r="E76" s="456">
        <f t="shared" si="1"/>
        <v>0</v>
      </c>
      <c r="F76" s="12">
        <v>0</v>
      </c>
      <c r="G76" s="456">
        <f t="shared" si="1"/>
        <v>0</v>
      </c>
      <c r="H76" s="12">
        <v>0</v>
      </c>
      <c r="I76" s="12">
        <v>0</v>
      </c>
      <c r="J76" s="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s="46" customFormat="1" ht="13.5" customHeight="1" x14ac:dyDescent="0.2">
      <c r="A77" s="8" t="s">
        <v>426</v>
      </c>
      <c r="B77" s="169" t="s">
        <v>427</v>
      </c>
      <c r="C77" s="413">
        <v>0</v>
      </c>
      <c r="D77" s="12">
        <v>0</v>
      </c>
      <c r="E77" s="456">
        <f t="shared" si="1"/>
        <v>150</v>
      </c>
      <c r="F77" s="12">
        <v>150</v>
      </c>
      <c r="G77" s="456">
        <f t="shared" si="1"/>
        <v>50</v>
      </c>
      <c r="H77" s="12">
        <f>150+50</f>
        <v>200</v>
      </c>
      <c r="I77" s="12">
        <v>197</v>
      </c>
      <c r="J77" s="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s="46" customFormat="1" ht="13.5" customHeight="1" x14ac:dyDescent="0.25">
      <c r="A78" s="8" t="s">
        <v>128</v>
      </c>
      <c r="B78" s="159" t="s">
        <v>295</v>
      </c>
      <c r="C78" s="412">
        <v>522</v>
      </c>
      <c r="D78" s="5">
        <v>500</v>
      </c>
      <c r="E78" s="179">
        <f t="shared" si="1"/>
        <v>-150</v>
      </c>
      <c r="F78" s="5">
        <f>500-150</f>
        <v>350</v>
      </c>
      <c r="G78" s="179">
        <f t="shared" si="1"/>
        <v>0</v>
      </c>
      <c r="H78" s="5">
        <f>500-150</f>
        <v>350</v>
      </c>
      <c r="I78" s="5">
        <v>218</v>
      </c>
      <c r="J78" s="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s="46" customFormat="1" ht="18" customHeight="1" x14ac:dyDescent="0.25">
      <c r="A79" s="13" t="s">
        <v>133</v>
      </c>
      <c r="B79" s="157" t="s">
        <v>215</v>
      </c>
      <c r="C79" s="422">
        <f>SUM(C80:C90)</f>
        <v>8534</v>
      </c>
      <c r="D79" s="41">
        <f>SUM(D80:D90)</f>
        <v>10425</v>
      </c>
      <c r="E79" s="41">
        <f t="shared" si="1"/>
        <v>1506</v>
      </c>
      <c r="F79" s="41">
        <f>SUM(F80:F90)</f>
        <v>11931</v>
      </c>
      <c r="G79" s="41">
        <f t="shared" si="1"/>
        <v>830</v>
      </c>
      <c r="H79" s="41">
        <f>SUM(H80:H90)</f>
        <v>12761</v>
      </c>
      <c r="I79" s="41">
        <f>SUM(I80:I90)</f>
        <v>11443</v>
      </c>
      <c r="J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3.5" customHeight="1" x14ac:dyDescent="0.2">
      <c r="A80" s="8" t="s">
        <v>136</v>
      </c>
      <c r="B80" s="159" t="s">
        <v>216</v>
      </c>
      <c r="C80" s="413">
        <v>0</v>
      </c>
      <c r="D80" s="12">
        <v>0</v>
      </c>
      <c r="E80" s="456">
        <f t="shared" si="1"/>
        <v>0</v>
      </c>
      <c r="F80" s="12">
        <v>0</v>
      </c>
      <c r="G80" s="456">
        <f t="shared" si="1"/>
        <v>0</v>
      </c>
      <c r="H80" s="12">
        <v>0</v>
      </c>
      <c r="I80" s="12">
        <v>0</v>
      </c>
      <c r="J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s="46" customFormat="1" ht="13.5" customHeight="1" x14ac:dyDescent="0.2">
      <c r="A81" s="8" t="s">
        <v>137</v>
      </c>
      <c r="B81" s="159" t="s">
        <v>572</v>
      </c>
      <c r="C81" s="413">
        <v>1748</v>
      </c>
      <c r="D81" s="12">
        <f>2*70+12*150+160</f>
        <v>2100</v>
      </c>
      <c r="E81" s="456">
        <f t="shared" si="1"/>
        <v>350</v>
      </c>
      <c r="F81" s="12">
        <f>2*70+12*150+160+350</f>
        <v>2450</v>
      </c>
      <c r="G81" s="456">
        <f t="shared" si="1"/>
        <v>575</v>
      </c>
      <c r="H81" s="12">
        <f>2*70+12*150+160+350+575</f>
        <v>3025</v>
      </c>
      <c r="I81" s="12">
        <v>3024</v>
      </c>
      <c r="J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s="46" customFormat="1" ht="13.5" customHeight="1" x14ac:dyDescent="0.2">
      <c r="A82" s="8" t="s">
        <v>138</v>
      </c>
      <c r="B82" s="159" t="s">
        <v>369</v>
      </c>
      <c r="C82" s="413">
        <v>569</v>
      </c>
      <c r="D82" s="12">
        <f>2375+348</f>
        <v>2723</v>
      </c>
      <c r="E82" s="456">
        <f t="shared" si="1"/>
        <v>670</v>
      </c>
      <c r="F82" s="12">
        <f>2375+348+670</f>
        <v>3393</v>
      </c>
      <c r="G82" s="456">
        <f t="shared" si="1"/>
        <v>230</v>
      </c>
      <c r="H82" s="12">
        <f>2375+348+670+230</f>
        <v>3623</v>
      </c>
      <c r="I82" s="12">
        <v>3617</v>
      </c>
      <c r="J82" s="7"/>
      <c r="K82" s="2" t="s">
        <v>650</v>
      </c>
      <c r="L82" s="2"/>
      <c r="M82" s="2">
        <f>176300+626228+43911+8510*12+792984+210617*3</f>
        <v>2373394</v>
      </c>
      <c r="N82" s="2" t="s">
        <v>655</v>
      </c>
      <c r="O82" s="2"/>
      <c r="P82" s="2">
        <f>8510*12+792984+210617*3</f>
        <v>1526955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3.5" customHeight="1" x14ac:dyDescent="0.2">
      <c r="A83" s="8" t="s">
        <v>139</v>
      </c>
      <c r="B83" s="160" t="s">
        <v>368</v>
      </c>
      <c r="C83" s="275">
        <v>0</v>
      </c>
      <c r="D83" s="10">
        <v>0</v>
      </c>
      <c r="E83" s="463">
        <f t="shared" si="1"/>
        <v>0</v>
      </c>
      <c r="F83" s="10">
        <v>0</v>
      </c>
      <c r="G83" s="463">
        <f t="shared" si="1"/>
        <v>0</v>
      </c>
      <c r="H83" s="10">
        <v>0</v>
      </c>
      <c r="I83" s="10">
        <v>0</v>
      </c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3.5" customHeight="1" x14ac:dyDescent="0.2">
      <c r="A84" s="8" t="s">
        <v>140</v>
      </c>
      <c r="B84" s="20" t="s">
        <v>217</v>
      </c>
      <c r="C84" s="275">
        <v>4616</v>
      </c>
      <c r="D84" s="10">
        <v>4800</v>
      </c>
      <c r="E84" s="463">
        <f t="shared" si="1"/>
        <v>0</v>
      </c>
      <c r="F84" s="10">
        <v>4800</v>
      </c>
      <c r="G84" s="463">
        <f t="shared" si="1"/>
        <v>0</v>
      </c>
      <c r="H84" s="10">
        <f>4800</f>
        <v>4800</v>
      </c>
      <c r="I84" s="10">
        <v>3493</v>
      </c>
      <c r="J84" s="7"/>
      <c r="K84" s="28">
        <f>16*250*1200</f>
        <v>4800000</v>
      </c>
      <c r="L84" s="2" t="s">
        <v>649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3.5" customHeight="1" x14ac:dyDescent="0.2">
      <c r="A85" s="8" t="s">
        <v>144</v>
      </c>
      <c r="B85" s="20" t="s">
        <v>218</v>
      </c>
      <c r="C85" s="275">
        <v>0</v>
      </c>
      <c r="D85" s="10">
        <v>0</v>
      </c>
      <c r="E85" s="463">
        <f t="shared" si="1"/>
        <v>0</v>
      </c>
      <c r="F85" s="10">
        <v>0</v>
      </c>
      <c r="G85" s="463">
        <f t="shared" si="1"/>
        <v>0</v>
      </c>
      <c r="H85" s="10">
        <v>0</v>
      </c>
      <c r="I85" s="10">
        <v>0</v>
      </c>
      <c r="J85" s="7"/>
      <c r="K85" s="402">
        <f>16*250*1212.5</f>
        <v>4850000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3.5" customHeight="1" x14ac:dyDescent="0.2">
      <c r="A86" s="8" t="s">
        <v>146</v>
      </c>
      <c r="B86" s="20" t="s">
        <v>219</v>
      </c>
      <c r="C86" s="275">
        <v>0</v>
      </c>
      <c r="D86" s="10">
        <v>0</v>
      </c>
      <c r="E86" s="463">
        <f t="shared" si="1"/>
        <v>0</v>
      </c>
      <c r="F86" s="10">
        <v>0</v>
      </c>
      <c r="G86" s="463">
        <f t="shared" si="1"/>
        <v>0</v>
      </c>
      <c r="H86" s="10">
        <v>0</v>
      </c>
      <c r="I86" s="10">
        <v>0</v>
      </c>
      <c r="J86" s="7"/>
      <c r="K86" s="347">
        <f>16*250*327.5</f>
        <v>1310000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3.5" customHeight="1" x14ac:dyDescent="0.2">
      <c r="A87" s="8" t="s">
        <v>148</v>
      </c>
      <c r="B87" s="20" t="s">
        <v>220</v>
      </c>
      <c r="C87" s="275">
        <v>0</v>
      </c>
      <c r="D87" s="10">
        <v>2</v>
      </c>
      <c r="E87" s="463">
        <f t="shared" si="1"/>
        <v>0</v>
      </c>
      <c r="F87" s="10">
        <v>2</v>
      </c>
      <c r="G87" s="463">
        <f t="shared" si="1"/>
        <v>0</v>
      </c>
      <c r="H87" s="10">
        <v>2</v>
      </c>
      <c r="I87" s="10">
        <v>0</v>
      </c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3.5" customHeight="1" x14ac:dyDescent="0.2">
      <c r="A88" s="8" t="s">
        <v>150</v>
      </c>
      <c r="B88" s="20" t="s">
        <v>221</v>
      </c>
      <c r="C88" s="275">
        <v>0</v>
      </c>
      <c r="D88" s="10">
        <v>0</v>
      </c>
      <c r="E88" s="463">
        <f t="shared" si="1"/>
        <v>0</v>
      </c>
      <c r="F88" s="10">
        <v>0</v>
      </c>
      <c r="G88" s="463">
        <f t="shared" si="1"/>
        <v>0</v>
      </c>
      <c r="H88" s="10">
        <v>0</v>
      </c>
      <c r="I88" s="10">
        <v>0</v>
      </c>
      <c r="J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3.5" customHeight="1" x14ac:dyDescent="0.2">
      <c r="A89" s="8" t="s">
        <v>156</v>
      </c>
      <c r="B89" s="20" t="s">
        <v>370</v>
      </c>
      <c r="C89" s="275">
        <v>0</v>
      </c>
      <c r="D89" s="10">
        <v>0</v>
      </c>
      <c r="E89" s="463">
        <f t="shared" si="1"/>
        <v>486</v>
      </c>
      <c r="F89" s="10">
        <v>486</v>
      </c>
      <c r="G89" s="463">
        <f t="shared" si="1"/>
        <v>0</v>
      </c>
      <c r="H89" s="10">
        <v>486</v>
      </c>
      <c r="I89" s="10">
        <v>486</v>
      </c>
      <c r="J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3.5" customHeight="1" x14ac:dyDescent="0.2">
      <c r="A90" s="8" t="s">
        <v>367</v>
      </c>
      <c r="B90" s="20" t="s">
        <v>371</v>
      </c>
      <c r="C90" s="275">
        <v>1601</v>
      </c>
      <c r="D90" s="10">
        <v>800</v>
      </c>
      <c r="E90" s="463">
        <f t="shared" si="1"/>
        <v>0</v>
      </c>
      <c r="F90" s="10">
        <v>800</v>
      </c>
      <c r="G90" s="463">
        <f t="shared" si="1"/>
        <v>25</v>
      </c>
      <c r="H90" s="10">
        <f>800+25</f>
        <v>825</v>
      </c>
      <c r="I90" s="10">
        <v>823</v>
      </c>
      <c r="J90" s="7"/>
      <c r="K90" s="7">
        <v>-16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8" customHeight="1" x14ac:dyDescent="0.25">
      <c r="A91" s="13" t="s">
        <v>171</v>
      </c>
      <c r="B91" s="157" t="s">
        <v>222</v>
      </c>
      <c r="C91" s="422">
        <f>SUM(C92:C94)</f>
        <v>0</v>
      </c>
      <c r="D91" s="41">
        <f>SUM(D92:D94)</f>
        <v>0</v>
      </c>
      <c r="E91" s="41">
        <f t="shared" si="1"/>
        <v>1350</v>
      </c>
      <c r="F91" s="41">
        <f>SUM(F92:F94)</f>
        <v>1350</v>
      </c>
      <c r="G91" s="41">
        <f t="shared" si="1"/>
        <v>0</v>
      </c>
      <c r="H91" s="41">
        <f>SUM(H92:H94)</f>
        <v>1350</v>
      </c>
      <c r="I91" s="41">
        <f>SUM(I92:I94)</f>
        <v>1350</v>
      </c>
      <c r="J91" s="7"/>
      <c r="K91" s="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3.5" hidden="1" customHeight="1" x14ac:dyDescent="0.2">
      <c r="A92" s="149" t="s">
        <v>176</v>
      </c>
      <c r="B92" s="20" t="s">
        <v>223</v>
      </c>
      <c r="C92" s="275"/>
      <c r="D92" s="10"/>
      <c r="E92" s="463">
        <f t="shared" si="1"/>
        <v>0</v>
      </c>
      <c r="F92" s="10"/>
      <c r="G92" s="463">
        <f t="shared" si="1"/>
        <v>0</v>
      </c>
      <c r="H92" s="10"/>
      <c r="I92" s="10"/>
      <c r="J92" s="7"/>
      <c r="K92" s="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ht="13.5" hidden="1" customHeight="1" x14ac:dyDescent="0.2">
      <c r="A93" s="149" t="s">
        <v>177</v>
      </c>
      <c r="B93" s="20" t="s">
        <v>224</v>
      </c>
      <c r="C93" s="275"/>
      <c r="D93" s="10"/>
      <c r="E93" s="463">
        <f t="shared" si="1"/>
        <v>0</v>
      </c>
      <c r="F93" s="10"/>
      <c r="G93" s="463">
        <f t="shared" si="1"/>
        <v>0</v>
      </c>
      <c r="H93" s="10"/>
      <c r="I93" s="10"/>
      <c r="J93" s="82"/>
      <c r="K93" s="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ht="14.25" customHeight="1" x14ac:dyDescent="0.2">
      <c r="A94" s="149" t="s">
        <v>406</v>
      </c>
      <c r="B94" s="20" t="s">
        <v>645</v>
      </c>
      <c r="C94" s="438">
        <v>0</v>
      </c>
      <c r="D94" s="84">
        <v>0</v>
      </c>
      <c r="E94" s="464">
        <f t="shared" si="1"/>
        <v>1350</v>
      </c>
      <c r="F94" s="84">
        <v>1350</v>
      </c>
      <c r="G94" s="464">
        <f t="shared" si="1"/>
        <v>0</v>
      </c>
      <c r="H94" s="84">
        <v>1350</v>
      </c>
      <c r="I94" s="84">
        <v>1350</v>
      </c>
      <c r="J94" s="82"/>
      <c r="K94" s="389" t="s">
        <v>575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ht="18.75" customHeight="1" x14ac:dyDescent="0.25">
      <c r="A95" s="241" t="s">
        <v>332</v>
      </c>
      <c r="B95" s="203" t="s">
        <v>334</v>
      </c>
      <c r="C95" s="439">
        <f>SUM(C96+C99)</f>
        <v>26122</v>
      </c>
      <c r="D95" s="199">
        <f>SUM(D96+D99)</f>
        <v>11995</v>
      </c>
      <c r="E95" s="199">
        <f t="shared" si="1"/>
        <v>0</v>
      </c>
      <c r="F95" s="199">
        <f>SUM(F96+F99)</f>
        <v>11995</v>
      </c>
      <c r="G95" s="199">
        <f t="shared" si="1"/>
        <v>1027</v>
      </c>
      <c r="H95" s="199">
        <f>SUM(H96+H99)</f>
        <v>13022</v>
      </c>
      <c r="I95" s="199">
        <f>SUM(I96+I99)</f>
        <v>13022</v>
      </c>
      <c r="J95" s="82"/>
      <c r="K95" s="28"/>
      <c r="L95" s="2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ht="18" customHeight="1" x14ac:dyDescent="0.25">
      <c r="A96" s="198"/>
      <c r="B96" s="22" t="s">
        <v>340</v>
      </c>
      <c r="C96" s="422">
        <f>SUM(C97)+C98</f>
        <v>26122</v>
      </c>
      <c r="D96" s="179">
        <f>SUM(D97)+D98</f>
        <v>11995</v>
      </c>
      <c r="E96" s="179">
        <f t="shared" si="1"/>
        <v>0</v>
      </c>
      <c r="F96" s="179">
        <f>SUM(F97)+F98</f>
        <v>11995</v>
      </c>
      <c r="G96" s="179">
        <f t="shared" si="1"/>
        <v>1027</v>
      </c>
      <c r="H96" s="179">
        <f>SUM(H97)+H98</f>
        <v>13022</v>
      </c>
      <c r="I96" s="179">
        <f>SUM(I97)+I98</f>
        <v>13022</v>
      </c>
      <c r="J96" s="82"/>
      <c r="K96" s="28"/>
      <c r="L96" s="2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ht="13.5" customHeight="1" x14ac:dyDescent="0.2">
      <c r="A97" s="198"/>
      <c r="B97" s="196" t="s">
        <v>517</v>
      </c>
      <c r="C97" s="413">
        <v>25171</v>
      </c>
      <c r="D97" s="12">
        <v>11995</v>
      </c>
      <c r="E97" s="456">
        <f t="shared" si="1"/>
        <v>0</v>
      </c>
      <c r="F97" s="12">
        <v>11995</v>
      </c>
      <c r="G97" s="456">
        <f t="shared" si="1"/>
        <v>0</v>
      </c>
      <c r="H97" s="12">
        <v>11995</v>
      </c>
      <c r="I97" s="12">
        <v>11995</v>
      </c>
      <c r="J97" s="82"/>
      <c r="K97" s="28">
        <v>11995290</v>
      </c>
      <c r="L97" s="2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ht="13.5" customHeight="1" x14ac:dyDescent="0.2">
      <c r="A98" s="198"/>
      <c r="B98" s="196" t="s">
        <v>518</v>
      </c>
      <c r="C98" s="413">
        <v>951</v>
      </c>
      <c r="D98" s="12">
        <v>0</v>
      </c>
      <c r="E98" s="456">
        <f t="shared" si="1"/>
        <v>0</v>
      </c>
      <c r="F98" s="12">
        <v>0</v>
      </c>
      <c r="G98" s="456">
        <f t="shared" si="1"/>
        <v>1027</v>
      </c>
      <c r="H98" s="12">
        <v>1027</v>
      </c>
      <c r="I98" s="12">
        <v>1027</v>
      </c>
      <c r="J98" s="82"/>
      <c r="K98" s="28">
        <v>919202</v>
      </c>
      <c r="L98" s="2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ht="18" customHeight="1" thickBot="1" x14ac:dyDescent="0.3">
      <c r="A99" s="198"/>
      <c r="B99" s="22" t="s">
        <v>342</v>
      </c>
      <c r="C99" s="422">
        <v>0</v>
      </c>
      <c r="D99" s="179">
        <v>0</v>
      </c>
      <c r="E99" s="179">
        <f t="shared" si="1"/>
        <v>0</v>
      </c>
      <c r="F99" s="179">
        <v>0</v>
      </c>
      <c r="G99" s="179">
        <f t="shared" si="1"/>
        <v>0</v>
      </c>
      <c r="H99" s="179">
        <v>0</v>
      </c>
      <c r="I99" s="179">
        <v>0</v>
      </c>
      <c r="J99" s="7"/>
      <c r="K99" s="28"/>
      <c r="L99" s="2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ht="13.5" hidden="1" customHeight="1" thickBot="1" x14ac:dyDescent="0.3">
      <c r="A100" s="198"/>
      <c r="B100" s="8" t="s">
        <v>341</v>
      </c>
      <c r="C100" s="422"/>
      <c r="D100" s="179"/>
      <c r="E100" s="179">
        <f t="shared" si="1"/>
        <v>0</v>
      </c>
      <c r="F100" s="179"/>
      <c r="G100" s="179">
        <f t="shared" si="1"/>
        <v>0</v>
      </c>
      <c r="H100" s="179"/>
      <c r="I100" s="179"/>
      <c r="J100" s="7"/>
      <c r="K100" s="28"/>
      <c r="L100" s="2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ht="23.25" customHeight="1" thickBot="1" x14ac:dyDescent="0.25">
      <c r="A101" s="168"/>
      <c r="B101" s="43" t="s">
        <v>234</v>
      </c>
      <c r="C101" s="429">
        <f>SUM(C8+C95)</f>
        <v>94824</v>
      </c>
      <c r="D101" s="255">
        <f>SUM(D8+D95)</f>
        <v>91595</v>
      </c>
      <c r="E101" s="466">
        <f t="shared" si="1"/>
        <v>2839</v>
      </c>
      <c r="F101" s="255">
        <f>SUM(F8+F95)</f>
        <v>94434</v>
      </c>
      <c r="G101" s="466">
        <f t="shared" si="1"/>
        <v>10467</v>
      </c>
      <c r="H101" s="255">
        <f>SUM(H8+H95)</f>
        <v>104901</v>
      </c>
      <c r="I101" s="255">
        <f>SUM(I8+I95)</f>
        <v>102870</v>
      </c>
      <c r="J101" s="7"/>
      <c r="K101" s="28"/>
      <c r="L101" s="2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ht="20.25" customHeight="1" x14ac:dyDescent="0.25">
      <c r="A102" s="149"/>
      <c r="B102" s="161" t="s">
        <v>335</v>
      </c>
      <c r="C102" s="430">
        <f>SUM(C103+C104+C105+C106+C107)</f>
        <v>82414</v>
      </c>
      <c r="D102" s="200">
        <f>SUM(D103+D104+D105+D106+D107)</f>
        <v>89678</v>
      </c>
      <c r="E102" s="200">
        <f t="shared" si="1"/>
        <v>2868</v>
      </c>
      <c r="F102" s="200">
        <f t="shared" ref="F102" si="2">SUM(F103+F104+F105+F106+F107)</f>
        <v>92546</v>
      </c>
      <c r="G102" s="200">
        <f t="shared" si="1"/>
        <v>10467</v>
      </c>
      <c r="H102" s="200">
        <f t="shared" ref="H102:I102" si="3">SUM(H103+H104+H105+H106+H107)</f>
        <v>103013</v>
      </c>
      <c r="I102" s="200">
        <f t="shared" si="3"/>
        <v>86586</v>
      </c>
      <c r="J102" s="7"/>
      <c r="K102" s="28"/>
      <c r="L102" s="2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ht="18" customHeight="1" x14ac:dyDescent="0.25">
      <c r="A103" s="13" t="s">
        <v>197</v>
      </c>
      <c r="B103" s="157" t="s">
        <v>225</v>
      </c>
      <c r="C103" s="421">
        <f>'7.Önk.'!AV24</f>
        <v>32617</v>
      </c>
      <c r="D103" s="165">
        <f>SUM('7.Önk.'!AW24)</f>
        <v>36308</v>
      </c>
      <c r="E103" s="36">
        <f t="shared" si="1"/>
        <v>1218</v>
      </c>
      <c r="F103" s="165">
        <f>SUM('7.Önk.'!AX24)</f>
        <v>37526</v>
      </c>
      <c r="G103" s="36">
        <f t="shared" si="1"/>
        <v>395</v>
      </c>
      <c r="H103" s="165">
        <f>SUM('7.Önk.'!AY24)</f>
        <v>37921</v>
      </c>
      <c r="I103" s="165">
        <f>SUM('7.Önk.'!AZ24)</f>
        <v>37028</v>
      </c>
      <c r="J103" s="7"/>
      <c r="K103" s="28"/>
      <c r="L103" s="2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ht="18" customHeight="1" x14ac:dyDescent="0.25">
      <c r="A104" s="13" t="s">
        <v>198</v>
      </c>
      <c r="B104" s="157" t="s">
        <v>226</v>
      </c>
      <c r="C104" s="412">
        <f>'7.Önk.'!AV27</f>
        <v>3709</v>
      </c>
      <c r="D104" s="14">
        <f>SUM('7.Önk.'!AW27)</f>
        <v>4536</v>
      </c>
      <c r="E104" s="40">
        <f t="shared" si="1"/>
        <v>123</v>
      </c>
      <c r="F104" s="14">
        <f>SUM('7.Önk.'!AX27)</f>
        <v>4659</v>
      </c>
      <c r="G104" s="40">
        <f t="shared" si="1"/>
        <v>0</v>
      </c>
      <c r="H104" s="14">
        <f>SUM('7.Önk.'!AY27)</f>
        <v>4659</v>
      </c>
      <c r="I104" s="14">
        <f>SUM('7.Önk.'!AZ27)</f>
        <v>4518</v>
      </c>
      <c r="J104" s="7"/>
      <c r="K104" s="28"/>
      <c r="L104" s="2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ht="18" customHeight="1" x14ac:dyDescent="0.25">
      <c r="A105" s="13" t="s">
        <v>199</v>
      </c>
      <c r="B105" s="157" t="s">
        <v>227</v>
      </c>
      <c r="C105" s="412">
        <f>'7.Önk.'!AV73</f>
        <v>32535</v>
      </c>
      <c r="D105" s="14">
        <f>SUM('7.Önk.'!AW73)</f>
        <v>37734</v>
      </c>
      <c r="E105" s="40">
        <f t="shared" si="1"/>
        <v>1188</v>
      </c>
      <c r="F105" s="14">
        <f>SUM('7.Önk.'!AX73)</f>
        <v>38922</v>
      </c>
      <c r="G105" s="40">
        <f t="shared" si="1"/>
        <v>1635</v>
      </c>
      <c r="H105" s="14">
        <f>SUM('7.Önk.'!AY73)</f>
        <v>40557</v>
      </c>
      <c r="I105" s="14">
        <f>SUM('7.Önk.'!AZ73)</f>
        <v>31856</v>
      </c>
      <c r="J105" s="7"/>
      <c r="K105" s="27"/>
      <c r="L105" s="2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ht="18" customHeight="1" x14ac:dyDescent="0.25">
      <c r="A106" s="13" t="s">
        <v>200</v>
      </c>
      <c r="B106" s="157" t="s">
        <v>373</v>
      </c>
      <c r="C106" s="412">
        <f>'7.Önk.'!AV74</f>
        <v>3589</v>
      </c>
      <c r="D106" s="14">
        <f>SUM('7.Önk.'!AW74)</f>
        <v>1500</v>
      </c>
      <c r="E106" s="40">
        <f t="shared" si="1"/>
        <v>0</v>
      </c>
      <c r="F106" s="14">
        <f>SUM('7.Önk.'!AX74)</f>
        <v>1500</v>
      </c>
      <c r="G106" s="40">
        <f t="shared" si="1"/>
        <v>1848</v>
      </c>
      <c r="H106" s="14">
        <f>SUM('7.Önk.'!AY74)</f>
        <v>3348</v>
      </c>
      <c r="I106" s="14">
        <f>SUM('7.Önk.'!AZ74)</f>
        <v>3330</v>
      </c>
      <c r="J106" s="7"/>
      <c r="K106" s="27"/>
      <c r="L106" s="2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ht="18" customHeight="1" x14ac:dyDescent="0.25">
      <c r="A107" s="56" t="s">
        <v>201</v>
      </c>
      <c r="B107" s="22" t="s">
        <v>300</v>
      </c>
      <c r="C107" s="412">
        <f>SUM(C108:C111)</f>
        <v>9964</v>
      </c>
      <c r="D107" s="14">
        <f>SUM(D108:D111)</f>
        <v>9600</v>
      </c>
      <c r="E107" s="40">
        <f t="shared" si="1"/>
        <v>339</v>
      </c>
      <c r="F107" s="14">
        <f>SUM(F108:F111)</f>
        <v>9939</v>
      </c>
      <c r="G107" s="40">
        <f t="shared" si="1"/>
        <v>6589</v>
      </c>
      <c r="H107" s="14">
        <f>SUM(H108:H111)</f>
        <v>16528</v>
      </c>
      <c r="I107" s="14">
        <f>SUM(I108:I111)</f>
        <v>9854</v>
      </c>
      <c r="J107" s="7"/>
      <c r="K107" s="27"/>
      <c r="L107" s="2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ht="15" customHeight="1" x14ac:dyDescent="0.2">
      <c r="A108" s="56"/>
      <c r="B108" s="8" t="s">
        <v>589</v>
      </c>
      <c r="C108" s="415">
        <f>SUM('4. Átadott p.eszk.'!B45)</f>
        <v>9884</v>
      </c>
      <c r="D108" s="31">
        <f>SUM('4. Átadott p.eszk.'!C45)</f>
        <v>9515</v>
      </c>
      <c r="E108" s="465">
        <f t="shared" si="1"/>
        <v>255</v>
      </c>
      <c r="F108" s="31">
        <f>SUM('4. Átadott p.eszk.'!E45)</f>
        <v>9770</v>
      </c>
      <c r="G108" s="465">
        <f t="shared" si="1"/>
        <v>0</v>
      </c>
      <c r="H108" s="31">
        <f>SUM('4. Átadott p.eszk.'!G45)</f>
        <v>9770</v>
      </c>
      <c r="I108" s="31">
        <f>SUM('4. Átadott p.eszk.'!H45)</f>
        <v>9769</v>
      </c>
      <c r="J108" s="7"/>
      <c r="K108" s="27"/>
      <c r="L108" s="2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ht="15" customHeight="1" x14ac:dyDescent="0.2">
      <c r="A109" s="56"/>
      <c r="B109" s="8" t="s">
        <v>301</v>
      </c>
      <c r="C109" s="415">
        <v>0</v>
      </c>
      <c r="D109" s="31">
        <v>0</v>
      </c>
      <c r="E109" s="465">
        <f t="shared" si="1"/>
        <v>84</v>
      </c>
      <c r="F109" s="31">
        <f>0+(-250+350-31-135)+4+30+116</f>
        <v>84</v>
      </c>
      <c r="G109" s="465">
        <f t="shared" si="1"/>
        <v>6589</v>
      </c>
      <c r="H109" s="31">
        <f>(0+(-250+350-31-135)+4+30+116)+1027-240-400-1080-1848+8300+830</f>
        <v>6673</v>
      </c>
      <c r="I109" s="31">
        <v>0</v>
      </c>
      <c r="J109" s="7"/>
      <c r="K109" s="27"/>
      <c r="L109" s="2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ht="15" customHeight="1" x14ac:dyDescent="0.2">
      <c r="A110" s="56"/>
      <c r="B110" s="8" t="s">
        <v>590</v>
      </c>
      <c r="C110" s="415">
        <v>80</v>
      </c>
      <c r="D110" s="31">
        <v>85</v>
      </c>
      <c r="E110" s="465">
        <f t="shared" si="1"/>
        <v>0</v>
      </c>
      <c r="F110" s="31">
        <v>85</v>
      </c>
      <c r="G110" s="465">
        <f t="shared" si="1"/>
        <v>0</v>
      </c>
      <c r="H110" s="31">
        <v>85</v>
      </c>
      <c r="I110" s="31">
        <v>85</v>
      </c>
      <c r="J110" s="7"/>
      <c r="K110" s="27"/>
      <c r="L110" s="2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ht="15" customHeight="1" x14ac:dyDescent="0.2">
      <c r="A111" s="56"/>
      <c r="B111" s="8" t="s">
        <v>591</v>
      </c>
      <c r="C111" s="415">
        <v>0</v>
      </c>
      <c r="D111" s="31">
        <v>0</v>
      </c>
      <c r="E111" s="465">
        <f t="shared" si="1"/>
        <v>0</v>
      </c>
      <c r="F111" s="31">
        <v>0</v>
      </c>
      <c r="G111" s="465">
        <f t="shared" si="1"/>
        <v>0</v>
      </c>
      <c r="H111" s="31">
        <v>0</v>
      </c>
      <c r="I111" s="31">
        <v>0</v>
      </c>
      <c r="J111" s="7"/>
      <c r="K111" s="28"/>
      <c r="L111" s="2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ht="15" hidden="1" customHeight="1" thickBot="1" x14ac:dyDescent="0.25">
      <c r="A112" s="56"/>
      <c r="B112" s="11"/>
      <c r="C112" s="415"/>
      <c r="D112" s="31"/>
      <c r="E112" s="465">
        <f t="shared" si="1"/>
        <v>0</v>
      </c>
      <c r="F112" s="31"/>
      <c r="G112" s="465">
        <f t="shared" si="1"/>
        <v>0</v>
      </c>
      <c r="H112" s="31"/>
      <c r="I112" s="31"/>
      <c r="J112" s="7"/>
      <c r="K112" s="28">
        <f>D112-C112</f>
        <v>0</v>
      </c>
      <c r="L112" s="27"/>
      <c r="M112" s="2"/>
      <c r="N112" s="251">
        <f t="shared" ref="N112" si="4">(6000+6000+6000)-5635</f>
        <v>12365</v>
      </c>
      <c r="O112" s="2" t="s">
        <v>574</v>
      </c>
      <c r="P112" s="2"/>
      <c r="Q112" s="2"/>
      <c r="R112" s="2"/>
      <c r="S112" s="2"/>
      <c r="T112" s="2"/>
      <c r="U112" s="7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ht="21.75" customHeight="1" x14ac:dyDescent="0.25">
      <c r="A113" s="13" t="s">
        <v>187</v>
      </c>
      <c r="B113" s="205" t="s">
        <v>336</v>
      </c>
      <c r="C113" s="425">
        <f>SUM(C114)</f>
        <v>1037</v>
      </c>
      <c r="D113" s="208">
        <f>SUM(D114)</f>
        <v>933</v>
      </c>
      <c r="E113" s="208">
        <f t="shared" si="1"/>
        <v>0</v>
      </c>
      <c r="F113" s="208">
        <f>SUM(F114)</f>
        <v>933</v>
      </c>
      <c r="G113" s="208">
        <f t="shared" si="1"/>
        <v>0</v>
      </c>
      <c r="H113" s="208">
        <f>SUM(H114)</f>
        <v>933</v>
      </c>
      <c r="I113" s="208">
        <f>SUM(I114)</f>
        <v>932</v>
      </c>
      <c r="J113" s="7"/>
      <c r="K113" s="27"/>
      <c r="L113" s="27"/>
      <c r="M113" s="2"/>
      <c r="N113" s="2"/>
      <c r="O113" s="2"/>
      <c r="P113" s="2"/>
      <c r="Q113" s="2"/>
      <c r="R113" s="2"/>
      <c r="S113" s="2"/>
      <c r="T113" s="2"/>
      <c r="U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15.75" customHeight="1" thickBot="1" x14ac:dyDescent="0.25">
      <c r="A114" s="168" t="s">
        <v>363</v>
      </c>
      <c r="B114" s="193" t="s">
        <v>497</v>
      </c>
      <c r="C114" s="415">
        <v>1037</v>
      </c>
      <c r="D114" s="31">
        <v>933</v>
      </c>
      <c r="E114" s="465">
        <f t="shared" si="1"/>
        <v>0</v>
      </c>
      <c r="F114" s="31">
        <v>933</v>
      </c>
      <c r="G114" s="465">
        <f t="shared" si="1"/>
        <v>0</v>
      </c>
      <c r="H114" s="31">
        <v>933</v>
      </c>
      <c r="I114" s="31">
        <v>932</v>
      </c>
      <c r="J114" s="7"/>
      <c r="K114" s="27">
        <v>932347</v>
      </c>
      <c r="L114" s="2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ht="24" customHeight="1" thickBot="1" x14ac:dyDescent="0.25">
      <c r="A115" s="168"/>
      <c r="B115" s="47" t="s">
        <v>235</v>
      </c>
      <c r="C115" s="429">
        <f>SUM(C102+C113)</f>
        <v>83451</v>
      </c>
      <c r="D115" s="255">
        <f>SUM(D102+D113)</f>
        <v>90611</v>
      </c>
      <c r="E115" s="466">
        <f t="shared" si="1"/>
        <v>2868</v>
      </c>
      <c r="F115" s="255">
        <f>SUM(F102+F113)</f>
        <v>93479</v>
      </c>
      <c r="G115" s="466">
        <f t="shared" si="1"/>
        <v>10467</v>
      </c>
      <c r="H115" s="255">
        <f>SUM(H102+H113)</f>
        <v>103946</v>
      </c>
      <c r="I115" s="255">
        <f>SUM(I102+I113)</f>
        <v>87518</v>
      </c>
      <c r="J115" s="7"/>
      <c r="K115" s="27"/>
      <c r="L115" s="2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ht="15.75" customHeight="1" x14ac:dyDescent="0.2">
      <c r="B116" s="2"/>
      <c r="C116" s="7"/>
      <c r="D116" s="7"/>
      <c r="E116" s="7"/>
      <c r="F116" s="7"/>
      <c r="G116" s="7"/>
      <c r="H116" s="7"/>
      <c r="I116" s="7"/>
      <c r="J116" s="7"/>
      <c r="K116" s="27"/>
      <c r="L116" s="2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ht="15.75" customHeight="1" x14ac:dyDescent="0.2">
      <c r="I117" s="2"/>
      <c r="J117" s="7"/>
      <c r="K117" s="27"/>
      <c r="L117" s="2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ht="15.75" customHeight="1" x14ac:dyDescent="0.2">
      <c r="I118" s="2"/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ht="15.75" customHeight="1" x14ac:dyDescent="0.2">
      <c r="I119" s="2"/>
      <c r="J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ht="15.75" customHeight="1" x14ac:dyDescent="0.2">
      <c r="I120" s="2"/>
      <c r="J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ht="15.75" customHeight="1" x14ac:dyDescent="0.2">
      <c r="I121" s="2"/>
      <c r="J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1:48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1:48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2:48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2:48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2:48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2:48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2:48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2:48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2:48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2:48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2:48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2:48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2:48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2:48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2:48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2:48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2:48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2:48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2:48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2:48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2:48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2:48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2:48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2:48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2:48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2:48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2:48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2:48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2:48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2:48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2:48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2:48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2:48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2:48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2:48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2:48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2:48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2:48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2:48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2:48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2:48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2:48" ht="15.7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2:48" ht="15.75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2:48" ht="15.75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2:48" ht="15.75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2:48" ht="15.75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2:48" ht="15.75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2:48" ht="15.7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2:48" ht="15.75" customHeight="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2:48" ht="15.75" customHeight="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2:48" ht="15.75" customHeight="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2:48" ht="15.75" customHeight="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2:48" ht="15.75" customHeight="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2:48" ht="15.75" customHeight="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2:48" ht="15.75" customHeight="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2:48" ht="15.75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2:48" ht="15.75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2:48" ht="15.75" customHeight="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2:48" ht="15.75" customHeight="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2:48" ht="15.75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2:48" ht="15.75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2:48" ht="15.75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2:48" ht="15.75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2:48" ht="15.75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2:48" ht="15.75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2:48" ht="15.75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2:48" ht="15.75" customHeight="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2:48" ht="15.75" customHeight="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2:48" ht="15.75" customHeight="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2:48" ht="15.75" customHeight="1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2:48" ht="15.75" customHeight="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2:48" ht="15.75" customHeight="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2:48" ht="15.75" customHeight="1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2:48" ht="15.75" customHeight="1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2:48" ht="15.75" customHeight="1" x14ac:dyDescent="0.2">
      <c r="B201" s="2"/>
      <c r="C201" s="2"/>
      <c r="D201" s="2"/>
      <c r="E201" s="2"/>
      <c r="F201" s="2"/>
      <c r="G201" s="2"/>
      <c r="H201" s="2"/>
      <c r="I201" s="2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2:48" ht="15.75" customHeight="1" x14ac:dyDescent="0.2">
      <c r="B202" s="2"/>
      <c r="C202" s="2"/>
      <c r="D202" s="2"/>
      <c r="E202" s="2"/>
      <c r="F202" s="2"/>
      <c r="G202" s="2"/>
      <c r="H202" s="2"/>
      <c r="I202" s="2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2:48" ht="15.75" customHeight="1" x14ac:dyDescent="0.2">
      <c r="B203" s="2"/>
      <c r="C203" s="2"/>
      <c r="D203" s="2"/>
      <c r="E203" s="2"/>
      <c r="F203" s="2"/>
      <c r="G203" s="2"/>
      <c r="H203" s="2"/>
      <c r="I203" s="2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2:48" ht="15.75" customHeight="1" x14ac:dyDescent="0.2">
      <c r="B204" s="2"/>
      <c r="C204" s="2"/>
      <c r="D204" s="2"/>
      <c r="E204" s="2"/>
      <c r="F204" s="2"/>
      <c r="G204" s="2"/>
      <c r="H204" s="2"/>
      <c r="I204" s="2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2:48" ht="15.75" customHeight="1" x14ac:dyDescent="0.2">
      <c r="B205" s="2"/>
      <c r="C205" s="2"/>
      <c r="D205" s="2"/>
      <c r="E205" s="2"/>
      <c r="F205" s="2"/>
      <c r="G205" s="2"/>
      <c r="H205" s="2"/>
      <c r="I205" s="2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2:48" ht="15.75" customHeight="1" x14ac:dyDescent="0.2">
      <c r="B206" s="2"/>
      <c r="C206" s="2"/>
      <c r="D206" s="2"/>
      <c r="E206" s="2"/>
      <c r="F206" s="2"/>
      <c r="G206" s="2"/>
      <c r="H206" s="2"/>
      <c r="I206" s="2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2:48" ht="15.75" customHeight="1" x14ac:dyDescent="0.2">
      <c r="B207" s="2"/>
      <c r="C207" s="2"/>
      <c r="D207" s="2"/>
      <c r="E207" s="2"/>
      <c r="F207" s="2"/>
      <c r="G207" s="2"/>
      <c r="H207" s="2"/>
      <c r="I207" s="2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2:48" ht="15.75" customHeight="1" x14ac:dyDescent="0.2">
      <c r="B208" s="2"/>
      <c r="C208" s="2"/>
      <c r="D208" s="2"/>
      <c r="E208" s="2"/>
      <c r="F208" s="2"/>
      <c r="G208" s="2"/>
      <c r="H208" s="2"/>
      <c r="I208" s="2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2:48" ht="15.75" customHeight="1" x14ac:dyDescent="0.2">
      <c r="B209" s="2"/>
      <c r="C209" s="2"/>
      <c r="D209" s="2"/>
      <c r="E209" s="2"/>
      <c r="F209" s="2"/>
      <c r="G209" s="2"/>
      <c r="H209" s="2"/>
      <c r="I209" s="2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2:48" ht="15.75" customHeight="1" x14ac:dyDescent="0.2">
      <c r="B210" s="2"/>
      <c r="C210" s="2"/>
      <c r="D210" s="2"/>
      <c r="E210" s="2"/>
      <c r="F210" s="2"/>
      <c r="G210" s="2"/>
      <c r="H210" s="2"/>
      <c r="I210" s="2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2:48" ht="15.75" customHeight="1" x14ac:dyDescent="0.2">
      <c r="B211" s="2"/>
      <c r="C211" s="2"/>
      <c r="D211" s="2"/>
      <c r="E211" s="2"/>
      <c r="F211" s="2"/>
      <c r="G211" s="2"/>
      <c r="H211" s="2"/>
      <c r="I211" s="2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2:48" ht="15.75" customHeight="1" x14ac:dyDescent="0.2">
      <c r="B212" s="2"/>
      <c r="C212" s="2"/>
      <c r="D212" s="2"/>
      <c r="E212" s="2"/>
      <c r="F212" s="2"/>
      <c r="G212" s="2"/>
      <c r="H212" s="2"/>
      <c r="I212" s="2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2:48" ht="15.75" customHeight="1" x14ac:dyDescent="0.2">
      <c r="B213" s="2"/>
      <c r="C213" s="2"/>
      <c r="D213" s="2"/>
      <c r="E213" s="2"/>
      <c r="F213" s="2"/>
      <c r="G213" s="2"/>
      <c r="H213" s="2"/>
      <c r="I213" s="2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2:48" ht="15.75" customHeight="1" x14ac:dyDescent="0.2">
      <c r="B214" s="2"/>
      <c r="C214" s="2"/>
      <c r="D214" s="2"/>
      <c r="E214" s="2"/>
      <c r="F214" s="2"/>
      <c r="G214" s="2"/>
      <c r="H214" s="2"/>
      <c r="I214" s="2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2:48" ht="15.75" customHeight="1" x14ac:dyDescent="0.2">
      <c r="B215" s="2"/>
      <c r="C215" s="2"/>
      <c r="D215" s="2"/>
      <c r="E215" s="2"/>
      <c r="F215" s="2"/>
      <c r="G215" s="2"/>
      <c r="H215" s="2"/>
      <c r="I215" s="2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2:48" ht="15.75" customHeight="1" x14ac:dyDescent="0.2">
      <c r="B216" s="2"/>
      <c r="C216" s="2"/>
      <c r="D216" s="2"/>
      <c r="E216" s="2"/>
      <c r="F216" s="2"/>
      <c r="G216" s="2"/>
      <c r="H216" s="2"/>
      <c r="I216" s="2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2:48" ht="15.75" customHeight="1" x14ac:dyDescent="0.2">
      <c r="B217" s="2"/>
      <c r="C217" s="2"/>
      <c r="D217" s="2"/>
      <c r="E217" s="2"/>
      <c r="F217" s="2"/>
      <c r="G217" s="2"/>
      <c r="H217" s="2"/>
      <c r="I217" s="2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2:48" ht="15.75" customHeight="1" x14ac:dyDescent="0.2">
      <c r="B218" s="2"/>
      <c r="C218" s="2"/>
      <c r="D218" s="2"/>
      <c r="E218" s="2"/>
      <c r="F218" s="2"/>
      <c r="G218" s="2"/>
      <c r="H218" s="2"/>
      <c r="I218" s="2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2:48" ht="15.75" customHeight="1" x14ac:dyDescent="0.2">
      <c r="B219" s="2"/>
      <c r="C219" s="2"/>
      <c r="D219" s="2"/>
      <c r="E219" s="2"/>
      <c r="F219" s="2"/>
      <c r="G219" s="2"/>
      <c r="H219" s="2"/>
      <c r="I219" s="2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2:48" ht="15.75" customHeight="1" x14ac:dyDescent="0.2">
      <c r="B220" s="2"/>
      <c r="C220" s="2"/>
      <c r="D220" s="2"/>
      <c r="E220" s="2"/>
      <c r="F220" s="2"/>
      <c r="G220" s="2"/>
      <c r="H220" s="2"/>
      <c r="I220" s="2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2:48" ht="15.75" customHeight="1" x14ac:dyDescent="0.2">
      <c r="B221" s="2"/>
      <c r="C221" s="2"/>
      <c r="D221" s="2"/>
      <c r="E221" s="2"/>
      <c r="F221" s="2"/>
      <c r="G221" s="2"/>
      <c r="H221" s="2"/>
      <c r="I221" s="2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2:48" ht="15.75" customHeight="1" x14ac:dyDescent="0.2">
      <c r="B222" s="2"/>
      <c r="C222" s="2"/>
      <c r="D222" s="2"/>
      <c r="E222" s="2"/>
      <c r="F222" s="2"/>
      <c r="G222" s="2"/>
      <c r="H222" s="2"/>
      <c r="I222" s="2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2:48" ht="15.75" customHeight="1" x14ac:dyDescent="0.2">
      <c r="B223" s="2"/>
      <c r="C223" s="2"/>
      <c r="D223" s="2"/>
      <c r="E223" s="2"/>
      <c r="F223" s="2"/>
      <c r="G223" s="2"/>
      <c r="H223" s="2"/>
      <c r="I223" s="2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2:48" ht="15.75" customHeight="1" x14ac:dyDescent="0.2">
      <c r="B224" s="2"/>
      <c r="C224" s="2"/>
      <c r="D224" s="2"/>
      <c r="E224" s="2"/>
      <c r="F224" s="2"/>
      <c r="G224" s="2"/>
      <c r="H224" s="2"/>
      <c r="I224" s="2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2:48" ht="15.75" customHeight="1" x14ac:dyDescent="0.2">
      <c r="B225" s="2"/>
      <c r="C225" s="2"/>
      <c r="D225" s="2"/>
      <c r="E225" s="2"/>
      <c r="F225" s="2"/>
      <c r="G225" s="2"/>
      <c r="H225" s="2"/>
      <c r="I225" s="2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2:48" ht="15.75" customHeight="1" x14ac:dyDescent="0.2">
      <c r="B226" s="2"/>
      <c r="C226" s="2"/>
      <c r="D226" s="2"/>
      <c r="E226" s="2"/>
      <c r="F226" s="2"/>
      <c r="G226" s="2"/>
      <c r="H226" s="2"/>
      <c r="I226" s="2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2:48" ht="15.75" customHeight="1" x14ac:dyDescent="0.2">
      <c r="B227" s="2"/>
      <c r="C227" s="2"/>
      <c r="D227" s="2"/>
      <c r="E227" s="2"/>
      <c r="F227" s="2"/>
      <c r="G227" s="2"/>
      <c r="H227" s="2"/>
      <c r="I227" s="2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2:48" ht="15.75" customHeight="1" x14ac:dyDescent="0.2">
      <c r="B228" s="2"/>
      <c r="C228" s="2"/>
      <c r="D228" s="2"/>
      <c r="E228" s="2"/>
      <c r="F228" s="2"/>
      <c r="G228" s="2"/>
      <c r="H228" s="2"/>
      <c r="I228" s="2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2:48" ht="15.75" customHeight="1" x14ac:dyDescent="0.2">
      <c r="B229" s="2"/>
      <c r="C229" s="2"/>
      <c r="D229" s="2"/>
      <c r="E229" s="2"/>
      <c r="F229" s="2"/>
      <c r="G229" s="2"/>
      <c r="H229" s="2"/>
      <c r="I229" s="2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2:48" ht="15.75" customHeight="1" x14ac:dyDescent="0.2">
      <c r="B230" s="2"/>
      <c r="C230" s="2"/>
      <c r="D230" s="2"/>
      <c r="E230" s="2"/>
      <c r="F230" s="2"/>
      <c r="G230" s="2"/>
      <c r="H230" s="2"/>
      <c r="I230" s="2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2:48" ht="15.75" customHeight="1" x14ac:dyDescent="0.2">
      <c r="B231" s="2"/>
      <c r="C231" s="2"/>
      <c r="D231" s="2"/>
      <c r="E231" s="2"/>
      <c r="F231" s="2"/>
      <c r="G231" s="2"/>
      <c r="H231" s="2"/>
      <c r="I231" s="2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2:48" ht="15.75" customHeight="1" x14ac:dyDescent="0.2">
      <c r="B232" s="2"/>
      <c r="C232" s="2"/>
      <c r="D232" s="2"/>
      <c r="E232" s="2"/>
      <c r="F232" s="2"/>
      <c r="G232" s="2"/>
      <c r="H232" s="2"/>
      <c r="I232" s="2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2:48" ht="15.75" customHeight="1" x14ac:dyDescent="0.2">
      <c r="B233" s="2"/>
      <c r="C233" s="2"/>
      <c r="D233" s="2"/>
      <c r="E233" s="2"/>
      <c r="F233" s="2"/>
      <c r="G233" s="2"/>
      <c r="H233" s="2"/>
      <c r="I233" s="2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2:48" ht="15.75" customHeight="1" x14ac:dyDescent="0.2">
      <c r="B234" s="2"/>
      <c r="C234" s="2"/>
      <c r="D234" s="2"/>
      <c r="E234" s="2"/>
      <c r="F234" s="2"/>
      <c r="G234" s="2"/>
      <c r="H234" s="2"/>
      <c r="I234" s="2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2:48" ht="15.75" customHeight="1" x14ac:dyDescent="0.2">
      <c r="B235" s="2"/>
      <c r="C235" s="2"/>
      <c r="D235" s="2"/>
      <c r="E235" s="2"/>
      <c r="F235" s="2"/>
      <c r="G235" s="2"/>
      <c r="H235" s="2"/>
      <c r="I235" s="2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2:48" ht="15.75" customHeight="1" x14ac:dyDescent="0.2">
      <c r="B236" s="2"/>
      <c r="C236" s="2"/>
      <c r="D236" s="2"/>
      <c r="E236" s="2"/>
      <c r="F236" s="2"/>
      <c r="G236" s="2"/>
      <c r="H236" s="2"/>
      <c r="I236" s="2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2:48" ht="15.75" customHeight="1" x14ac:dyDescent="0.2">
      <c r="B237" s="2"/>
      <c r="C237" s="2"/>
      <c r="D237" s="2"/>
      <c r="E237" s="2"/>
      <c r="F237" s="2"/>
      <c r="G237" s="2"/>
      <c r="H237" s="2"/>
      <c r="I237" s="2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2:48" ht="15.75" customHeight="1" x14ac:dyDescent="0.2">
      <c r="B238" s="2"/>
      <c r="C238" s="2"/>
      <c r="D238" s="2"/>
      <c r="E238" s="2"/>
      <c r="F238" s="2"/>
      <c r="G238" s="2"/>
      <c r="H238" s="2"/>
      <c r="I238" s="2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2:48" ht="15.75" customHeight="1" x14ac:dyDescent="0.2">
      <c r="B239" s="2"/>
      <c r="C239" s="2"/>
      <c r="D239" s="2"/>
      <c r="E239" s="2"/>
      <c r="F239" s="2"/>
      <c r="G239" s="2"/>
      <c r="H239" s="2"/>
      <c r="I239" s="2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2:48" ht="15.75" customHeight="1" x14ac:dyDescent="0.2">
      <c r="B240" s="2"/>
      <c r="C240" s="2"/>
      <c r="D240" s="2"/>
      <c r="E240" s="2"/>
      <c r="F240" s="2"/>
      <c r="G240" s="2"/>
      <c r="H240" s="2"/>
      <c r="I240" s="2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2:48" ht="15.75" customHeight="1" x14ac:dyDescent="0.2">
      <c r="B241" s="2"/>
      <c r="C241" s="2"/>
      <c r="D241" s="2"/>
      <c r="E241" s="2"/>
      <c r="F241" s="2"/>
      <c r="G241" s="2"/>
      <c r="H241" s="2"/>
      <c r="I241" s="2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2:48" ht="15.75" customHeight="1" x14ac:dyDescent="0.2">
      <c r="B242" s="2"/>
      <c r="C242" s="2"/>
      <c r="D242" s="2"/>
      <c r="E242" s="2"/>
      <c r="F242" s="2"/>
      <c r="G242" s="2"/>
      <c r="H242" s="2"/>
      <c r="I242" s="2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2:48" ht="15.75" customHeight="1" x14ac:dyDescent="0.2">
      <c r="B243" s="2"/>
      <c r="C243" s="2"/>
      <c r="D243" s="2"/>
      <c r="E243" s="2"/>
      <c r="F243" s="2"/>
      <c r="G243" s="2"/>
      <c r="H243" s="2"/>
      <c r="I243" s="2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2:48" ht="15.75" customHeight="1" x14ac:dyDescent="0.2">
      <c r="B244" s="2"/>
      <c r="C244" s="2"/>
      <c r="D244" s="2"/>
      <c r="E244" s="2"/>
      <c r="F244" s="2"/>
      <c r="G244" s="2"/>
      <c r="H244" s="2"/>
      <c r="I244" s="2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2:48" ht="15.75" customHeight="1" x14ac:dyDescent="0.2">
      <c r="B245" s="2"/>
      <c r="C245" s="2"/>
      <c r="D245" s="2"/>
      <c r="E245" s="2"/>
      <c r="F245" s="2"/>
      <c r="G245" s="2"/>
      <c r="H245" s="2"/>
      <c r="I245" s="2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2:48" ht="15.75" customHeight="1" x14ac:dyDescent="0.2">
      <c r="B246" s="2"/>
      <c r="C246" s="2"/>
      <c r="D246" s="2"/>
      <c r="E246" s="2"/>
      <c r="F246" s="2"/>
      <c r="G246" s="2"/>
      <c r="H246" s="2"/>
      <c r="I246" s="2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2:48" ht="15.75" customHeight="1" x14ac:dyDescent="0.2">
      <c r="B247" s="2"/>
      <c r="C247" s="2"/>
      <c r="D247" s="2"/>
      <c r="E247" s="2"/>
      <c r="F247" s="2"/>
      <c r="G247" s="2"/>
      <c r="H247" s="2"/>
      <c r="I247" s="2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2:48" ht="15.75" customHeight="1" x14ac:dyDescent="0.2">
      <c r="B248" s="2"/>
      <c r="C248" s="2"/>
      <c r="D248" s="2"/>
      <c r="E248" s="2"/>
      <c r="F248" s="2"/>
      <c r="G248" s="2"/>
      <c r="H248" s="2"/>
      <c r="I248" s="2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2:48" ht="15.75" customHeight="1" x14ac:dyDescent="0.2">
      <c r="B249" s="2"/>
      <c r="C249" s="2"/>
      <c r="D249" s="2"/>
      <c r="E249" s="2"/>
      <c r="F249" s="2"/>
      <c r="G249" s="2"/>
      <c r="H249" s="2"/>
      <c r="I249" s="2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2:48" ht="15.75" customHeight="1" x14ac:dyDescent="0.2">
      <c r="B250" s="2"/>
      <c r="C250" s="2"/>
      <c r="D250" s="2"/>
      <c r="E250" s="2"/>
      <c r="F250" s="2"/>
      <c r="G250" s="2"/>
      <c r="H250" s="2"/>
      <c r="I250" s="2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2:48" ht="15.75" customHeight="1" x14ac:dyDescent="0.2">
      <c r="B251" s="2"/>
      <c r="C251" s="2"/>
      <c r="D251" s="2"/>
      <c r="E251" s="2"/>
      <c r="F251" s="2"/>
      <c r="G251" s="2"/>
      <c r="H251" s="2"/>
      <c r="I251" s="2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2:48" ht="15.75" customHeight="1" x14ac:dyDescent="0.2">
      <c r="B252" s="2"/>
      <c r="C252" s="2"/>
      <c r="D252" s="2"/>
      <c r="E252" s="2"/>
      <c r="F252" s="2"/>
      <c r="G252" s="2"/>
      <c r="H252" s="2"/>
      <c r="I252" s="2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2:48" ht="15.75" customHeight="1" x14ac:dyDescent="0.2">
      <c r="B253" s="2"/>
      <c r="C253" s="2"/>
      <c r="D253" s="2"/>
      <c r="E253" s="2"/>
      <c r="F253" s="2"/>
      <c r="G253" s="2"/>
      <c r="H253" s="2"/>
      <c r="I253" s="2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2:48" ht="15.75" customHeight="1" x14ac:dyDescent="0.2">
      <c r="B254" s="2"/>
      <c r="C254" s="2"/>
      <c r="D254" s="2"/>
      <c r="E254" s="2"/>
      <c r="F254" s="2"/>
      <c r="G254" s="2"/>
      <c r="H254" s="2"/>
      <c r="I254" s="2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2:48" ht="15.75" customHeight="1" x14ac:dyDescent="0.2">
      <c r="B255" s="2"/>
      <c r="C255" s="2"/>
      <c r="D255" s="2"/>
      <c r="E255" s="2"/>
      <c r="F255" s="2"/>
      <c r="G255" s="2"/>
      <c r="H255" s="2"/>
      <c r="I255" s="2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2:48" ht="15.75" customHeight="1" x14ac:dyDescent="0.2">
      <c r="B256" s="2"/>
      <c r="C256" s="2"/>
      <c r="D256" s="2"/>
      <c r="E256" s="2"/>
      <c r="F256" s="2"/>
      <c r="G256" s="2"/>
      <c r="H256" s="2"/>
      <c r="I256" s="2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2:48" ht="15.75" customHeight="1" x14ac:dyDescent="0.2">
      <c r="B257" s="2"/>
      <c r="C257" s="2"/>
      <c r="D257" s="2"/>
      <c r="E257" s="2"/>
      <c r="F257" s="2"/>
      <c r="G257" s="2"/>
      <c r="H257" s="2"/>
      <c r="I257" s="2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2:48" ht="15.75" customHeight="1" x14ac:dyDescent="0.2">
      <c r="B258" s="2"/>
      <c r="C258" s="2"/>
      <c r="D258" s="2"/>
      <c r="E258" s="2"/>
      <c r="F258" s="2"/>
      <c r="G258" s="2"/>
      <c r="H258" s="2"/>
      <c r="I258" s="2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2:48" ht="15.75" customHeight="1" x14ac:dyDescent="0.2">
      <c r="B259" s="2"/>
      <c r="C259" s="2"/>
      <c r="D259" s="2"/>
      <c r="E259" s="2"/>
      <c r="F259" s="2"/>
      <c r="G259" s="2"/>
      <c r="H259" s="2"/>
      <c r="I259" s="2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2:48" ht="15.75" customHeight="1" x14ac:dyDescent="0.2">
      <c r="B260" s="2"/>
      <c r="C260" s="2"/>
      <c r="D260" s="2"/>
      <c r="E260" s="2"/>
      <c r="F260" s="2"/>
      <c r="G260" s="2"/>
      <c r="H260" s="2"/>
      <c r="I260" s="2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2:48" ht="15.75" customHeight="1" x14ac:dyDescent="0.2">
      <c r="B261" s="2"/>
      <c r="C261" s="2"/>
      <c r="D261" s="2"/>
      <c r="E261" s="2"/>
      <c r="F261" s="2"/>
      <c r="G261" s="2"/>
      <c r="H261" s="2"/>
      <c r="I261" s="2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2:48" ht="15.75" customHeight="1" x14ac:dyDescent="0.2">
      <c r="B262" s="2"/>
      <c r="C262" s="2"/>
      <c r="D262" s="2"/>
      <c r="E262" s="2"/>
      <c r="F262" s="2"/>
      <c r="G262" s="2"/>
      <c r="H262" s="2"/>
      <c r="I262" s="2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2:48" ht="15.75" customHeight="1" x14ac:dyDescent="0.2">
      <c r="B263" s="2"/>
      <c r="C263" s="2"/>
      <c r="D263" s="2"/>
      <c r="E263" s="2"/>
      <c r="F263" s="2"/>
      <c r="G263" s="2"/>
      <c r="H263" s="2"/>
      <c r="I263" s="2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2:48" ht="15.75" customHeight="1" x14ac:dyDescent="0.2">
      <c r="B264" s="2"/>
      <c r="C264" s="2"/>
      <c r="D264" s="2"/>
      <c r="E264" s="2"/>
      <c r="F264" s="2"/>
      <c r="G264" s="2"/>
      <c r="H264" s="2"/>
      <c r="I264" s="2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2:48" ht="15.75" customHeight="1" x14ac:dyDescent="0.2">
      <c r="B265" s="2"/>
      <c r="C265" s="2"/>
      <c r="D265" s="2"/>
      <c r="E265" s="2"/>
      <c r="F265" s="2"/>
      <c r="G265" s="2"/>
      <c r="H265" s="2"/>
      <c r="I265" s="2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2:48" ht="15.75" customHeight="1" x14ac:dyDescent="0.2">
      <c r="B266" s="2"/>
      <c r="C266" s="2"/>
      <c r="D266" s="2"/>
      <c r="E266" s="2"/>
      <c r="F266" s="2"/>
      <c r="G266" s="2"/>
      <c r="H266" s="2"/>
      <c r="I266" s="2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2:48" ht="15.75" customHeight="1" x14ac:dyDescent="0.2">
      <c r="B267" s="2"/>
      <c r="C267" s="2"/>
      <c r="D267" s="2"/>
      <c r="E267" s="2"/>
      <c r="F267" s="2"/>
      <c r="G267" s="2"/>
      <c r="H267" s="2"/>
      <c r="I267" s="2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2:48" ht="15.75" customHeight="1" x14ac:dyDescent="0.2">
      <c r="B268" s="2"/>
      <c r="C268" s="2"/>
      <c r="D268" s="2"/>
      <c r="E268" s="2"/>
      <c r="F268" s="2"/>
      <c r="G268" s="2"/>
      <c r="H268" s="2"/>
      <c r="I268" s="2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2:48" ht="15.75" customHeight="1" x14ac:dyDescent="0.2">
      <c r="B269" s="2"/>
      <c r="C269" s="2"/>
      <c r="D269" s="2"/>
      <c r="E269" s="2"/>
      <c r="F269" s="2"/>
      <c r="G269" s="2"/>
      <c r="H269" s="2"/>
      <c r="I269" s="2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2:48" ht="15.75" customHeight="1" x14ac:dyDescent="0.2">
      <c r="B270" s="2"/>
      <c r="C270" s="2"/>
      <c r="D270" s="2"/>
      <c r="E270" s="2"/>
      <c r="F270" s="2"/>
      <c r="G270" s="2"/>
      <c r="H270" s="2"/>
      <c r="I270" s="2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2:48" ht="15.75" customHeight="1" x14ac:dyDescent="0.2">
      <c r="B271" s="2"/>
      <c r="C271" s="2"/>
      <c r="D271" s="2"/>
      <c r="E271" s="2"/>
      <c r="F271" s="2"/>
      <c r="G271" s="2"/>
      <c r="H271" s="2"/>
      <c r="I271" s="2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2:48" ht="15.75" customHeight="1" x14ac:dyDescent="0.2">
      <c r="B272" s="2"/>
      <c r="C272" s="2"/>
      <c r="D272" s="2"/>
      <c r="E272" s="2"/>
      <c r="F272" s="2"/>
      <c r="G272" s="2"/>
      <c r="H272" s="2"/>
      <c r="I272" s="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2:48" ht="15.75" customHeight="1" x14ac:dyDescent="0.2">
      <c r="B273" s="2"/>
      <c r="C273" s="2"/>
      <c r="D273" s="2"/>
      <c r="E273" s="2"/>
      <c r="F273" s="2"/>
      <c r="G273" s="2"/>
      <c r="H273" s="2"/>
      <c r="I273" s="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2:48" ht="15.75" customHeight="1" x14ac:dyDescent="0.2">
      <c r="B274" s="2"/>
      <c r="C274" s="2"/>
      <c r="D274" s="2"/>
      <c r="E274" s="2"/>
      <c r="F274" s="2"/>
      <c r="G274" s="2"/>
      <c r="H274" s="2"/>
      <c r="I274" s="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2:48" ht="15.75" customHeight="1" x14ac:dyDescent="0.2">
      <c r="B275" s="2"/>
      <c r="C275" s="2"/>
      <c r="D275" s="2"/>
      <c r="E275" s="2"/>
      <c r="F275" s="2"/>
      <c r="G275" s="2"/>
      <c r="H275" s="2"/>
      <c r="I275" s="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2:48" ht="15.75" customHeight="1" x14ac:dyDescent="0.2">
      <c r="B276" s="2"/>
      <c r="C276" s="2"/>
      <c r="D276" s="2"/>
      <c r="E276" s="2"/>
      <c r="F276" s="2"/>
      <c r="G276" s="2"/>
      <c r="H276" s="2"/>
      <c r="I276" s="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2:48" ht="15.75" customHeight="1" x14ac:dyDescent="0.2">
      <c r="B277" s="2"/>
      <c r="C277" s="2"/>
      <c r="D277" s="2"/>
      <c r="E277" s="2"/>
      <c r="F277" s="2"/>
      <c r="G277" s="2"/>
      <c r="H277" s="2"/>
      <c r="I277" s="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2:48" ht="15.75" customHeight="1" x14ac:dyDescent="0.2">
      <c r="B278" s="2"/>
      <c r="C278" s="2"/>
      <c r="D278" s="2"/>
      <c r="E278" s="2"/>
      <c r="F278" s="2"/>
      <c r="G278" s="2"/>
      <c r="H278" s="2"/>
      <c r="I278" s="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2:48" ht="15.75" customHeight="1" x14ac:dyDescent="0.2">
      <c r="B279" s="2"/>
      <c r="C279" s="2"/>
      <c r="D279" s="2"/>
      <c r="E279" s="2"/>
      <c r="F279" s="2"/>
      <c r="G279" s="2"/>
      <c r="H279" s="2"/>
      <c r="I279" s="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2:48" ht="15.75" customHeight="1" x14ac:dyDescent="0.2">
      <c r="B280" s="2"/>
      <c r="C280" s="2"/>
      <c r="D280" s="2"/>
      <c r="E280" s="2"/>
      <c r="F280" s="2"/>
      <c r="G280" s="2"/>
      <c r="H280" s="2"/>
      <c r="I280" s="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2:48" ht="15.75" customHeight="1" x14ac:dyDescent="0.2">
      <c r="B281" s="2"/>
      <c r="C281" s="2"/>
      <c r="D281" s="2"/>
      <c r="E281" s="2"/>
      <c r="F281" s="2"/>
      <c r="G281" s="2"/>
      <c r="H281" s="2"/>
      <c r="I281" s="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2:48" ht="15.75" customHeight="1" x14ac:dyDescent="0.2">
      <c r="B282" s="2"/>
      <c r="C282" s="2"/>
      <c r="D282" s="2"/>
      <c r="E282" s="2"/>
      <c r="F282" s="2"/>
      <c r="G282" s="2"/>
      <c r="H282" s="2"/>
      <c r="I282" s="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2:48" ht="15.75" customHeight="1" x14ac:dyDescent="0.2">
      <c r="B283" s="2"/>
      <c r="C283" s="2"/>
      <c r="D283" s="2"/>
      <c r="E283" s="2"/>
      <c r="F283" s="2"/>
      <c r="G283" s="2"/>
      <c r="H283" s="2"/>
      <c r="I283" s="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2:48" ht="15.75" customHeight="1" x14ac:dyDescent="0.2">
      <c r="B284" s="2"/>
      <c r="C284" s="2"/>
      <c r="D284" s="2"/>
      <c r="E284" s="2"/>
      <c r="F284" s="2"/>
      <c r="G284" s="2"/>
      <c r="H284" s="2"/>
      <c r="I284" s="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2:48" ht="15.75" customHeight="1" x14ac:dyDescent="0.2">
      <c r="B285" s="2"/>
      <c r="C285" s="2"/>
      <c r="D285" s="2"/>
      <c r="E285" s="2"/>
      <c r="F285" s="2"/>
      <c r="G285" s="2"/>
      <c r="H285" s="2"/>
      <c r="I285" s="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2:48" ht="15.75" customHeight="1" x14ac:dyDescent="0.2">
      <c r="B286" s="2"/>
      <c r="C286" s="2"/>
      <c r="D286" s="2"/>
      <c r="E286" s="2"/>
      <c r="F286" s="2"/>
      <c r="G286" s="2"/>
      <c r="H286" s="2"/>
      <c r="I286" s="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2:48" ht="15.75" customHeight="1" x14ac:dyDescent="0.2">
      <c r="B287" s="2"/>
      <c r="C287" s="2"/>
      <c r="D287" s="2"/>
      <c r="E287" s="2"/>
      <c r="F287" s="2"/>
      <c r="G287" s="2"/>
      <c r="H287" s="2"/>
      <c r="I287" s="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2:48" ht="15.75" customHeight="1" x14ac:dyDescent="0.2">
      <c r="B288" s="2"/>
      <c r="C288" s="2"/>
      <c r="D288" s="2"/>
      <c r="E288" s="2"/>
      <c r="F288" s="2"/>
      <c r="G288" s="2"/>
      <c r="H288" s="2"/>
      <c r="I288" s="2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2:48" ht="15.75" customHeight="1" x14ac:dyDescent="0.2">
      <c r="B289" s="2"/>
      <c r="C289" s="2"/>
      <c r="D289" s="2"/>
      <c r="E289" s="2"/>
      <c r="F289" s="2"/>
      <c r="G289" s="2"/>
      <c r="H289" s="2"/>
      <c r="I289" s="2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2:48" ht="15.75" customHeight="1" x14ac:dyDescent="0.2">
      <c r="B290" s="2"/>
      <c r="C290" s="2"/>
      <c r="D290" s="2"/>
      <c r="E290" s="2"/>
      <c r="F290" s="2"/>
      <c r="G290" s="2"/>
      <c r="H290" s="2"/>
      <c r="I290" s="2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2:48" ht="15.75" customHeight="1" x14ac:dyDescent="0.2">
      <c r="B291" s="2"/>
      <c r="C291" s="2"/>
      <c r="D291" s="2"/>
      <c r="E291" s="2"/>
      <c r="F291" s="2"/>
      <c r="G291" s="2"/>
      <c r="H291" s="2"/>
      <c r="I291" s="2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2:48" ht="15.75" customHeight="1" x14ac:dyDescent="0.2">
      <c r="B292" s="2"/>
      <c r="C292" s="2"/>
      <c r="D292" s="2"/>
      <c r="E292" s="2"/>
      <c r="F292" s="2"/>
      <c r="G292" s="2"/>
      <c r="H292" s="2"/>
      <c r="I292" s="2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2:48" ht="15.75" customHeight="1" x14ac:dyDescent="0.2">
      <c r="B293" s="2"/>
      <c r="C293" s="2"/>
      <c r="D293" s="2"/>
      <c r="E293" s="2"/>
      <c r="F293" s="2"/>
      <c r="G293" s="2"/>
      <c r="H293" s="2"/>
      <c r="I293" s="2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2:48" ht="15.75" customHeight="1" x14ac:dyDescent="0.2">
      <c r="B294" s="2"/>
      <c r="C294" s="2"/>
      <c r="D294" s="2"/>
      <c r="E294" s="2"/>
      <c r="F294" s="2"/>
      <c r="G294" s="2"/>
      <c r="H294" s="2"/>
      <c r="I294" s="2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2:48" ht="15.75" customHeight="1" x14ac:dyDescent="0.2">
      <c r="B295" s="2"/>
      <c r="C295" s="2"/>
      <c r="D295" s="2"/>
      <c r="E295" s="2"/>
      <c r="F295" s="2"/>
      <c r="G295" s="2"/>
      <c r="H295" s="2"/>
      <c r="I295" s="2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2:48" ht="15.75" customHeight="1" x14ac:dyDescent="0.2">
      <c r="B296" s="2"/>
      <c r="C296" s="2"/>
      <c r="D296" s="2"/>
      <c r="E296" s="2"/>
      <c r="F296" s="2"/>
      <c r="G296" s="2"/>
      <c r="H296" s="2"/>
      <c r="I296" s="2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2:48" ht="15.75" customHeight="1" x14ac:dyDescent="0.2">
      <c r="B297" s="2"/>
      <c r="C297" s="2"/>
      <c r="D297" s="2"/>
      <c r="E297" s="2"/>
      <c r="F297" s="2"/>
      <c r="G297" s="2"/>
      <c r="H297" s="2"/>
      <c r="I297" s="2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2:48" ht="15.75" customHeight="1" x14ac:dyDescent="0.2">
      <c r="B298" s="2"/>
      <c r="C298" s="2"/>
      <c r="D298" s="2"/>
      <c r="E298" s="2"/>
      <c r="F298" s="2"/>
      <c r="G298" s="2"/>
      <c r="H298" s="2"/>
      <c r="I298" s="2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2:48" ht="15.75" customHeight="1" x14ac:dyDescent="0.2">
      <c r="B299" s="2"/>
      <c r="C299" s="2"/>
      <c r="D299" s="2"/>
      <c r="E299" s="2"/>
      <c r="F299" s="2"/>
      <c r="G299" s="2"/>
      <c r="H299" s="2"/>
      <c r="I299" s="2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2:48" ht="15.75" customHeight="1" x14ac:dyDescent="0.2">
      <c r="B300" s="2"/>
      <c r="C300" s="2"/>
      <c r="D300" s="2"/>
      <c r="E300" s="2"/>
      <c r="F300" s="2"/>
      <c r="G300" s="2"/>
      <c r="H300" s="2"/>
      <c r="I300" s="2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2:48" ht="15.75" customHeight="1" x14ac:dyDescent="0.2">
      <c r="B301" s="2"/>
      <c r="C301" s="2"/>
      <c r="D301" s="2"/>
      <c r="E301" s="2"/>
      <c r="F301" s="2"/>
      <c r="G301" s="2"/>
      <c r="H301" s="2"/>
      <c r="I301" s="2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2:48" ht="15.75" customHeight="1" x14ac:dyDescent="0.2">
      <c r="B302" s="2"/>
      <c r="C302" s="2"/>
      <c r="D302" s="2"/>
      <c r="E302" s="2"/>
      <c r="F302" s="2"/>
      <c r="G302" s="2"/>
      <c r="H302" s="2"/>
      <c r="I302" s="2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2:48" ht="15.75" customHeight="1" x14ac:dyDescent="0.2">
      <c r="B303" s="2"/>
      <c r="C303" s="2"/>
      <c r="D303" s="2"/>
      <c r="E303" s="2"/>
      <c r="F303" s="2"/>
      <c r="G303" s="2"/>
      <c r="H303" s="2"/>
      <c r="I303" s="2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2:48" ht="15.75" customHeight="1" x14ac:dyDescent="0.2">
      <c r="B304" s="2"/>
      <c r="C304" s="2"/>
      <c r="D304" s="2"/>
      <c r="E304" s="2"/>
      <c r="F304" s="2"/>
      <c r="G304" s="2"/>
      <c r="H304" s="2"/>
      <c r="I304" s="2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2:48" ht="15.75" customHeight="1" x14ac:dyDescent="0.2">
      <c r="B305" s="2"/>
      <c r="C305" s="2"/>
      <c r="D305" s="2"/>
      <c r="E305" s="2"/>
      <c r="F305" s="2"/>
      <c r="G305" s="2"/>
      <c r="H305" s="2"/>
      <c r="I305" s="2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2:48" ht="15.75" customHeight="1" x14ac:dyDescent="0.2">
      <c r="B306" s="2"/>
      <c r="C306" s="2"/>
      <c r="D306" s="2"/>
      <c r="E306" s="2"/>
      <c r="F306" s="2"/>
      <c r="G306" s="2"/>
      <c r="H306" s="2"/>
      <c r="I306" s="2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2:48" ht="15.75" customHeight="1" x14ac:dyDescent="0.2">
      <c r="B307" s="2"/>
      <c r="C307" s="2"/>
      <c r="D307" s="2"/>
      <c r="E307" s="2"/>
      <c r="F307" s="2"/>
      <c r="G307" s="2"/>
      <c r="H307" s="2"/>
      <c r="I307" s="2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2:48" ht="15.75" customHeight="1" x14ac:dyDescent="0.2">
      <c r="B308" s="2"/>
      <c r="C308" s="2"/>
      <c r="D308" s="2"/>
      <c r="E308" s="2"/>
      <c r="F308" s="2"/>
      <c r="G308" s="2"/>
      <c r="H308" s="2"/>
      <c r="I308" s="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2:48" ht="15.75" customHeight="1" x14ac:dyDescent="0.2">
      <c r="B309" s="2"/>
      <c r="C309" s="2"/>
      <c r="D309" s="2"/>
      <c r="E309" s="2"/>
      <c r="F309" s="2"/>
      <c r="G309" s="2"/>
      <c r="H309" s="2"/>
      <c r="I309" s="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2:48" ht="15.75" customHeight="1" x14ac:dyDescent="0.2">
      <c r="B310" s="2"/>
      <c r="C310" s="2"/>
      <c r="D310" s="2"/>
      <c r="E310" s="2"/>
      <c r="F310" s="2"/>
      <c r="G310" s="2"/>
      <c r="H310" s="2"/>
      <c r="I310" s="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2:48" ht="15.75" customHeight="1" x14ac:dyDescent="0.2">
      <c r="B311" s="2"/>
      <c r="C311" s="2"/>
      <c r="D311" s="2"/>
      <c r="E311" s="2"/>
      <c r="F311" s="2"/>
      <c r="G311" s="2"/>
      <c r="H311" s="2"/>
      <c r="I311" s="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2:48" ht="15.75" customHeight="1" x14ac:dyDescent="0.2">
      <c r="B312" s="2"/>
      <c r="C312" s="2"/>
      <c r="D312" s="2"/>
      <c r="E312" s="2"/>
      <c r="F312" s="2"/>
      <c r="G312" s="2"/>
      <c r="H312" s="2"/>
      <c r="I312" s="2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2:48" ht="15.75" customHeight="1" x14ac:dyDescent="0.2">
      <c r="B313" s="2"/>
      <c r="C313" s="2"/>
      <c r="D313" s="2"/>
      <c r="E313" s="2"/>
      <c r="F313" s="2"/>
      <c r="G313" s="2"/>
      <c r="H313" s="2"/>
      <c r="I313" s="2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2:48" ht="15.75" customHeight="1" x14ac:dyDescent="0.2">
      <c r="B314" s="2"/>
      <c r="C314" s="2"/>
      <c r="D314" s="2"/>
      <c r="E314" s="2"/>
      <c r="F314" s="2"/>
      <c r="G314" s="2"/>
      <c r="H314" s="2"/>
      <c r="I314" s="2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2:48" ht="15.75" customHeight="1" x14ac:dyDescent="0.2">
      <c r="B315" s="2"/>
      <c r="C315" s="2"/>
      <c r="D315" s="2"/>
      <c r="E315" s="2"/>
      <c r="F315" s="2"/>
      <c r="G315" s="2"/>
      <c r="H315" s="2"/>
      <c r="I315" s="2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2:48" ht="15.75" customHeight="1" x14ac:dyDescent="0.2">
      <c r="B316" s="2"/>
      <c r="C316" s="2"/>
      <c r="D316" s="2"/>
      <c r="E316" s="2"/>
      <c r="F316" s="2"/>
      <c r="G316" s="2"/>
      <c r="H316" s="2"/>
      <c r="I316" s="2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2:48" ht="15.75" customHeight="1" x14ac:dyDescent="0.2">
      <c r="B317" s="2"/>
      <c r="C317" s="2"/>
      <c r="D317" s="2"/>
      <c r="E317" s="2"/>
      <c r="F317" s="2"/>
      <c r="G317" s="2"/>
      <c r="H317" s="2"/>
      <c r="I317" s="2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2:48" ht="15.75" customHeight="1" x14ac:dyDescent="0.2">
      <c r="B318" s="2"/>
      <c r="C318" s="2"/>
      <c r="D318" s="2"/>
      <c r="E318" s="2"/>
      <c r="F318" s="2"/>
      <c r="G318" s="2"/>
      <c r="H318" s="2"/>
      <c r="I318" s="2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2:48" ht="15.75" customHeight="1" x14ac:dyDescent="0.2">
      <c r="B319" s="2"/>
      <c r="C319" s="2"/>
      <c r="D319" s="2"/>
      <c r="E319" s="2"/>
      <c r="F319" s="2"/>
      <c r="G319" s="2"/>
      <c r="H319" s="2"/>
      <c r="I319" s="2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2:48" ht="15.75" customHeight="1" x14ac:dyDescent="0.2">
      <c r="B320" s="2"/>
      <c r="C320" s="2"/>
      <c r="D320" s="2"/>
      <c r="E320" s="2"/>
      <c r="F320" s="2"/>
      <c r="G320" s="2"/>
      <c r="H320" s="2"/>
      <c r="I320" s="2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2:48" ht="15.75" customHeight="1" x14ac:dyDescent="0.2">
      <c r="B321" s="2"/>
      <c r="C321" s="2"/>
      <c r="D321" s="2"/>
      <c r="E321" s="2"/>
      <c r="F321" s="2"/>
      <c r="G321" s="2"/>
      <c r="H321" s="2"/>
      <c r="I321" s="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2:48" ht="15.75" customHeight="1" x14ac:dyDescent="0.2">
      <c r="B322" s="2"/>
      <c r="C322" s="2"/>
      <c r="D322" s="2"/>
      <c r="E322" s="2"/>
      <c r="F322" s="2"/>
      <c r="G322" s="2"/>
      <c r="H322" s="2"/>
      <c r="I322" s="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2:48" ht="15.75" customHeight="1" x14ac:dyDescent="0.2">
      <c r="B323" s="2"/>
      <c r="C323" s="2"/>
      <c r="D323" s="2"/>
      <c r="E323" s="2"/>
      <c r="F323" s="2"/>
      <c r="G323" s="2"/>
      <c r="H323" s="2"/>
      <c r="I323" s="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2:48" ht="15.75" customHeight="1" x14ac:dyDescent="0.2">
      <c r="B324" s="2"/>
      <c r="C324" s="2"/>
      <c r="D324" s="2"/>
      <c r="E324" s="2"/>
      <c r="F324" s="2"/>
      <c r="G324" s="2"/>
      <c r="H324" s="2"/>
      <c r="I324" s="2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2:48" ht="15.75" customHeight="1" x14ac:dyDescent="0.2">
      <c r="B325" s="2"/>
      <c r="C325" s="2"/>
      <c r="D325" s="2"/>
      <c r="E325" s="2"/>
      <c r="F325" s="2"/>
      <c r="G325" s="2"/>
      <c r="H325" s="2"/>
      <c r="I325" s="2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2:48" ht="15.75" customHeight="1" x14ac:dyDescent="0.2">
      <c r="B326" s="2"/>
      <c r="C326" s="2"/>
      <c r="D326" s="2"/>
      <c r="E326" s="2"/>
      <c r="F326" s="2"/>
      <c r="G326" s="2"/>
      <c r="H326" s="2"/>
      <c r="I326" s="2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2:48" ht="15.75" customHeight="1" x14ac:dyDescent="0.2">
      <c r="B327" s="2"/>
      <c r="C327" s="2"/>
      <c r="D327" s="2"/>
      <c r="E327" s="2"/>
      <c r="F327" s="2"/>
      <c r="G327" s="2"/>
      <c r="H327" s="2"/>
      <c r="I327" s="2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2:48" ht="15.75" customHeight="1" x14ac:dyDescent="0.2">
      <c r="B328" s="2"/>
      <c r="C328" s="2"/>
      <c r="D328" s="2"/>
      <c r="E328" s="2"/>
      <c r="F328" s="2"/>
      <c r="G328" s="2"/>
      <c r="H328" s="2"/>
      <c r="I328" s="2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2:48" ht="15.75" customHeight="1" x14ac:dyDescent="0.2">
      <c r="B329" s="2"/>
      <c r="C329" s="2"/>
      <c r="D329" s="2"/>
      <c r="E329" s="2"/>
      <c r="F329" s="2"/>
      <c r="G329" s="2"/>
      <c r="H329" s="2"/>
      <c r="I329" s="2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2:48" ht="15.75" customHeight="1" x14ac:dyDescent="0.2">
      <c r="B330" s="2"/>
      <c r="C330" s="2"/>
      <c r="D330" s="2"/>
      <c r="E330" s="2"/>
      <c r="F330" s="2"/>
      <c r="G330" s="2"/>
      <c r="H330" s="2"/>
      <c r="I330" s="2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2:48" ht="15.75" customHeight="1" x14ac:dyDescent="0.2">
      <c r="B331" s="2"/>
      <c r="C331" s="2"/>
      <c r="D331" s="2"/>
      <c r="E331" s="2"/>
      <c r="F331" s="2"/>
      <c r="G331" s="2"/>
      <c r="H331" s="2"/>
      <c r="I331" s="2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2:48" ht="15.75" customHeight="1" x14ac:dyDescent="0.2">
      <c r="B332" s="2"/>
      <c r="C332" s="2"/>
      <c r="D332" s="2"/>
      <c r="E332" s="2"/>
      <c r="F332" s="2"/>
      <c r="G332" s="2"/>
      <c r="H332" s="2"/>
      <c r="I332" s="2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2:48" ht="15.75" customHeight="1" x14ac:dyDescent="0.2">
      <c r="B333" s="2"/>
      <c r="C333" s="2"/>
      <c r="D333" s="2"/>
      <c r="E333" s="2"/>
      <c r="F333" s="2"/>
      <c r="G333" s="2"/>
      <c r="H333" s="2"/>
      <c r="I333" s="2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2:48" ht="15.75" customHeight="1" x14ac:dyDescent="0.2">
      <c r="B334" s="2"/>
      <c r="C334" s="2"/>
      <c r="D334" s="2"/>
      <c r="E334" s="2"/>
      <c r="F334" s="2"/>
      <c r="G334" s="2"/>
      <c r="H334" s="2"/>
      <c r="I334" s="2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2:48" ht="15.75" customHeight="1" x14ac:dyDescent="0.2">
      <c r="B335" s="2"/>
      <c r="C335" s="2"/>
      <c r="D335" s="2"/>
      <c r="E335" s="2"/>
      <c r="F335" s="2"/>
      <c r="G335" s="2"/>
      <c r="H335" s="2"/>
      <c r="I335" s="2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2:48" ht="15.75" customHeight="1" x14ac:dyDescent="0.2">
      <c r="B336" s="2"/>
      <c r="C336" s="2"/>
      <c r="D336" s="2"/>
      <c r="E336" s="2"/>
      <c r="F336" s="2"/>
      <c r="G336" s="2"/>
      <c r="H336" s="2"/>
      <c r="I336" s="2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2:48" ht="15.75" customHeight="1" x14ac:dyDescent="0.2">
      <c r="B337" s="2"/>
      <c r="C337" s="2"/>
      <c r="D337" s="2"/>
      <c r="E337" s="2"/>
      <c r="F337" s="2"/>
      <c r="G337" s="2"/>
      <c r="H337" s="2"/>
      <c r="I337" s="2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2:48" ht="15.75" customHeight="1" x14ac:dyDescent="0.2">
      <c r="B338" s="2"/>
      <c r="C338" s="2"/>
      <c r="D338" s="2"/>
      <c r="E338" s="2"/>
      <c r="F338" s="2"/>
      <c r="G338" s="2"/>
      <c r="H338" s="2"/>
      <c r="I338" s="2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2:48" ht="15.75" customHeight="1" x14ac:dyDescent="0.2">
      <c r="B339" s="2"/>
      <c r="C339" s="2"/>
      <c r="D339" s="2"/>
      <c r="E339" s="2"/>
      <c r="F339" s="2"/>
      <c r="G339" s="2"/>
      <c r="H339" s="2"/>
      <c r="I339" s="2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2:48" ht="15.75" customHeight="1" x14ac:dyDescent="0.2">
      <c r="B340" s="2"/>
      <c r="C340" s="2"/>
      <c r="D340" s="2"/>
      <c r="E340" s="2"/>
      <c r="F340" s="2"/>
      <c r="G340" s="2"/>
      <c r="H340" s="2"/>
      <c r="I340" s="2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2:48" ht="15.75" customHeight="1" x14ac:dyDescent="0.2">
      <c r="B341" s="2"/>
      <c r="C341" s="2"/>
      <c r="D341" s="2"/>
      <c r="E341" s="2"/>
      <c r="F341" s="2"/>
      <c r="G341" s="2"/>
      <c r="H341" s="2"/>
      <c r="I341" s="2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2:48" ht="15.75" customHeight="1" x14ac:dyDescent="0.2">
      <c r="B342" s="2"/>
      <c r="C342" s="2"/>
      <c r="D342" s="2"/>
      <c r="E342" s="2"/>
      <c r="F342" s="2"/>
      <c r="G342" s="2"/>
      <c r="H342" s="2"/>
      <c r="I342" s="2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2:48" ht="15.75" customHeight="1" x14ac:dyDescent="0.2">
      <c r="B343" s="2"/>
      <c r="C343" s="2"/>
      <c r="D343" s="2"/>
      <c r="E343" s="2"/>
      <c r="F343" s="2"/>
      <c r="G343" s="2"/>
      <c r="H343" s="2"/>
      <c r="I343" s="2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2:48" ht="15.75" customHeight="1" x14ac:dyDescent="0.2">
      <c r="B344" s="2"/>
      <c r="C344" s="2"/>
      <c r="D344" s="2"/>
      <c r="E344" s="2"/>
      <c r="F344" s="2"/>
      <c r="G344" s="2"/>
      <c r="H344" s="2"/>
      <c r="I344" s="2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2:48" ht="15.75" customHeight="1" x14ac:dyDescent="0.2">
      <c r="B345" s="2"/>
      <c r="C345" s="2"/>
      <c r="D345" s="2"/>
      <c r="E345" s="2"/>
      <c r="F345" s="2"/>
      <c r="G345" s="2"/>
      <c r="H345" s="2"/>
      <c r="I345" s="2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2:48" ht="15.75" customHeight="1" x14ac:dyDescent="0.2">
      <c r="B346" s="2"/>
      <c r="C346" s="2"/>
      <c r="D346" s="2"/>
      <c r="E346" s="2"/>
      <c r="F346" s="2"/>
      <c r="G346" s="2"/>
      <c r="H346" s="2"/>
      <c r="I346" s="2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2:48" ht="15.75" customHeight="1" x14ac:dyDescent="0.2">
      <c r="B347" s="2"/>
      <c r="C347" s="2"/>
      <c r="D347" s="2"/>
      <c r="E347" s="2"/>
      <c r="F347" s="2"/>
      <c r="G347" s="2"/>
      <c r="H347" s="2"/>
      <c r="I347" s="2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2:48" ht="15.75" customHeight="1" x14ac:dyDescent="0.2">
      <c r="B348" s="2"/>
      <c r="C348" s="2"/>
      <c r="D348" s="2"/>
      <c r="E348" s="2"/>
      <c r="F348" s="2"/>
      <c r="G348" s="2"/>
      <c r="H348" s="2"/>
      <c r="I348" s="2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2:48" ht="15.75" customHeight="1" x14ac:dyDescent="0.2">
      <c r="B349" s="2"/>
      <c r="C349" s="2"/>
      <c r="D349" s="2"/>
      <c r="E349" s="2"/>
      <c r="F349" s="2"/>
      <c r="G349" s="2"/>
      <c r="H349" s="2"/>
      <c r="I349" s="2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2:48" ht="15.75" customHeight="1" x14ac:dyDescent="0.2">
      <c r="B350" s="2"/>
      <c r="C350" s="2"/>
      <c r="D350" s="2"/>
      <c r="E350" s="2"/>
      <c r="F350" s="2"/>
      <c r="G350" s="2"/>
      <c r="H350" s="2"/>
      <c r="I350" s="2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2:48" ht="15.75" customHeight="1" x14ac:dyDescent="0.2">
      <c r="B351" s="2"/>
      <c r="C351" s="2"/>
      <c r="D351" s="2"/>
      <c r="E351" s="2"/>
      <c r="F351" s="2"/>
      <c r="G351" s="2"/>
      <c r="H351" s="2"/>
      <c r="I351" s="2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2:48" ht="15.75" customHeight="1" x14ac:dyDescent="0.2">
      <c r="B352" s="2"/>
      <c r="C352" s="2"/>
      <c r="D352" s="2"/>
      <c r="E352" s="2"/>
      <c r="F352" s="2"/>
      <c r="G352" s="2"/>
      <c r="H352" s="2"/>
      <c r="I352" s="2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2:48" ht="15.75" customHeight="1" x14ac:dyDescent="0.2">
      <c r="B353" s="2"/>
      <c r="C353" s="2"/>
      <c r="D353" s="2"/>
      <c r="E353" s="2"/>
      <c r="F353" s="2"/>
      <c r="G353" s="2"/>
      <c r="H353" s="2"/>
      <c r="I353" s="2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2:48" ht="15.75" customHeight="1" x14ac:dyDescent="0.2">
      <c r="B354" s="2"/>
      <c r="C354" s="2"/>
      <c r="D354" s="2"/>
      <c r="E354" s="2"/>
      <c r="F354" s="2"/>
      <c r="G354" s="2"/>
      <c r="H354" s="2"/>
      <c r="I354" s="2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2:48" ht="15.75" customHeight="1" x14ac:dyDescent="0.2">
      <c r="B355" s="2"/>
      <c r="C355" s="2"/>
      <c r="D355" s="2"/>
      <c r="E355" s="2"/>
      <c r="F355" s="2"/>
      <c r="G355" s="2"/>
      <c r="H355" s="2"/>
      <c r="I355" s="2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2:48" ht="15.75" customHeight="1" x14ac:dyDescent="0.2">
      <c r="B356" s="2"/>
      <c r="C356" s="2"/>
      <c r="D356" s="2"/>
      <c r="E356" s="2"/>
      <c r="F356" s="2"/>
      <c r="G356" s="2"/>
      <c r="H356" s="2"/>
      <c r="I356" s="2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2:48" ht="15.75" customHeight="1" x14ac:dyDescent="0.2">
      <c r="B357" s="2"/>
      <c r="C357" s="2"/>
      <c r="D357" s="2"/>
      <c r="E357" s="2"/>
      <c r="F357" s="2"/>
      <c r="G357" s="2"/>
      <c r="H357" s="2"/>
      <c r="I357" s="2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2:48" ht="15.75" customHeight="1" x14ac:dyDescent="0.2">
      <c r="B358" s="2"/>
      <c r="C358" s="2"/>
      <c r="D358" s="2"/>
      <c r="E358" s="2"/>
      <c r="F358" s="2"/>
      <c r="G358" s="2"/>
      <c r="H358" s="2"/>
      <c r="I358" s="2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2:48" ht="15.75" customHeight="1" x14ac:dyDescent="0.2">
      <c r="B359" s="2"/>
      <c r="C359" s="2"/>
      <c r="D359" s="2"/>
      <c r="E359" s="2"/>
      <c r="F359" s="2"/>
      <c r="G359" s="2"/>
      <c r="H359" s="2"/>
      <c r="I359" s="2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2:48" ht="15.75" customHeight="1" x14ac:dyDescent="0.2">
      <c r="B360" s="2"/>
      <c r="C360" s="2"/>
      <c r="D360" s="2"/>
      <c r="E360" s="2"/>
      <c r="F360" s="2"/>
      <c r="G360" s="2"/>
      <c r="H360" s="2"/>
      <c r="I360" s="2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2:48" ht="15.75" customHeight="1" x14ac:dyDescent="0.2">
      <c r="B361" s="2"/>
      <c r="C361" s="2"/>
      <c r="D361" s="2"/>
      <c r="E361" s="2"/>
      <c r="F361" s="2"/>
      <c r="G361" s="2"/>
      <c r="H361" s="2"/>
      <c r="I361" s="2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2:48" ht="15.75" customHeight="1" x14ac:dyDescent="0.2">
      <c r="B362" s="2"/>
      <c r="C362" s="2"/>
      <c r="D362" s="2"/>
      <c r="E362" s="2"/>
      <c r="F362" s="2"/>
      <c r="G362" s="2"/>
      <c r="H362" s="2"/>
      <c r="I362" s="2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2:48" ht="15.75" customHeight="1" x14ac:dyDescent="0.2">
      <c r="B363" s="2"/>
      <c r="C363" s="2"/>
      <c r="D363" s="2"/>
      <c r="E363" s="2"/>
      <c r="F363" s="2"/>
      <c r="G363" s="2"/>
      <c r="H363" s="2"/>
      <c r="I363" s="2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2:48" ht="15.75" customHeight="1" x14ac:dyDescent="0.2">
      <c r="B364" s="2"/>
      <c r="C364" s="2"/>
      <c r="D364" s="2"/>
      <c r="E364" s="2"/>
      <c r="F364" s="2"/>
      <c r="G364" s="2"/>
      <c r="H364" s="2"/>
      <c r="I364" s="2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2:48" ht="15.75" customHeight="1" x14ac:dyDescent="0.2">
      <c r="B365" s="2"/>
      <c r="C365" s="2"/>
      <c r="D365" s="2"/>
      <c r="E365" s="2"/>
      <c r="F365" s="2"/>
      <c r="G365" s="2"/>
      <c r="H365" s="2"/>
      <c r="I365" s="2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2:48" ht="15.75" customHeight="1" x14ac:dyDescent="0.2">
      <c r="B366" s="2"/>
      <c r="C366" s="2"/>
      <c r="D366" s="2"/>
      <c r="E366" s="2"/>
      <c r="F366" s="2"/>
      <c r="G366" s="2"/>
      <c r="H366" s="2"/>
      <c r="I366" s="2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2:48" ht="15.75" customHeight="1" x14ac:dyDescent="0.2">
      <c r="B367" s="2"/>
      <c r="C367" s="2"/>
      <c r="D367" s="2"/>
      <c r="E367" s="2"/>
      <c r="F367" s="2"/>
      <c r="G367" s="2"/>
      <c r="H367" s="2"/>
      <c r="I367" s="2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2:48" ht="15.75" customHeight="1" x14ac:dyDescent="0.2">
      <c r="B368" s="2"/>
      <c r="C368" s="2"/>
      <c r="D368" s="2"/>
      <c r="E368" s="2"/>
      <c r="F368" s="2"/>
      <c r="G368" s="2"/>
      <c r="H368" s="2"/>
      <c r="I368" s="2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2:48" ht="15.75" customHeight="1" x14ac:dyDescent="0.2">
      <c r="B369" s="2"/>
      <c r="C369" s="2"/>
      <c r="D369" s="2"/>
      <c r="E369" s="2"/>
      <c r="F369" s="2"/>
      <c r="G369" s="2"/>
      <c r="H369" s="2"/>
      <c r="I369" s="2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2:48" ht="15.75" customHeight="1" x14ac:dyDescent="0.2">
      <c r="B370" s="2"/>
      <c r="C370" s="2"/>
      <c r="D370" s="2"/>
      <c r="E370" s="2"/>
      <c r="F370" s="2"/>
      <c r="G370" s="2"/>
      <c r="H370" s="2"/>
      <c r="I370" s="2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2:48" ht="15.75" customHeight="1" x14ac:dyDescent="0.2">
      <c r="B371" s="2"/>
      <c r="C371" s="2"/>
      <c r="D371" s="2"/>
      <c r="E371" s="2"/>
      <c r="F371" s="2"/>
      <c r="G371" s="2"/>
      <c r="H371" s="2"/>
      <c r="I371" s="2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2:48" ht="15.75" customHeight="1" x14ac:dyDescent="0.2">
      <c r="B372" s="2"/>
      <c r="C372" s="2"/>
      <c r="D372" s="2"/>
      <c r="E372" s="2"/>
      <c r="F372" s="2"/>
      <c r="G372" s="2"/>
      <c r="H372" s="2"/>
      <c r="I372" s="2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2:48" ht="15.75" customHeight="1" x14ac:dyDescent="0.2">
      <c r="B373" s="2"/>
      <c r="C373" s="2"/>
      <c r="D373" s="2"/>
      <c r="E373" s="2"/>
      <c r="F373" s="2"/>
      <c r="G373" s="2"/>
      <c r="H373" s="2"/>
      <c r="I373" s="2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2:48" ht="15.75" customHeight="1" x14ac:dyDescent="0.2">
      <c r="B374" s="2"/>
      <c r="C374" s="2"/>
      <c r="D374" s="2"/>
      <c r="E374" s="2"/>
      <c r="F374" s="2"/>
      <c r="G374" s="2"/>
      <c r="H374" s="2"/>
      <c r="I374" s="2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2:48" ht="15.75" customHeight="1" x14ac:dyDescent="0.2">
      <c r="B375" s="2"/>
      <c r="C375" s="2"/>
      <c r="D375" s="2"/>
      <c r="E375" s="2"/>
      <c r="F375" s="2"/>
      <c r="G375" s="2"/>
      <c r="H375" s="2"/>
      <c r="I375" s="2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2:48" ht="15.75" customHeight="1" x14ac:dyDescent="0.2">
      <c r="B376" s="2"/>
      <c r="C376" s="2"/>
      <c r="D376" s="2"/>
      <c r="E376" s="2"/>
      <c r="F376" s="2"/>
      <c r="G376" s="2"/>
      <c r="H376" s="2"/>
      <c r="I376" s="2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2:48" ht="15.75" customHeight="1" x14ac:dyDescent="0.2">
      <c r="B377" s="2"/>
      <c r="C377" s="2"/>
      <c r="D377" s="2"/>
      <c r="E377" s="2"/>
      <c r="F377" s="2"/>
      <c r="G377" s="2"/>
      <c r="H377" s="2"/>
      <c r="I377" s="2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2:48" ht="15.75" customHeight="1" x14ac:dyDescent="0.2">
      <c r="B378" s="2"/>
      <c r="C378" s="2"/>
      <c r="D378" s="2"/>
      <c r="E378" s="2"/>
      <c r="F378" s="2"/>
      <c r="G378" s="2"/>
      <c r="H378" s="2"/>
      <c r="I378" s="2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2:48" ht="15.75" customHeight="1" x14ac:dyDescent="0.2">
      <c r="B379" s="2"/>
      <c r="C379" s="2"/>
      <c r="D379" s="2"/>
      <c r="E379" s="2"/>
      <c r="F379" s="2"/>
      <c r="G379" s="2"/>
      <c r="H379" s="2"/>
      <c r="I379" s="2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2:48" ht="15.75" customHeight="1" x14ac:dyDescent="0.2">
      <c r="B380" s="2"/>
      <c r="C380" s="2"/>
      <c r="D380" s="2"/>
      <c r="E380" s="2"/>
      <c r="F380" s="2"/>
      <c r="G380" s="2"/>
      <c r="H380" s="2"/>
      <c r="I380" s="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2:48" ht="15.75" customHeight="1" x14ac:dyDescent="0.2">
      <c r="B381" s="2"/>
      <c r="C381" s="2"/>
      <c r="D381" s="2"/>
      <c r="E381" s="2"/>
      <c r="F381" s="2"/>
      <c r="G381" s="2"/>
      <c r="H381" s="2"/>
      <c r="I381" s="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2:48" ht="15.75" customHeight="1" x14ac:dyDescent="0.2">
      <c r="B382" s="2"/>
      <c r="C382" s="2"/>
      <c r="D382" s="2"/>
      <c r="E382" s="2"/>
      <c r="F382" s="2"/>
      <c r="G382" s="2"/>
      <c r="H382" s="2"/>
      <c r="I382" s="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2:48" ht="15.75" customHeight="1" x14ac:dyDescent="0.2">
      <c r="B383" s="2"/>
      <c r="C383" s="2"/>
      <c r="D383" s="2"/>
      <c r="E383" s="2"/>
      <c r="F383" s="2"/>
      <c r="G383" s="2"/>
      <c r="H383" s="2"/>
      <c r="I383" s="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2:48" ht="15.75" customHeight="1" x14ac:dyDescent="0.2">
      <c r="B384" s="2"/>
      <c r="C384" s="2"/>
      <c r="D384" s="2"/>
      <c r="E384" s="2"/>
      <c r="F384" s="2"/>
      <c r="G384" s="2"/>
      <c r="H384" s="2"/>
      <c r="I384" s="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2:48" ht="15.75" customHeight="1" x14ac:dyDescent="0.2">
      <c r="B385" s="2"/>
      <c r="C385" s="2"/>
      <c r="D385" s="2"/>
      <c r="E385" s="2"/>
      <c r="F385" s="2"/>
      <c r="G385" s="2"/>
      <c r="H385" s="2"/>
      <c r="I385" s="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2:48" ht="15.75" customHeight="1" x14ac:dyDescent="0.2">
      <c r="B386" s="2"/>
      <c r="C386" s="2"/>
      <c r="D386" s="2"/>
      <c r="E386" s="2"/>
      <c r="F386" s="2"/>
      <c r="G386" s="2"/>
      <c r="H386" s="2"/>
      <c r="I386" s="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2:48" ht="15.75" customHeight="1" x14ac:dyDescent="0.2">
      <c r="B387" s="2"/>
      <c r="C387" s="2"/>
      <c r="D387" s="2"/>
      <c r="E387" s="2"/>
      <c r="F387" s="2"/>
      <c r="G387" s="2"/>
      <c r="H387" s="2"/>
      <c r="I387" s="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2:48" ht="15.75" customHeight="1" x14ac:dyDescent="0.2">
      <c r="B388" s="2"/>
      <c r="C388" s="2"/>
      <c r="D388" s="2"/>
      <c r="E388" s="2"/>
      <c r="F388" s="2"/>
      <c r="G388" s="2"/>
      <c r="H388" s="2"/>
      <c r="I388" s="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2:48" ht="15.75" customHeight="1" x14ac:dyDescent="0.2">
      <c r="B389" s="2"/>
      <c r="C389" s="2"/>
      <c r="D389" s="2"/>
      <c r="E389" s="2"/>
      <c r="F389" s="2"/>
      <c r="G389" s="2"/>
      <c r="H389" s="2"/>
      <c r="I389" s="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2:48" ht="15.75" customHeight="1" x14ac:dyDescent="0.2">
      <c r="B390" s="2"/>
      <c r="C390" s="2"/>
      <c r="D390" s="2"/>
      <c r="E390" s="2"/>
      <c r="F390" s="2"/>
      <c r="G390" s="2"/>
      <c r="H390" s="2"/>
      <c r="I390" s="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2:48" ht="15.75" customHeight="1" x14ac:dyDescent="0.2">
      <c r="B391" s="2"/>
      <c r="C391" s="2"/>
      <c r="D391" s="2"/>
      <c r="E391" s="2"/>
      <c r="F391" s="2"/>
      <c r="G391" s="2"/>
      <c r="H391" s="2"/>
      <c r="I391" s="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2:48" ht="15.75" customHeight="1" x14ac:dyDescent="0.2">
      <c r="B392" s="2"/>
      <c r="C392" s="2"/>
      <c r="D392" s="2"/>
      <c r="E392" s="2"/>
      <c r="F392" s="2"/>
      <c r="G392" s="2"/>
      <c r="H392" s="2"/>
      <c r="I392" s="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2:48" ht="15.75" customHeight="1" x14ac:dyDescent="0.2">
      <c r="B393" s="2"/>
      <c r="C393" s="2"/>
      <c r="D393" s="2"/>
      <c r="E393" s="2"/>
      <c r="F393" s="2"/>
      <c r="G393" s="2"/>
      <c r="H393" s="2"/>
      <c r="I393" s="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2:48" ht="15.75" customHeight="1" x14ac:dyDescent="0.2">
      <c r="B394" s="2"/>
      <c r="C394" s="2"/>
      <c r="D394" s="2"/>
      <c r="E394" s="2"/>
      <c r="F394" s="2"/>
      <c r="G394" s="2"/>
      <c r="H394" s="2"/>
      <c r="I394" s="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2:48" ht="15.75" customHeight="1" x14ac:dyDescent="0.2">
      <c r="B395" s="2"/>
      <c r="C395" s="2"/>
      <c r="D395" s="2"/>
      <c r="E395" s="2"/>
      <c r="F395" s="2"/>
      <c r="G395" s="2"/>
      <c r="H395" s="2"/>
      <c r="I395" s="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2:48" ht="15.75" customHeight="1" x14ac:dyDescent="0.2">
      <c r="B396" s="2"/>
      <c r="C396" s="2"/>
      <c r="D396" s="2"/>
      <c r="E396" s="2"/>
      <c r="F396" s="2"/>
      <c r="G396" s="2"/>
      <c r="H396" s="2"/>
      <c r="I396" s="2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2:48" ht="15.75" customHeight="1" x14ac:dyDescent="0.2">
      <c r="B397" s="2"/>
      <c r="C397" s="2"/>
      <c r="D397" s="2"/>
      <c r="E397" s="2"/>
      <c r="F397" s="2"/>
      <c r="G397" s="2"/>
      <c r="H397" s="2"/>
      <c r="I397" s="2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2:48" ht="15.75" customHeight="1" x14ac:dyDescent="0.2">
      <c r="B398" s="2"/>
      <c r="C398" s="2"/>
      <c r="D398" s="2"/>
      <c r="E398" s="2"/>
      <c r="F398" s="2"/>
      <c r="G398" s="2"/>
      <c r="H398" s="2"/>
      <c r="I398" s="2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2:48" ht="15.75" customHeight="1" x14ac:dyDescent="0.2">
      <c r="B399" s="2"/>
      <c r="C399" s="2"/>
      <c r="D399" s="2"/>
      <c r="E399" s="2"/>
      <c r="F399" s="2"/>
      <c r="G399" s="2"/>
      <c r="H399" s="2"/>
      <c r="I399" s="2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2:48" ht="15.75" customHeight="1" x14ac:dyDescent="0.2">
      <c r="B400" s="2"/>
      <c r="C400" s="2"/>
      <c r="D400" s="2"/>
      <c r="E400" s="2"/>
      <c r="F400" s="2"/>
      <c r="G400" s="2"/>
      <c r="H400" s="2"/>
      <c r="I400" s="2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2:48" ht="15.75" customHeight="1" x14ac:dyDescent="0.2">
      <c r="B401" s="2"/>
      <c r="C401" s="2"/>
      <c r="D401" s="2"/>
      <c r="E401" s="2"/>
      <c r="F401" s="2"/>
      <c r="G401" s="2"/>
      <c r="H401" s="2"/>
      <c r="I401" s="2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2:48" ht="15.75" customHeight="1" x14ac:dyDescent="0.2">
      <c r="B402" s="2"/>
      <c r="C402" s="2"/>
      <c r="D402" s="2"/>
      <c r="E402" s="2"/>
      <c r="F402" s="2"/>
      <c r="G402" s="2"/>
      <c r="H402" s="2"/>
      <c r="I402" s="2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2:48" ht="15.75" customHeight="1" x14ac:dyDescent="0.2">
      <c r="B403" s="2"/>
      <c r="C403" s="2"/>
      <c r="D403" s="2"/>
      <c r="E403" s="2"/>
      <c r="F403" s="2"/>
      <c r="G403" s="2"/>
      <c r="H403" s="2"/>
      <c r="I403" s="2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2:48" ht="15.75" customHeight="1" x14ac:dyDescent="0.2">
      <c r="B404" s="2"/>
      <c r="C404" s="2"/>
      <c r="D404" s="2"/>
      <c r="E404" s="2"/>
      <c r="F404" s="2"/>
      <c r="G404" s="2"/>
      <c r="H404" s="2"/>
      <c r="I404" s="2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2:48" ht="15.75" customHeight="1" x14ac:dyDescent="0.2">
      <c r="B405" s="2"/>
      <c r="C405" s="2"/>
      <c r="D405" s="2"/>
      <c r="E405" s="2"/>
      <c r="F405" s="2"/>
      <c r="G405" s="2"/>
      <c r="H405" s="2"/>
      <c r="I405" s="2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2:48" ht="15.75" customHeight="1" x14ac:dyDescent="0.2">
      <c r="B406" s="2"/>
      <c r="C406" s="2"/>
      <c r="D406" s="2"/>
      <c r="E406" s="2"/>
      <c r="F406" s="2"/>
      <c r="G406" s="2"/>
      <c r="H406" s="2"/>
      <c r="I406" s="2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2:48" ht="15.75" customHeight="1" x14ac:dyDescent="0.2">
      <c r="B407" s="2"/>
      <c r="C407" s="2"/>
      <c r="D407" s="2"/>
      <c r="E407" s="2"/>
      <c r="F407" s="2"/>
      <c r="G407" s="2"/>
      <c r="H407" s="2"/>
      <c r="I407" s="2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2:48" ht="15.75" customHeight="1" x14ac:dyDescent="0.2">
      <c r="B408" s="2"/>
      <c r="C408" s="2"/>
      <c r="D408" s="2"/>
      <c r="E408" s="2"/>
      <c r="F408" s="2"/>
      <c r="G408" s="2"/>
      <c r="H408" s="2"/>
      <c r="I408" s="2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2:48" ht="15.75" customHeight="1" x14ac:dyDescent="0.2">
      <c r="B409" s="2"/>
      <c r="C409" s="2"/>
      <c r="D409" s="2"/>
      <c r="E409" s="2"/>
      <c r="F409" s="2"/>
      <c r="G409" s="2"/>
      <c r="H409" s="2"/>
      <c r="I409" s="2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2:48" ht="15.75" customHeight="1" x14ac:dyDescent="0.2">
      <c r="B410" s="2"/>
      <c r="C410" s="2"/>
      <c r="D410" s="2"/>
      <c r="E410" s="2"/>
      <c r="F410" s="2"/>
      <c r="G410" s="2"/>
      <c r="H410" s="2"/>
      <c r="I410" s="2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2:48" ht="15.75" customHeight="1" x14ac:dyDescent="0.2">
      <c r="B411" s="2"/>
      <c r="C411" s="2"/>
      <c r="D411" s="2"/>
      <c r="E411" s="2"/>
      <c r="F411" s="2"/>
      <c r="G411" s="2"/>
      <c r="H411" s="2"/>
      <c r="I411" s="2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2:48" ht="15.75" customHeight="1" x14ac:dyDescent="0.2">
      <c r="B412" s="2"/>
      <c r="C412" s="2"/>
      <c r="D412" s="2"/>
      <c r="E412" s="2"/>
      <c r="F412" s="2"/>
      <c r="G412" s="2"/>
      <c r="H412" s="2"/>
      <c r="I412" s="2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2:48" ht="15.75" customHeight="1" x14ac:dyDescent="0.2">
      <c r="B413" s="2"/>
      <c r="C413" s="2"/>
      <c r="D413" s="2"/>
      <c r="E413" s="2"/>
      <c r="F413" s="2"/>
      <c r="G413" s="2"/>
      <c r="H413" s="2"/>
      <c r="I413" s="2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2:48" ht="15.75" customHeight="1" x14ac:dyDescent="0.2">
      <c r="B414" s="2"/>
      <c r="C414" s="2"/>
      <c r="D414" s="2"/>
      <c r="E414" s="2"/>
      <c r="F414" s="2"/>
      <c r="G414" s="2"/>
      <c r="H414" s="2"/>
      <c r="I414" s="2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2:48" ht="15.75" customHeight="1" x14ac:dyDescent="0.2">
      <c r="B415" s="2"/>
      <c r="C415" s="2"/>
      <c r="D415" s="2"/>
      <c r="E415" s="2"/>
      <c r="F415" s="2"/>
      <c r="G415" s="2"/>
      <c r="H415" s="2"/>
      <c r="I415" s="2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2:48" ht="15.75" customHeight="1" x14ac:dyDescent="0.2">
      <c r="B416" s="2"/>
      <c r="C416" s="2"/>
      <c r="D416" s="2"/>
      <c r="E416" s="2"/>
      <c r="F416" s="2"/>
      <c r="G416" s="2"/>
      <c r="H416" s="2"/>
      <c r="I416" s="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2:48" ht="15.75" customHeight="1" x14ac:dyDescent="0.2">
      <c r="B417" s="2"/>
      <c r="C417" s="2"/>
      <c r="D417" s="2"/>
      <c r="E417" s="2"/>
      <c r="F417" s="2"/>
      <c r="G417" s="2"/>
      <c r="H417" s="2"/>
      <c r="I417" s="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2:48" ht="15.75" customHeight="1" x14ac:dyDescent="0.2">
      <c r="B418" s="2"/>
      <c r="C418" s="2"/>
      <c r="D418" s="2"/>
      <c r="E418" s="2"/>
      <c r="F418" s="2"/>
      <c r="G418" s="2"/>
      <c r="H418" s="2"/>
      <c r="I418" s="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2:48" ht="15.75" customHeight="1" x14ac:dyDescent="0.2">
      <c r="B419" s="2"/>
      <c r="C419" s="2"/>
      <c r="D419" s="2"/>
      <c r="E419" s="2"/>
      <c r="F419" s="2"/>
      <c r="G419" s="2"/>
      <c r="H419" s="2"/>
      <c r="I419" s="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2:48" ht="15.75" customHeight="1" x14ac:dyDescent="0.2">
      <c r="B420" s="2"/>
      <c r="C420" s="2"/>
      <c r="D420" s="2"/>
      <c r="E420" s="2"/>
      <c r="F420" s="2"/>
      <c r="G420" s="2"/>
      <c r="H420" s="2"/>
      <c r="I420" s="2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2:48" ht="15.75" customHeight="1" x14ac:dyDescent="0.2">
      <c r="B421" s="2"/>
      <c r="C421" s="2"/>
      <c r="D421" s="2"/>
      <c r="E421" s="2"/>
      <c r="F421" s="2"/>
      <c r="G421" s="2"/>
      <c r="H421" s="2"/>
      <c r="I421" s="2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2:48" ht="15.75" customHeight="1" x14ac:dyDescent="0.2">
      <c r="B422" s="2"/>
      <c r="C422" s="2"/>
      <c r="D422" s="2"/>
      <c r="E422" s="2"/>
      <c r="F422" s="2"/>
      <c r="G422" s="2"/>
      <c r="H422" s="2"/>
      <c r="I422" s="2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2:48" ht="15.75" customHeight="1" x14ac:dyDescent="0.2">
      <c r="B423" s="2"/>
      <c r="C423" s="2"/>
      <c r="D423" s="2"/>
      <c r="E423" s="2"/>
      <c r="F423" s="2"/>
      <c r="G423" s="2"/>
      <c r="H423" s="2"/>
      <c r="I423" s="2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2:48" ht="15.75" customHeight="1" x14ac:dyDescent="0.2">
      <c r="B424" s="2"/>
      <c r="C424" s="2"/>
      <c r="D424" s="2"/>
      <c r="E424" s="2"/>
      <c r="F424" s="2"/>
      <c r="G424" s="2"/>
      <c r="H424" s="2"/>
      <c r="I424" s="2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2:48" ht="15.75" customHeight="1" x14ac:dyDescent="0.2">
      <c r="B425" s="2"/>
      <c r="C425" s="2"/>
      <c r="D425" s="2"/>
      <c r="E425" s="2"/>
      <c r="F425" s="2"/>
      <c r="G425" s="2"/>
      <c r="H425" s="2"/>
      <c r="I425" s="2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2:48" ht="15.75" customHeight="1" x14ac:dyDescent="0.2">
      <c r="B426" s="2"/>
      <c r="C426" s="2"/>
      <c r="D426" s="2"/>
      <c r="E426" s="2"/>
      <c r="F426" s="2"/>
      <c r="G426" s="2"/>
      <c r="H426" s="2"/>
      <c r="I426" s="2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2:48" ht="15.75" customHeight="1" x14ac:dyDescent="0.2">
      <c r="B427" s="2"/>
      <c r="C427" s="2"/>
      <c r="D427" s="2"/>
      <c r="E427" s="2"/>
      <c r="F427" s="2"/>
      <c r="G427" s="2"/>
      <c r="H427" s="2"/>
      <c r="I427" s="2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2:48" ht="15.75" customHeight="1" x14ac:dyDescent="0.2">
      <c r="B428" s="2"/>
      <c r="C428" s="2"/>
      <c r="D428" s="2"/>
      <c r="E428" s="2"/>
      <c r="F428" s="2"/>
      <c r="G428" s="2"/>
      <c r="H428" s="2"/>
      <c r="I428" s="2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2:48" ht="15.75" customHeight="1" x14ac:dyDescent="0.2">
      <c r="B429" s="2"/>
      <c r="C429" s="2"/>
      <c r="D429" s="2"/>
      <c r="E429" s="2"/>
      <c r="F429" s="2"/>
      <c r="G429" s="2"/>
      <c r="H429" s="2"/>
      <c r="I429" s="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2:48" ht="15.75" customHeight="1" x14ac:dyDescent="0.2">
      <c r="B430" s="2"/>
      <c r="C430" s="2"/>
      <c r="D430" s="2"/>
      <c r="E430" s="2"/>
      <c r="F430" s="2"/>
      <c r="G430" s="2"/>
      <c r="H430" s="2"/>
      <c r="I430" s="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2:48" ht="15.75" customHeight="1" x14ac:dyDescent="0.2">
      <c r="B431" s="2"/>
      <c r="C431" s="2"/>
      <c r="D431" s="2"/>
      <c r="E431" s="2"/>
      <c r="F431" s="2"/>
      <c r="G431" s="2"/>
      <c r="H431" s="2"/>
      <c r="I431" s="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2:48" ht="15.75" customHeight="1" x14ac:dyDescent="0.2">
      <c r="B432" s="2"/>
      <c r="C432" s="2"/>
      <c r="D432" s="2"/>
      <c r="E432" s="2"/>
      <c r="F432" s="2"/>
      <c r="G432" s="2"/>
      <c r="H432" s="2"/>
      <c r="I432" s="2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2:48" ht="15.75" customHeight="1" x14ac:dyDescent="0.2">
      <c r="B433" s="2"/>
      <c r="C433" s="2"/>
      <c r="D433" s="2"/>
      <c r="E433" s="2"/>
      <c r="F433" s="2"/>
      <c r="G433" s="2"/>
      <c r="H433" s="2"/>
      <c r="I433" s="2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2:48" ht="15.75" customHeight="1" x14ac:dyDescent="0.2">
      <c r="B434" s="2"/>
      <c r="C434" s="2"/>
      <c r="D434" s="2"/>
      <c r="E434" s="2"/>
      <c r="F434" s="2"/>
      <c r="G434" s="2"/>
      <c r="H434" s="2"/>
      <c r="I434" s="2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2:48" ht="15.75" customHeight="1" x14ac:dyDescent="0.2">
      <c r="B435" s="2"/>
      <c r="C435" s="2"/>
      <c r="D435" s="2"/>
      <c r="E435" s="2"/>
      <c r="F435" s="2"/>
      <c r="G435" s="2"/>
      <c r="H435" s="2"/>
      <c r="I435" s="2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2:48" ht="15.75" customHeight="1" x14ac:dyDescent="0.2">
      <c r="B436" s="2"/>
      <c r="C436" s="2"/>
      <c r="D436" s="2"/>
      <c r="E436" s="2"/>
      <c r="F436" s="2"/>
      <c r="G436" s="2"/>
      <c r="H436" s="2"/>
      <c r="I436" s="2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2:48" ht="15.75" customHeight="1" x14ac:dyDescent="0.2">
      <c r="B437" s="2"/>
      <c r="C437" s="2"/>
      <c r="D437" s="2"/>
      <c r="E437" s="2"/>
      <c r="F437" s="2"/>
      <c r="G437" s="2"/>
      <c r="H437" s="2"/>
      <c r="I437" s="2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2:48" ht="15.75" customHeight="1" x14ac:dyDescent="0.2">
      <c r="B438" s="2"/>
      <c r="C438" s="2"/>
      <c r="D438" s="2"/>
      <c r="E438" s="2"/>
      <c r="F438" s="2"/>
      <c r="G438" s="2"/>
      <c r="H438" s="2"/>
      <c r="I438" s="2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2:48" ht="15.75" customHeight="1" x14ac:dyDescent="0.2">
      <c r="B439" s="2"/>
      <c r="C439" s="2"/>
      <c r="D439" s="2"/>
      <c r="E439" s="2"/>
      <c r="F439" s="2"/>
      <c r="G439" s="2"/>
      <c r="H439" s="2"/>
      <c r="I439" s="2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2:48" ht="15.75" customHeight="1" x14ac:dyDescent="0.2">
      <c r="B440" s="2"/>
      <c r="C440" s="2"/>
      <c r="D440" s="2"/>
      <c r="E440" s="2"/>
      <c r="F440" s="2"/>
      <c r="G440" s="2"/>
      <c r="H440" s="2"/>
      <c r="I440" s="2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2:48" ht="15.75" customHeight="1" x14ac:dyDescent="0.2">
      <c r="B441" s="2"/>
      <c r="C441" s="2"/>
      <c r="D441" s="2"/>
      <c r="E441" s="2"/>
      <c r="F441" s="2"/>
      <c r="G441" s="2"/>
      <c r="H441" s="2"/>
      <c r="I441" s="2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2:48" ht="15.75" customHeight="1" x14ac:dyDescent="0.2">
      <c r="B442" s="2"/>
      <c r="C442" s="2"/>
      <c r="D442" s="2"/>
      <c r="E442" s="2"/>
      <c r="F442" s="2"/>
      <c r="G442" s="2"/>
      <c r="H442" s="2"/>
      <c r="I442" s="2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2:48" ht="15.75" customHeight="1" x14ac:dyDescent="0.2">
      <c r="B443" s="2"/>
      <c r="C443" s="2"/>
      <c r="D443" s="2"/>
      <c r="E443" s="2"/>
      <c r="F443" s="2"/>
      <c r="G443" s="2"/>
      <c r="H443" s="2"/>
      <c r="I443" s="2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2:48" ht="15.75" customHeight="1" x14ac:dyDescent="0.2">
      <c r="B444" s="2"/>
      <c r="C444" s="2"/>
      <c r="D444" s="2"/>
      <c r="E444" s="2"/>
      <c r="F444" s="2"/>
      <c r="G444" s="2"/>
      <c r="H444" s="2"/>
      <c r="I444" s="2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2:48" ht="15.75" customHeight="1" x14ac:dyDescent="0.2">
      <c r="B445" s="2"/>
      <c r="C445" s="2"/>
      <c r="D445" s="2"/>
      <c r="E445" s="2"/>
      <c r="F445" s="2"/>
      <c r="G445" s="2"/>
      <c r="H445" s="2"/>
      <c r="I445" s="2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2:48" ht="15.75" customHeight="1" x14ac:dyDescent="0.2">
      <c r="B446" s="2"/>
      <c r="C446" s="2"/>
      <c r="D446" s="2"/>
      <c r="E446" s="2"/>
      <c r="F446" s="2"/>
      <c r="G446" s="2"/>
      <c r="H446" s="2"/>
      <c r="I446" s="2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2:48" ht="15.75" customHeight="1" x14ac:dyDescent="0.2">
      <c r="B447" s="2"/>
      <c r="C447" s="2"/>
      <c r="D447" s="2"/>
      <c r="E447" s="2"/>
      <c r="F447" s="2"/>
      <c r="G447" s="2"/>
      <c r="H447" s="2"/>
      <c r="I447" s="2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2:48" ht="15.75" customHeight="1" x14ac:dyDescent="0.2">
      <c r="B448" s="2"/>
      <c r="C448" s="2"/>
      <c r="D448" s="2"/>
      <c r="E448" s="2"/>
      <c r="F448" s="2"/>
      <c r="G448" s="2"/>
      <c r="H448" s="2"/>
      <c r="I448" s="2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2:48" ht="15.75" customHeight="1" x14ac:dyDescent="0.2">
      <c r="B449" s="2"/>
      <c r="C449" s="2"/>
      <c r="D449" s="2"/>
      <c r="E449" s="2"/>
      <c r="F449" s="2"/>
      <c r="G449" s="2"/>
      <c r="H449" s="2"/>
      <c r="I449" s="2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2:48" ht="15.75" customHeight="1" x14ac:dyDescent="0.2">
      <c r="B450" s="2"/>
      <c r="C450" s="2"/>
      <c r="D450" s="2"/>
      <c r="E450" s="2"/>
      <c r="F450" s="2"/>
      <c r="G450" s="2"/>
      <c r="H450" s="2"/>
      <c r="I450" s="2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2:48" ht="15.75" customHeight="1" x14ac:dyDescent="0.2">
      <c r="B451" s="2"/>
      <c r="C451" s="2"/>
      <c r="D451" s="2"/>
      <c r="E451" s="2"/>
      <c r="F451" s="2"/>
      <c r="G451" s="2"/>
      <c r="H451" s="2"/>
      <c r="I451" s="2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2:48" ht="15.75" customHeight="1" x14ac:dyDescent="0.2">
      <c r="B452" s="2"/>
      <c r="C452" s="2"/>
      <c r="D452" s="2"/>
      <c r="E452" s="2"/>
      <c r="F452" s="2"/>
      <c r="G452" s="2"/>
      <c r="H452" s="2"/>
      <c r="I452" s="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2:48" ht="15.75" customHeight="1" x14ac:dyDescent="0.2">
      <c r="B453" s="2"/>
      <c r="C453" s="2"/>
      <c r="D453" s="2"/>
      <c r="E453" s="2"/>
      <c r="F453" s="2"/>
      <c r="G453" s="2"/>
      <c r="H453" s="2"/>
      <c r="I453" s="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2:48" ht="15.75" customHeight="1" x14ac:dyDescent="0.2">
      <c r="B454" s="2"/>
      <c r="C454" s="2"/>
      <c r="D454" s="2"/>
      <c r="E454" s="2"/>
      <c r="F454" s="2"/>
      <c r="G454" s="2"/>
      <c r="H454" s="2"/>
      <c r="I454" s="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2:48" ht="15.75" customHeight="1" x14ac:dyDescent="0.2">
      <c r="B455" s="2"/>
      <c r="C455" s="2"/>
      <c r="D455" s="2"/>
      <c r="E455" s="2"/>
      <c r="F455" s="2"/>
      <c r="G455" s="2"/>
      <c r="H455" s="2"/>
      <c r="I455" s="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2:48" ht="15.75" customHeight="1" x14ac:dyDescent="0.2">
      <c r="B456" s="2"/>
      <c r="C456" s="2"/>
      <c r="D456" s="2"/>
      <c r="E456" s="2"/>
      <c r="F456" s="2"/>
      <c r="G456" s="2"/>
      <c r="H456" s="2"/>
      <c r="I456" s="2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2:48" ht="15.75" customHeight="1" x14ac:dyDescent="0.2">
      <c r="B457" s="2"/>
      <c r="C457" s="2"/>
      <c r="D457" s="2"/>
      <c r="E457" s="2"/>
      <c r="F457" s="2"/>
      <c r="G457" s="2"/>
      <c r="H457" s="2"/>
      <c r="I457" s="2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2:48" ht="15.75" customHeight="1" x14ac:dyDescent="0.2">
      <c r="B458" s="2"/>
      <c r="C458" s="2"/>
      <c r="D458" s="2"/>
      <c r="E458" s="2"/>
      <c r="F458" s="2"/>
      <c r="G458" s="2"/>
      <c r="H458" s="2"/>
      <c r="I458" s="2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2:48" ht="15.75" customHeight="1" x14ac:dyDescent="0.2">
      <c r="B459" s="2"/>
      <c r="C459" s="2"/>
      <c r="D459" s="2"/>
      <c r="E459" s="2"/>
      <c r="F459" s="2"/>
      <c r="G459" s="2"/>
      <c r="H459" s="2"/>
      <c r="I459" s="2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2:48" ht="15.75" customHeight="1" x14ac:dyDescent="0.2">
      <c r="B460" s="2"/>
      <c r="C460" s="2"/>
      <c r="D460" s="2"/>
      <c r="E460" s="2"/>
      <c r="F460" s="2"/>
      <c r="G460" s="2"/>
      <c r="H460" s="2"/>
      <c r="I460" s="2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2:48" ht="15.75" customHeight="1" x14ac:dyDescent="0.2">
      <c r="B461" s="2"/>
      <c r="C461" s="2"/>
      <c r="D461" s="2"/>
      <c r="E461" s="2"/>
      <c r="F461" s="2"/>
      <c r="G461" s="2"/>
      <c r="H461" s="2"/>
      <c r="I461" s="2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2:48" ht="15.75" customHeight="1" x14ac:dyDescent="0.2">
      <c r="B462" s="2"/>
      <c r="C462" s="2"/>
      <c r="D462" s="2"/>
      <c r="E462" s="2"/>
      <c r="F462" s="2"/>
      <c r="G462" s="2"/>
      <c r="H462" s="2"/>
      <c r="I462" s="2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2:48" ht="15.75" customHeight="1" x14ac:dyDescent="0.2">
      <c r="B463" s="2"/>
      <c r="C463" s="2"/>
      <c r="D463" s="2"/>
      <c r="E463" s="2"/>
      <c r="F463" s="2"/>
      <c r="G463" s="2"/>
      <c r="H463" s="2"/>
      <c r="I463" s="2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2:48" ht="15.75" customHeight="1" x14ac:dyDescent="0.2">
      <c r="B464" s="2"/>
      <c r="C464" s="2"/>
      <c r="D464" s="2"/>
      <c r="E464" s="2"/>
      <c r="F464" s="2"/>
      <c r="G464" s="2"/>
      <c r="H464" s="2"/>
      <c r="I464" s="2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2:48" ht="15.75" customHeight="1" x14ac:dyDescent="0.2">
      <c r="B465" s="2"/>
      <c r="C465" s="2"/>
      <c r="D465" s="2"/>
      <c r="E465" s="2"/>
      <c r="F465" s="2"/>
      <c r="G465" s="2"/>
      <c r="H465" s="2"/>
      <c r="I465" s="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2:48" ht="15.75" customHeight="1" x14ac:dyDescent="0.2">
      <c r="B466" s="2"/>
      <c r="C466" s="2"/>
      <c r="D466" s="2"/>
      <c r="E466" s="2"/>
      <c r="F466" s="2"/>
      <c r="G466" s="2"/>
      <c r="H466" s="2"/>
      <c r="I466" s="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2:48" ht="15.75" customHeight="1" x14ac:dyDescent="0.2">
      <c r="B467" s="2"/>
      <c r="C467" s="2"/>
      <c r="D467" s="2"/>
      <c r="E467" s="2"/>
      <c r="F467" s="2"/>
      <c r="G467" s="2"/>
      <c r="H467" s="2"/>
      <c r="I467" s="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2:48" ht="15.75" customHeight="1" x14ac:dyDescent="0.2">
      <c r="B468" s="2"/>
      <c r="C468" s="2"/>
      <c r="D468" s="2"/>
      <c r="E468" s="2"/>
      <c r="F468" s="2"/>
      <c r="G468" s="2"/>
      <c r="H468" s="2"/>
      <c r="I468" s="2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2:48" ht="15.75" customHeight="1" x14ac:dyDescent="0.2">
      <c r="B469" s="2"/>
      <c r="C469" s="2"/>
      <c r="D469" s="2"/>
      <c r="E469" s="2"/>
      <c r="F469" s="2"/>
      <c r="G469" s="2"/>
      <c r="H469" s="2"/>
      <c r="I469" s="2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2:48" ht="15.75" customHeight="1" x14ac:dyDescent="0.2">
      <c r="B470" s="2"/>
      <c r="C470" s="2"/>
      <c r="D470" s="2"/>
      <c r="E470" s="2"/>
      <c r="F470" s="2"/>
      <c r="G470" s="2"/>
      <c r="H470" s="2"/>
      <c r="I470" s="2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2:48" ht="15.75" customHeight="1" x14ac:dyDescent="0.2">
      <c r="B471" s="2"/>
      <c r="C471" s="2"/>
      <c r="D471" s="2"/>
      <c r="E471" s="2"/>
      <c r="F471" s="2"/>
      <c r="G471" s="2"/>
      <c r="H471" s="2"/>
      <c r="I471" s="2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2:48" ht="15.75" customHeight="1" x14ac:dyDescent="0.2">
      <c r="B472" s="2"/>
      <c r="C472" s="2"/>
      <c r="D472" s="2"/>
      <c r="E472" s="2"/>
      <c r="F472" s="2"/>
      <c r="G472" s="2"/>
      <c r="H472" s="2"/>
      <c r="I472" s="2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2:48" ht="15.75" customHeight="1" x14ac:dyDescent="0.2">
      <c r="B473" s="2"/>
      <c r="C473" s="2"/>
      <c r="D473" s="2"/>
      <c r="E473" s="2"/>
      <c r="F473" s="2"/>
      <c r="G473" s="2"/>
      <c r="H473" s="2"/>
      <c r="I473" s="2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2:48" ht="15.75" customHeight="1" x14ac:dyDescent="0.2">
      <c r="B474" s="2"/>
      <c r="C474" s="2"/>
      <c r="D474" s="2"/>
      <c r="E474" s="2"/>
      <c r="F474" s="2"/>
      <c r="G474" s="2"/>
      <c r="H474" s="2"/>
      <c r="I474" s="2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2:48" ht="15.75" customHeight="1" x14ac:dyDescent="0.2">
      <c r="B475" s="2"/>
      <c r="C475" s="2"/>
      <c r="D475" s="2"/>
      <c r="E475" s="2"/>
      <c r="F475" s="2"/>
      <c r="G475" s="2"/>
      <c r="H475" s="2"/>
      <c r="I475" s="2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2:48" ht="15.75" customHeight="1" x14ac:dyDescent="0.2">
      <c r="B476" s="2"/>
      <c r="C476" s="2"/>
      <c r="D476" s="2"/>
      <c r="E476" s="2"/>
      <c r="F476" s="2"/>
      <c r="G476" s="2"/>
      <c r="H476" s="2"/>
      <c r="I476" s="2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2:48" ht="15.75" customHeight="1" x14ac:dyDescent="0.2">
      <c r="B477" s="2"/>
      <c r="C477" s="2"/>
      <c r="D477" s="2"/>
      <c r="E477" s="2"/>
      <c r="F477" s="2"/>
      <c r="G477" s="2"/>
      <c r="H477" s="2"/>
      <c r="I477" s="2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2:48" ht="15.75" customHeight="1" x14ac:dyDescent="0.2">
      <c r="B478" s="2"/>
      <c r="C478" s="2"/>
      <c r="D478" s="2"/>
      <c r="E478" s="2"/>
      <c r="F478" s="2"/>
      <c r="G478" s="2"/>
      <c r="H478" s="2"/>
      <c r="I478" s="2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2:48" ht="15.75" customHeight="1" x14ac:dyDescent="0.2">
      <c r="B479" s="2"/>
      <c r="C479" s="2"/>
      <c r="D479" s="2"/>
      <c r="E479" s="2"/>
      <c r="F479" s="2"/>
      <c r="G479" s="2"/>
      <c r="H479" s="2"/>
      <c r="I479" s="2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2:48" ht="15.75" customHeight="1" x14ac:dyDescent="0.2">
      <c r="B480" s="2"/>
      <c r="C480" s="2"/>
      <c r="D480" s="2"/>
      <c r="E480" s="2"/>
      <c r="F480" s="2"/>
      <c r="G480" s="2"/>
      <c r="H480" s="2"/>
      <c r="I480" s="2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2:48" ht="15.75" customHeight="1" x14ac:dyDescent="0.2">
      <c r="B481" s="2"/>
      <c r="C481" s="2"/>
      <c r="D481" s="2"/>
      <c r="E481" s="2"/>
      <c r="F481" s="2"/>
      <c r="G481" s="2"/>
      <c r="H481" s="2"/>
      <c r="I481" s="2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2:48" ht="15.75" customHeight="1" x14ac:dyDescent="0.2">
      <c r="B482" s="2"/>
      <c r="C482" s="2"/>
      <c r="D482" s="2"/>
      <c r="E482" s="2"/>
      <c r="F482" s="2"/>
      <c r="G482" s="2"/>
      <c r="H482" s="2"/>
      <c r="I482" s="2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2:48" ht="15.75" customHeight="1" x14ac:dyDescent="0.2">
      <c r="B483" s="2"/>
      <c r="C483" s="2"/>
      <c r="D483" s="2"/>
      <c r="E483" s="2"/>
      <c r="F483" s="2"/>
      <c r="G483" s="2"/>
      <c r="H483" s="2"/>
      <c r="I483" s="2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2:48" ht="15.75" customHeight="1" x14ac:dyDescent="0.2">
      <c r="B484" s="2"/>
      <c r="C484" s="2"/>
      <c r="D484" s="2"/>
      <c r="E484" s="2"/>
      <c r="F484" s="2"/>
      <c r="G484" s="2"/>
      <c r="H484" s="2"/>
      <c r="I484" s="2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2:48" ht="15.75" customHeight="1" x14ac:dyDescent="0.2">
      <c r="B485" s="2"/>
      <c r="C485" s="2"/>
      <c r="D485" s="2"/>
      <c r="E485" s="2"/>
      <c r="F485" s="2"/>
      <c r="G485" s="2"/>
      <c r="H485" s="2"/>
      <c r="I485" s="2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2:48" ht="15.75" customHeight="1" x14ac:dyDescent="0.2">
      <c r="B486" s="2"/>
      <c r="C486" s="2"/>
      <c r="D486" s="2"/>
      <c r="E486" s="2"/>
      <c r="F486" s="2"/>
      <c r="G486" s="2"/>
      <c r="H486" s="2"/>
      <c r="I486" s="2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2:48" ht="15.75" customHeight="1" x14ac:dyDescent="0.2">
      <c r="B487" s="2"/>
      <c r="C487" s="2"/>
      <c r="D487" s="2"/>
      <c r="E487" s="2"/>
      <c r="F487" s="2"/>
      <c r="G487" s="2"/>
      <c r="H487" s="2"/>
      <c r="I487" s="2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2:48" ht="15.75" customHeight="1" x14ac:dyDescent="0.2">
      <c r="B488" s="2"/>
      <c r="C488" s="2"/>
      <c r="D488" s="2"/>
      <c r="E488" s="2"/>
      <c r="F488" s="2"/>
      <c r="G488" s="2"/>
      <c r="H488" s="2"/>
      <c r="I488" s="2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2:48" ht="15.75" customHeight="1" x14ac:dyDescent="0.2">
      <c r="B489" s="2"/>
      <c r="C489" s="2"/>
      <c r="D489" s="2"/>
      <c r="E489" s="2"/>
      <c r="F489" s="2"/>
      <c r="G489" s="2"/>
      <c r="H489" s="2"/>
      <c r="I489" s="2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2:48" ht="15.75" customHeight="1" x14ac:dyDescent="0.2">
      <c r="B490" s="2"/>
      <c r="C490" s="2"/>
      <c r="D490" s="2"/>
      <c r="E490" s="2"/>
      <c r="F490" s="2"/>
      <c r="G490" s="2"/>
      <c r="H490" s="2"/>
      <c r="I490" s="2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2:48" ht="15.75" customHeight="1" x14ac:dyDescent="0.2">
      <c r="B491" s="2"/>
      <c r="C491" s="2"/>
      <c r="D491" s="2"/>
      <c r="E491" s="2"/>
      <c r="F491" s="2"/>
      <c r="G491" s="2"/>
      <c r="H491" s="2"/>
      <c r="I491" s="2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2:48" ht="15.75" customHeight="1" x14ac:dyDescent="0.2">
      <c r="B492" s="2"/>
      <c r="C492" s="2"/>
      <c r="D492" s="2"/>
      <c r="E492" s="2"/>
      <c r="F492" s="2"/>
      <c r="G492" s="2"/>
      <c r="H492" s="2"/>
      <c r="I492" s="2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2:48" ht="15.75" customHeight="1" x14ac:dyDescent="0.2">
      <c r="B493" s="2"/>
      <c r="C493" s="2"/>
      <c r="D493" s="2"/>
      <c r="E493" s="2"/>
      <c r="F493" s="2"/>
      <c r="G493" s="2"/>
      <c r="H493" s="2"/>
      <c r="I493" s="2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2:48" ht="15.75" customHeight="1" x14ac:dyDescent="0.2">
      <c r="B494" s="2"/>
      <c r="C494" s="2"/>
      <c r="D494" s="2"/>
      <c r="E494" s="2"/>
      <c r="F494" s="2"/>
      <c r="G494" s="2"/>
      <c r="H494" s="2"/>
      <c r="I494" s="2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2:48" ht="15.75" customHeight="1" x14ac:dyDescent="0.2">
      <c r="B495" s="2"/>
      <c r="C495" s="2"/>
      <c r="D495" s="2"/>
      <c r="E495" s="2"/>
      <c r="F495" s="2"/>
      <c r="G495" s="2"/>
      <c r="H495" s="2"/>
      <c r="I495" s="2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2:48" ht="15.75" customHeight="1" x14ac:dyDescent="0.2">
      <c r="B496" s="2"/>
      <c r="C496" s="2"/>
      <c r="D496" s="2"/>
      <c r="E496" s="2"/>
      <c r="F496" s="2"/>
      <c r="G496" s="2"/>
      <c r="H496" s="2"/>
      <c r="I496" s="2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2:48" ht="15.75" customHeight="1" x14ac:dyDescent="0.2">
      <c r="B497" s="2"/>
      <c r="C497" s="2"/>
      <c r="D497" s="2"/>
      <c r="E497" s="2"/>
      <c r="F497" s="2"/>
      <c r="G497" s="2"/>
      <c r="H497" s="2"/>
      <c r="I497" s="2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2:48" ht="15.75" customHeight="1" x14ac:dyDescent="0.2">
      <c r="B498" s="2"/>
      <c r="C498" s="2"/>
      <c r="D498" s="2"/>
      <c r="E498" s="2"/>
      <c r="F498" s="2"/>
      <c r="G498" s="2"/>
      <c r="H498" s="2"/>
      <c r="I498" s="2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2:48" ht="15.75" customHeight="1" x14ac:dyDescent="0.2">
      <c r="B499" s="2"/>
      <c r="C499" s="2"/>
      <c r="D499" s="2"/>
      <c r="E499" s="2"/>
      <c r="F499" s="2"/>
      <c r="G499" s="2"/>
      <c r="H499" s="2"/>
      <c r="I499" s="2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2:48" ht="15.75" customHeight="1" x14ac:dyDescent="0.2">
      <c r="B500" s="2"/>
      <c r="C500" s="2"/>
      <c r="D500" s="2"/>
      <c r="E500" s="2"/>
      <c r="F500" s="2"/>
      <c r="G500" s="2"/>
      <c r="H500" s="2"/>
      <c r="I500" s="2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2:48" ht="15.75" customHeight="1" x14ac:dyDescent="0.2">
      <c r="B501" s="2"/>
      <c r="C501" s="2"/>
      <c r="D501" s="2"/>
      <c r="E501" s="2"/>
      <c r="F501" s="2"/>
      <c r="G501" s="2"/>
      <c r="H501" s="2"/>
      <c r="I501" s="2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2:48" ht="15.75" customHeight="1" x14ac:dyDescent="0.2">
      <c r="B502" s="2"/>
      <c r="C502" s="2"/>
      <c r="D502" s="2"/>
      <c r="E502" s="2"/>
      <c r="F502" s="2"/>
      <c r="G502" s="2"/>
      <c r="H502" s="2"/>
      <c r="I502" s="2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2:48" ht="15.75" customHeight="1" x14ac:dyDescent="0.2">
      <c r="B503" s="2"/>
      <c r="C503" s="2"/>
      <c r="D503" s="2"/>
      <c r="E503" s="2"/>
      <c r="F503" s="2"/>
      <c r="G503" s="2"/>
      <c r="H503" s="2"/>
      <c r="I503" s="2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2:48" ht="15.75" customHeight="1" x14ac:dyDescent="0.2">
      <c r="B504" s="2"/>
      <c r="C504" s="2"/>
      <c r="D504" s="2"/>
      <c r="E504" s="2"/>
      <c r="F504" s="2"/>
      <c r="G504" s="2"/>
      <c r="H504" s="2"/>
      <c r="I504" s="2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2:48" ht="15.75" customHeight="1" x14ac:dyDescent="0.2">
      <c r="B505" s="2"/>
      <c r="C505" s="2"/>
      <c r="D505" s="2"/>
      <c r="E505" s="2"/>
      <c r="F505" s="2"/>
      <c r="G505" s="2"/>
      <c r="H505" s="2"/>
      <c r="I505" s="2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2:48" ht="15.75" customHeight="1" x14ac:dyDescent="0.2">
      <c r="B506" s="2"/>
      <c r="C506" s="2"/>
      <c r="D506" s="2"/>
      <c r="E506" s="2"/>
      <c r="F506" s="2"/>
      <c r="G506" s="2"/>
      <c r="H506" s="2"/>
      <c r="I506" s="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2:48" ht="15.75" customHeight="1" x14ac:dyDescent="0.2">
      <c r="B507" s="2"/>
      <c r="C507" s="2"/>
      <c r="D507" s="2"/>
      <c r="E507" s="2"/>
      <c r="F507" s="2"/>
      <c r="G507" s="2"/>
      <c r="H507" s="2"/>
      <c r="I507" s="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2:48" ht="15.75" customHeight="1" x14ac:dyDescent="0.2">
      <c r="B508" s="2"/>
      <c r="C508" s="2"/>
      <c r="D508" s="2"/>
      <c r="E508" s="2"/>
      <c r="F508" s="2"/>
      <c r="G508" s="2"/>
      <c r="H508" s="2"/>
      <c r="I508" s="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2:48" ht="15.75" customHeight="1" x14ac:dyDescent="0.2">
      <c r="B509" s="2"/>
      <c r="C509" s="2"/>
      <c r="D509" s="2"/>
      <c r="E509" s="2"/>
      <c r="F509" s="2"/>
      <c r="G509" s="2"/>
      <c r="H509" s="2"/>
      <c r="I509" s="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2:48" ht="15.75" customHeight="1" x14ac:dyDescent="0.2">
      <c r="B510" s="2"/>
      <c r="C510" s="2"/>
      <c r="D510" s="2"/>
      <c r="E510" s="2"/>
      <c r="F510" s="2"/>
      <c r="G510" s="2"/>
      <c r="H510" s="2"/>
      <c r="I510" s="2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2:48" ht="15.75" customHeight="1" x14ac:dyDescent="0.2">
      <c r="B511" s="2"/>
      <c r="C511" s="2"/>
      <c r="D511" s="2"/>
      <c r="E511" s="2"/>
      <c r="F511" s="2"/>
      <c r="G511" s="2"/>
      <c r="H511" s="2"/>
      <c r="I511" s="2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2:48" ht="15.75" customHeight="1" x14ac:dyDescent="0.2">
      <c r="B512" s="2"/>
      <c r="C512" s="2"/>
      <c r="D512" s="2"/>
      <c r="E512" s="2"/>
      <c r="F512" s="2"/>
      <c r="G512" s="2"/>
      <c r="H512" s="2"/>
      <c r="I512" s="2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2:48" ht="15.75" customHeight="1" x14ac:dyDescent="0.2">
      <c r="B513" s="2"/>
      <c r="C513" s="2"/>
      <c r="D513" s="2"/>
      <c r="E513" s="2"/>
      <c r="F513" s="2"/>
      <c r="G513" s="2"/>
      <c r="H513" s="2"/>
      <c r="I513" s="2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2:48" ht="15.75" customHeight="1" x14ac:dyDescent="0.2">
      <c r="B514" s="2"/>
      <c r="C514" s="2"/>
      <c r="D514" s="2"/>
      <c r="E514" s="2"/>
      <c r="F514" s="2"/>
      <c r="G514" s="2"/>
      <c r="H514" s="2"/>
      <c r="I514" s="2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2:48" ht="15.75" customHeight="1" x14ac:dyDescent="0.2">
      <c r="B515" s="2"/>
      <c r="C515" s="2"/>
      <c r="D515" s="2"/>
      <c r="E515" s="2"/>
      <c r="F515" s="2"/>
      <c r="G515" s="2"/>
      <c r="H515" s="2"/>
      <c r="I515" s="2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2:48" ht="15.75" customHeight="1" x14ac:dyDescent="0.2">
      <c r="B516" s="2"/>
      <c r="C516" s="2"/>
      <c r="D516" s="2"/>
      <c r="E516" s="2"/>
      <c r="F516" s="2"/>
      <c r="G516" s="2"/>
      <c r="H516" s="2"/>
      <c r="I516" s="2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2:48" ht="15.75" customHeight="1" x14ac:dyDescent="0.2">
      <c r="B517" s="2"/>
      <c r="C517" s="2"/>
      <c r="D517" s="2"/>
      <c r="E517" s="2"/>
      <c r="F517" s="2"/>
      <c r="G517" s="2"/>
      <c r="H517" s="2"/>
      <c r="I517" s="2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2:48" ht="15.75" customHeight="1" x14ac:dyDescent="0.2">
      <c r="B518" s="2"/>
      <c r="C518" s="2"/>
      <c r="D518" s="2"/>
      <c r="E518" s="2"/>
      <c r="F518" s="2"/>
      <c r="G518" s="2"/>
      <c r="H518" s="2"/>
      <c r="I518" s="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2:48" ht="15.75" customHeight="1" x14ac:dyDescent="0.2">
      <c r="B519" s="2"/>
      <c r="C519" s="2"/>
      <c r="D519" s="2"/>
      <c r="E519" s="2"/>
      <c r="F519" s="2"/>
      <c r="G519" s="2"/>
      <c r="H519" s="2"/>
      <c r="I519" s="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2:48" ht="15.75" customHeight="1" x14ac:dyDescent="0.2">
      <c r="B520" s="2"/>
      <c r="C520" s="2"/>
      <c r="D520" s="2"/>
      <c r="E520" s="2"/>
      <c r="F520" s="2"/>
      <c r="G520" s="2"/>
      <c r="H520" s="2"/>
      <c r="I520" s="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2:48" ht="15.75" customHeight="1" x14ac:dyDescent="0.2">
      <c r="B521" s="2"/>
      <c r="C521" s="2"/>
      <c r="D521" s="2"/>
      <c r="E521" s="2"/>
      <c r="F521" s="2"/>
      <c r="G521" s="2"/>
      <c r="H521" s="2"/>
      <c r="I521" s="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2:48" ht="15.75" customHeight="1" x14ac:dyDescent="0.2">
      <c r="B522" s="2"/>
      <c r="C522" s="2"/>
      <c r="D522" s="2"/>
      <c r="E522" s="2"/>
      <c r="F522" s="2"/>
      <c r="G522" s="2"/>
      <c r="H522" s="2"/>
      <c r="I522" s="2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2:48" ht="15.75" customHeight="1" x14ac:dyDescent="0.2">
      <c r="B523" s="2"/>
      <c r="C523" s="2"/>
      <c r="D523" s="2"/>
      <c r="E523" s="2"/>
      <c r="F523" s="2"/>
      <c r="G523" s="2"/>
      <c r="H523" s="2"/>
      <c r="I523" s="2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2:48" ht="15.75" customHeight="1" x14ac:dyDescent="0.2">
      <c r="B524" s="2"/>
      <c r="C524" s="2"/>
      <c r="D524" s="2"/>
      <c r="E524" s="2"/>
      <c r="F524" s="2"/>
      <c r="G524" s="2"/>
      <c r="H524" s="2"/>
      <c r="I524" s="2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2:48" ht="15.75" customHeight="1" x14ac:dyDescent="0.2">
      <c r="B525" s="2"/>
      <c r="C525" s="2"/>
      <c r="D525" s="2"/>
      <c r="E525" s="2"/>
      <c r="F525" s="2"/>
      <c r="G525" s="2"/>
      <c r="H525" s="2"/>
      <c r="I525" s="2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</row>
    <row r="526" spans="2:48" ht="15.75" customHeight="1" x14ac:dyDescent="0.2">
      <c r="B526" s="2"/>
      <c r="C526" s="2"/>
      <c r="D526" s="2"/>
      <c r="E526" s="2"/>
      <c r="F526" s="2"/>
      <c r="G526" s="2"/>
      <c r="H526" s="2"/>
      <c r="I526" s="2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</row>
    <row r="527" spans="2:48" ht="15.75" customHeight="1" x14ac:dyDescent="0.2">
      <c r="B527" s="2"/>
      <c r="C527" s="2"/>
      <c r="D527" s="2"/>
      <c r="E527" s="2"/>
      <c r="F527" s="2"/>
      <c r="G527" s="2"/>
      <c r="H527" s="2"/>
      <c r="I527" s="2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</row>
    <row r="528" spans="2:48" ht="15.75" customHeight="1" x14ac:dyDescent="0.2">
      <c r="B528" s="2"/>
      <c r="C528" s="2"/>
      <c r="D528" s="2"/>
      <c r="E528" s="2"/>
      <c r="F528" s="2"/>
      <c r="G528" s="2"/>
      <c r="H528" s="2"/>
      <c r="I528" s="2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</row>
    <row r="529" spans="2:48" ht="15.75" customHeight="1" x14ac:dyDescent="0.2">
      <c r="B529" s="2"/>
      <c r="C529" s="2"/>
      <c r="D529" s="2"/>
      <c r="E529" s="2"/>
      <c r="F529" s="2"/>
      <c r="G529" s="2"/>
      <c r="H529" s="2"/>
      <c r="I529" s="2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</row>
    <row r="530" spans="2:48" ht="15.75" customHeight="1" x14ac:dyDescent="0.2">
      <c r="B530" s="2"/>
      <c r="C530" s="2"/>
      <c r="D530" s="2"/>
      <c r="E530" s="2"/>
      <c r="F530" s="2"/>
      <c r="G530" s="2"/>
      <c r="H530" s="2"/>
      <c r="I530" s="2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</row>
    <row r="531" spans="2:48" ht="15.75" customHeight="1" x14ac:dyDescent="0.2">
      <c r="B531" s="2"/>
      <c r="C531" s="2"/>
      <c r="D531" s="2"/>
      <c r="E531" s="2"/>
      <c r="F531" s="2"/>
      <c r="G531" s="2"/>
      <c r="H531" s="2"/>
      <c r="I531" s="2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</row>
    <row r="532" spans="2:48" ht="15.75" customHeight="1" x14ac:dyDescent="0.2">
      <c r="B532" s="2"/>
      <c r="C532" s="2"/>
      <c r="D532" s="2"/>
      <c r="E532" s="2"/>
      <c r="F532" s="2"/>
      <c r="G532" s="2"/>
      <c r="H532" s="2"/>
      <c r="I532" s="2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</row>
    <row r="533" spans="2:48" ht="15.75" customHeight="1" x14ac:dyDescent="0.2">
      <c r="B533" s="2"/>
      <c r="C533" s="2"/>
      <c r="D533" s="2"/>
      <c r="E533" s="2"/>
      <c r="F533" s="2"/>
      <c r="G533" s="2"/>
      <c r="H533" s="2"/>
      <c r="I533" s="2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</row>
    <row r="534" spans="2:48" ht="15.75" customHeight="1" x14ac:dyDescent="0.2">
      <c r="B534" s="2"/>
      <c r="C534" s="2"/>
      <c r="D534" s="2"/>
      <c r="E534" s="2"/>
      <c r="F534" s="2"/>
      <c r="G534" s="2"/>
      <c r="H534" s="2"/>
      <c r="I534" s="2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</row>
    <row r="535" spans="2:48" ht="15.75" customHeight="1" x14ac:dyDescent="0.2">
      <c r="B535" s="2"/>
      <c r="C535" s="2"/>
      <c r="D535" s="2"/>
      <c r="E535" s="2"/>
      <c r="F535" s="2"/>
      <c r="G535" s="2"/>
      <c r="H535" s="2"/>
      <c r="I535" s="2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</row>
    <row r="536" spans="2:48" ht="15.75" customHeight="1" x14ac:dyDescent="0.2">
      <c r="B536" s="2"/>
      <c r="C536" s="2"/>
      <c r="D536" s="2"/>
      <c r="E536" s="2"/>
      <c r="F536" s="2"/>
      <c r="G536" s="2"/>
      <c r="H536" s="2"/>
      <c r="I536" s="2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</row>
    <row r="537" spans="2:48" ht="15.75" customHeight="1" x14ac:dyDescent="0.2">
      <c r="B537" s="2"/>
      <c r="C537" s="2"/>
      <c r="D537" s="2"/>
      <c r="E537" s="2"/>
      <c r="F537" s="2"/>
      <c r="G537" s="2"/>
      <c r="H537" s="2"/>
      <c r="I537" s="2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</row>
    <row r="538" spans="2:48" ht="15.75" customHeight="1" x14ac:dyDescent="0.2">
      <c r="B538" s="2"/>
      <c r="C538" s="2"/>
      <c r="D538" s="2"/>
      <c r="E538" s="2"/>
      <c r="F538" s="2"/>
      <c r="G538" s="2"/>
      <c r="H538" s="2"/>
      <c r="I538" s="2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</row>
    <row r="539" spans="2:48" ht="15.75" customHeight="1" x14ac:dyDescent="0.2">
      <c r="B539" s="2"/>
      <c r="C539" s="2"/>
      <c r="D539" s="2"/>
      <c r="E539" s="2"/>
      <c r="F539" s="2"/>
      <c r="G539" s="2"/>
      <c r="H539" s="2"/>
      <c r="I539" s="2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</row>
    <row r="540" spans="2:48" ht="15.75" customHeight="1" x14ac:dyDescent="0.2">
      <c r="B540" s="2"/>
      <c r="C540" s="2"/>
      <c r="D540" s="2"/>
      <c r="E540" s="2"/>
      <c r="F540" s="2"/>
      <c r="G540" s="2"/>
      <c r="H540" s="2"/>
      <c r="I540" s="2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</row>
    <row r="541" spans="2:48" ht="15.75" customHeight="1" x14ac:dyDescent="0.2">
      <c r="B541" s="2"/>
      <c r="C541" s="2"/>
      <c r="D541" s="2"/>
      <c r="E541" s="2"/>
      <c r="F541" s="2"/>
      <c r="G541" s="2"/>
      <c r="H541" s="2"/>
      <c r="I541" s="2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</row>
    <row r="542" spans="2:48" ht="15.75" customHeight="1" x14ac:dyDescent="0.2">
      <c r="B542" s="2"/>
      <c r="C542" s="2"/>
      <c r="D542" s="2"/>
      <c r="E542" s="2"/>
      <c r="F542" s="2"/>
      <c r="G542" s="2"/>
      <c r="H542" s="2"/>
      <c r="I542" s="2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</row>
    <row r="543" spans="2:48" ht="15.75" customHeight="1" x14ac:dyDescent="0.2">
      <c r="B543" s="2"/>
      <c r="C543" s="2"/>
      <c r="D543" s="2"/>
      <c r="E543" s="2"/>
      <c r="F543" s="2"/>
      <c r="G543" s="2"/>
      <c r="H543" s="2"/>
      <c r="I543" s="2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</row>
    <row r="544" spans="2:48" ht="15.75" customHeight="1" x14ac:dyDescent="0.2">
      <c r="B544" s="2"/>
      <c r="C544" s="2"/>
      <c r="D544" s="2"/>
      <c r="E544" s="2"/>
      <c r="F544" s="2"/>
      <c r="G544" s="2"/>
      <c r="H544" s="2"/>
      <c r="I544" s="2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</row>
    <row r="545" spans="2:48" ht="15.75" customHeight="1" x14ac:dyDescent="0.2">
      <c r="B545" s="2"/>
      <c r="C545" s="2"/>
      <c r="D545" s="2"/>
      <c r="E545" s="2"/>
      <c r="F545" s="2"/>
      <c r="G545" s="2"/>
      <c r="H545" s="2"/>
      <c r="I545" s="2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</row>
    <row r="546" spans="2:48" ht="15.75" customHeight="1" x14ac:dyDescent="0.2">
      <c r="B546" s="2"/>
      <c r="C546" s="2"/>
      <c r="D546" s="2"/>
      <c r="E546" s="2"/>
      <c r="F546" s="2"/>
      <c r="G546" s="2"/>
      <c r="H546" s="2"/>
      <c r="I546" s="2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</row>
    <row r="547" spans="2:48" ht="15.75" customHeight="1" x14ac:dyDescent="0.2">
      <c r="B547" s="2"/>
      <c r="C547" s="2"/>
      <c r="D547" s="2"/>
      <c r="E547" s="2"/>
      <c r="F547" s="2"/>
      <c r="G547" s="2"/>
      <c r="H547" s="2"/>
      <c r="I547" s="2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</row>
    <row r="548" spans="2:48" ht="15.75" customHeight="1" x14ac:dyDescent="0.2">
      <c r="B548" s="2"/>
      <c r="C548" s="2"/>
      <c r="D548" s="2"/>
      <c r="E548" s="2"/>
      <c r="F548" s="2"/>
      <c r="G548" s="2"/>
      <c r="H548" s="2"/>
      <c r="I548" s="2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</row>
    <row r="549" spans="2:48" ht="15.75" customHeight="1" x14ac:dyDescent="0.2">
      <c r="B549" s="2"/>
      <c r="C549" s="2"/>
      <c r="D549" s="2"/>
      <c r="E549" s="2"/>
      <c r="F549" s="2"/>
      <c r="G549" s="2"/>
      <c r="H549" s="2"/>
      <c r="I549" s="2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</row>
    <row r="550" spans="2:48" ht="15.75" customHeight="1" x14ac:dyDescent="0.2">
      <c r="B550" s="2"/>
      <c r="C550" s="2"/>
      <c r="D550" s="2"/>
      <c r="E550" s="2"/>
      <c r="F550" s="2"/>
      <c r="G550" s="2"/>
      <c r="H550" s="2"/>
      <c r="I550" s="2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2:48" ht="15.75" customHeight="1" x14ac:dyDescent="0.2">
      <c r="B551" s="2"/>
      <c r="C551" s="2"/>
      <c r="D551" s="2"/>
      <c r="E551" s="2"/>
      <c r="F551" s="2"/>
      <c r="G551" s="2"/>
      <c r="H551" s="2"/>
      <c r="I551" s="2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</row>
    <row r="552" spans="2:48" ht="15.75" customHeight="1" x14ac:dyDescent="0.2">
      <c r="B552" s="2"/>
      <c r="C552" s="2"/>
      <c r="D552" s="2"/>
      <c r="E552" s="2"/>
      <c r="F552" s="2"/>
      <c r="G552" s="2"/>
      <c r="H552" s="2"/>
      <c r="I552" s="2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</row>
    <row r="553" spans="2:48" ht="15.75" customHeight="1" x14ac:dyDescent="0.2">
      <c r="B553" s="2"/>
      <c r="C553" s="2"/>
      <c r="D553" s="2"/>
      <c r="E553" s="2"/>
      <c r="F553" s="2"/>
      <c r="G553" s="2"/>
      <c r="H553" s="2"/>
      <c r="I553" s="2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</row>
    <row r="554" spans="2:48" ht="15.75" customHeight="1" x14ac:dyDescent="0.2">
      <c r="B554" s="2"/>
      <c r="C554" s="2"/>
      <c r="D554" s="2"/>
      <c r="E554" s="2"/>
      <c r="F554" s="2"/>
      <c r="G554" s="2"/>
      <c r="H554" s="2"/>
      <c r="I554" s="2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</row>
    <row r="555" spans="2:48" ht="15.75" customHeight="1" x14ac:dyDescent="0.2">
      <c r="B555" s="2"/>
      <c r="C555" s="2"/>
      <c r="D555" s="2"/>
      <c r="E555" s="2"/>
      <c r="F555" s="2"/>
      <c r="G555" s="2"/>
      <c r="H555" s="2"/>
      <c r="I555" s="2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</row>
    <row r="556" spans="2:48" ht="15.75" customHeight="1" x14ac:dyDescent="0.2">
      <c r="B556" s="2"/>
      <c r="C556" s="2"/>
      <c r="D556" s="2"/>
      <c r="E556" s="2"/>
      <c r="F556" s="2"/>
      <c r="G556" s="2"/>
      <c r="H556" s="2"/>
      <c r="I556" s="2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</row>
    <row r="557" spans="2:48" ht="15.75" customHeight="1" x14ac:dyDescent="0.2">
      <c r="B557" s="2"/>
      <c r="C557" s="2"/>
      <c r="D557" s="2"/>
      <c r="E557" s="2"/>
      <c r="F557" s="2"/>
      <c r="G557" s="2"/>
      <c r="H557" s="2"/>
      <c r="I557" s="2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</row>
    <row r="558" spans="2:48" ht="15.75" customHeight="1" x14ac:dyDescent="0.2">
      <c r="B558" s="2"/>
      <c r="C558" s="2"/>
      <c r="D558" s="2"/>
      <c r="E558" s="2"/>
      <c r="F558" s="2"/>
      <c r="G558" s="2"/>
      <c r="H558" s="2"/>
      <c r="I558" s="2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</row>
    <row r="559" spans="2:48" ht="15.75" customHeight="1" x14ac:dyDescent="0.2">
      <c r="B559" s="2"/>
      <c r="C559" s="2"/>
      <c r="D559" s="2"/>
      <c r="E559" s="2"/>
      <c r="F559" s="2"/>
      <c r="G559" s="2"/>
      <c r="H559" s="2"/>
      <c r="I559" s="2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</row>
    <row r="560" spans="2:48" ht="15.75" customHeight="1" x14ac:dyDescent="0.2">
      <c r="B560" s="2"/>
      <c r="C560" s="2"/>
      <c r="D560" s="2"/>
      <c r="E560" s="2"/>
      <c r="F560" s="2"/>
      <c r="G560" s="2"/>
      <c r="H560" s="2"/>
      <c r="I560" s="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</row>
    <row r="561" spans="2:48" ht="15.75" customHeight="1" x14ac:dyDescent="0.2">
      <c r="B561" s="2"/>
      <c r="C561" s="2"/>
      <c r="D561" s="2"/>
      <c r="E561" s="2"/>
      <c r="F561" s="2"/>
      <c r="G561" s="2"/>
      <c r="H561" s="2"/>
      <c r="I561" s="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</row>
    <row r="562" spans="2:48" ht="15.75" customHeight="1" x14ac:dyDescent="0.2">
      <c r="B562" s="2"/>
      <c r="C562" s="2"/>
      <c r="D562" s="2"/>
      <c r="E562" s="2"/>
      <c r="F562" s="2"/>
      <c r="G562" s="2"/>
      <c r="H562" s="2"/>
      <c r="I562" s="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</row>
    <row r="563" spans="2:48" ht="15.75" customHeight="1" x14ac:dyDescent="0.2">
      <c r="B563" s="2"/>
      <c r="C563" s="2"/>
      <c r="D563" s="2"/>
      <c r="E563" s="2"/>
      <c r="F563" s="2"/>
      <c r="G563" s="2"/>
      <c r="H563" s="2"/>
      <c r="I563" s="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</row>
    <row r="564" spans="2:48" ht="15.75" customHeight="1" x14ac:dyDescent="0.2">
      <c r="B564" s="2"/>
      <c r="C564" s="2"/>
      <c r="D564" s="2"/>
      <c r="E564" s="2"/>
      <c r="F564" s="2"/>
      <c r="G564" s="2"/>
      <c r="H564" s="2"/>
      <c r="I564" s="2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  <row r="565" spans="2:48" ht="15.75" customHeight="1" x14ac:dyDescent="0.2">
      <c r="B565" s="2"/>
      <c r="C565" s="2"/>
      <c r="D565" s="2"/>
      <c r="E565" s="2"/>
      <c r="F565" s="2"/>
      <c r="G565" s="2"/>
      <c r="H565" s="2"/>
      <c r="I565" s="2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</row>
    <row r="566" spans="2:48" ht="15.75" customHeight="1" x14ac:dyDescent="0.2">
      <c r="B566" s="2"/>
      <c r="C566" s="2"/>
      <c r="D566" s="2"/>
      <c r="E566" s="2"/>
      <c r="F566" s="2"/>
      <c r="G566" s="2"/>
      <c r="H566" s="2"/>
      <c r="I566" s="2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</row>
    <row r="567" spans="2:48" ht="15.75" customHeight="1" x14ac:dyDescent="0.2">
      <c r="B567" s="2"/>
      <c r="C567" s="2"/>
      <c r="D567" s="2"/>
      <c r="E567" s="2"/>
      <c r="F567" s="2"/>
      <c r="G567" s="2"/>
      <c r="H567" s="2"/>
      <c r="I567" s="2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</row>
    <row r="568" spans="2:48" ht="15.75" customHeight="1" x14ac:dyDescent="0.2">
      <c r="B568" s="2"/>
      <c r="C568" s="2"/>
      <c r="D568" s="2"/>
      <c r="E568" s="2"/>
      <c r="F568" s="2"/>
      <c r="G568" s="2"/>
      <c r="H568" s="2"/>
      <c r="I568" s="2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</row>
    <row r="569" spans="2:48" ht="15.75" customHeight="1" x14ac:dyDescent="0.2">
      <c r="B569" s="2"/>
      <c r="C569" s="2"/>
      <c r="D569" s="2"/>
      <c r="E569" s="2"/>
      <c r="F569" s="2"/>
      <c r="G569" s="2"/>
      <c r="H569" s="2"/>
      <c r="I569" s="2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</row>
    <row r="570" spans="2:48" ht="15.75" customHeight="1" x14ac:dyDescent="0.2">
      <c r="B570" s="2"/>
      <c r="C570" s="2"/>
      <c r="D570" s="2"/>
      <c r="E570" s="2"/>
      <c r="F570" s="2"/>
      <c r="G570" s="2"/>
      <c r="H570" s="2"/>
      <c r="I570" s="2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</row>
    <row r="571" spans="2:48" ht="15.75" customHeight="1" x14ac:dyDescent="0.2">
      <c r="B571" s="2"/>
      <c r="C571" s="2"/>
      <c r="D571" s="2"/>
      <c r="E571" s="2"/>
      <c r="F571" s="2"/>
      <c r="G571" s="2"/>
      <c r="H571" s="2"/>
      <c r="I571" s="2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</row>
    <row r="572" spans="2:48" ht="15.75" customHeight="1" x14ac:dyDescent="0.2">
      <c r="B572" s="2"/>
      <c r="C572" s="2"/>
      <c r="D572" s="2"/>
      <c r="E572" s="2"/>
      <c r="F572" s="2"/>
      <c r="G572" s="2"/>
      <c r="H572" s="2"/>
      <c r="I572" s="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</row>
    <row r="573" spans="2:48" ht="15.75" customHeight="1" x14ac:dyDescent="0.2">
      <c r="B573" s="2"/>
      <c r="C573" s="2"/>
      <c r="D573" s="2"/>
      <c r="E573" s="2"/>
      <c r="F573" s="2"/>
      <c r="G573" s="2"/>
      <c r="H573" s="2"/>
      <c r="I573" s="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</row>
    <row r="574" spans="2:48" ht="15.75" customHeight="1" x14ac:dyDescent="0.2">
      <c r="B574" s="2"/>
      <c r="C574" s="2"/>
      <c r="D574" s="2"/>
      <c r="E574" s="2"/>
      <c r="F574" s="2"/>
      <c r="G574" s="2"/>
      <c r="H574" s="2"/>
      <c r="I574" s="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</row>
    <row r="575" spans="2:48" ht="15.75" customHeight="1" x14ac:dyDescent="0.2">
      <c r="B575" s="2"/>
      <c r="C575" s="2"/>
      <c r="D575" s="2"/>
      <c r="E575" s="2"/>
      <c r="F575" s="2"/>
      <c r="G575" s="2"/>
      <c r="H575" s="2"/>
      <c r="I575" s="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</row>
    <row r="576" spans="2:48" ht="15.75" customHeight="1" x14ac:dyDescent="0.2">
      <c r="B576" s="2"/>
      <c r="C576" s="2"/>
      <c r="D576" s="2"/>
      <c r="E576" s="2"/>
      <c r="F576" s="2"/>
      <c r="G576" s="2"/>
      <c r="H576" s="2"/>
      <c r="I576" s="2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2:48" ht="15.75" customHeight="1" x14ac:dyDescent="0.2">
      <c r="B577" s="2"/>
      <c r="C577" s="2"/>
      <c r="D577" s="2"/>
      <c r="E577" s="2"/>
      <c r="F577" s="2"/>
      <c r="G577" s="2"/>
      <c r="H577" s="2"/>
      <c r="I577" s="2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</row>
    <row r="578" spans="2:48" ht="15.75" customHeight="1" x14ac:dyDescent="0.2">
      <c r="B578" s="2"/>
      <c r="C578" s="2"/>
      <c r="D578" s="2"/>
      <c r="E578" s="2"/>
      <c r="F578" s="2"/>
      <c r="G578" s="2"/>
      <c r="H578" s="2"/>
      <c r="I578" s="2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</row>
    <row r="579" spans="2:48" ht="15.75" customHeight="1" x14ac:dyDescent="0.2">
      <c r="B579" s="2"/>
      <c r="C579" s="2"/>
      <c r="D579" s="2"/>
      <c r="E579" s="2"/>
      <c r="F579" s="2"/>
      <c r="G579" s="2"/>
      <c r="H579" s="2"/>
      <c r="I579" s="2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</row>
    <row r="580" spans="2:48" ht="15.75" customHeight="1" x14ac:dyDescent="0.2">
      <c r="B580" s="2"/>
      <c r="C580" s="2"/>
      <c r="D580" s="2"/>
      <c r="E580" s="2"/>
      <c r="F580" s="2"/>
      <c r="G580" s="2"/>
      <c r="H580" s="2"/>
      <c r="I580" s="2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</row>
    <row r="581" spans="2:48" ht="15.75" customHeight="1" x14ac:dyDescent="0.2">
      <c r="B581" s="2"/>
      <c r="C581" s="2"/>
      <c r="D581" s="2"/>
      <c r="E581" s="2"/>
      <c r="F581" s="2"/>
      <c r="G581" s="2"/>
      <c r="H581" s="2"/>
      <c r="I581" s="2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</row>
    <row r="582" spans="2:48" ht="15.75" customHeight="1" x14ac:dyDescent="0.2">
      <c r="B582" s="2"/>
      <c r="C582" s="2"/>
      <c r="D582" s="2"/>
      <c r="E582" s="2"/>
      <c r="F582" s="2"/>
      <c r="G582" s="2"/>
      <c r="H582" s="2"/>
      <c r="I582" s="2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</row>
    <row r="583" spans="2:48" ht="15.75" customHeight="1" x14ac:dyDescent="0.2">
      <c r="B583" s="2"/>
      <c r="C583" s="2"/>
      <c r="D583" s="2"/>
      <c r="E583" s="2"/>
      <c r="F583" s="2"/>
      <c r="G583" s="2"/>
      <c r="H583" s="2"/>
      <c r="I583" s="2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</row>
    <row r="584" spans="2:48" ht="15.75" customHeight="1" x14ac:dyDescent="0.2">
      <c r="B584" s="2"/>
      <c r="C584" s="2"/>
      <c r="D584" s="2"/>
      <c r="E584" s="2"/>
      <c r="F584" s="2"/>
      <c r="G584" s="2"/>
      <c r="H584" s="2"/>
      <c r="I584" s="2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</row>
    <row r="585" spans="2:48" ht="15.75" customHeight="1" x14ac:dyDescent="0.2">
      <c r="B585" s="2"/>
      <c r="C585" s="2"/>
      <c r="D585" s="2"/>
      <c r="E585" s="2"/>
      <c r="F585" s="2"/>
      <c r="G585" s="2"/>
      <c r="H585" s="2"/>
      <c r="I585" s="2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</row>
    <row r="586" spans="2:48" ht="15.75" customHeight="1" x14ac:dyDescent="0.2">
      <c r="B586" s="2"/>
      <c r="C586" s="2"/>
      <c r="D586" s="2"/>
      <c r="E586" s="2"/>
      <c r="F586" s="2"/>
      <c r="G586" s="2"/>
      <c r="H586" s="2"/>
      <c r="I586" s="2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</row>
    <row r="587" spans="2:48" ht="15.75" customHeight="1" x14ac:dyDescent="0.2">
      <c r="B587" s="2"/>
      <c r="C587" s="2"/>
      <c r="D587" s="2"/>
      <c r="E587" s="2"/>
      <c r="F587" s="2"/>
      <c r="G587" s="2"/>
      <c r="H587" s="2"/>
      <c r="I587" s="2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</row>
    <row r="588" spans="2:48" ht="15.75" customHeight="1" x14ac:dyDescent="0.2">
      <c r="B588" s="2"/>
      <c r="C588" s="2"/>
      <c r="D588" s="2"/>
      <c r="E588" s="2"/>
      <c r="F588" s="2"/>
      <c r="G588" s="2"/>
      <c r="H588" s="2"/>
      <c r="I588" s="2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</row>
    <row r="589" spans="2:48" ht="15.75" customHeight="1" x14ac:dyDescent="0.2">
      <c r="B589" s="2"/>
      <c r="C589" s="2"/>
      <c r="D589" s="2"/>
      <c r="E589" s="2"/>
      <c r="F589" s="2"/>
      <c r="G589" s="2"/>
      <c r="H589" s="2"/>
      <c r="I589" s="2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</row>
    <row r="590" spans="2:48" ht="15.75" customHeight="1" x14ac:dyDescent="0.2">
      <c r="B590" s="2"/>
      <c r="C590" s="2"/>
      <c r="D590" s="2"/>
      <c r="E590" s="2"/>
      <c r="F590" s="2"/>
      <c r="G590" s="2"/>
      <c r="H590" s="2"/>
      <c r="I590" s="2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</row>
    <row r="591" spans="2:48" ht="15.75" customHeight="1" x14ac:dyDescent="0.2">
      <c r="B591" s="2"/>
      <c r="C591" s="2"/>
      <c r="D591" s="2"/>
      <c r="E591" s="2"/>
      <c r="F591" s="2"/>
      <c r="G591" s="2"/>
      <c r="H591" s="2"/>
      <c r="I591" s="2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</row>
    <row r="592" spans="2:48" ht="15.75" customHeight="1" x14ac:dyDescent="0.2">
      <c r="B592" s="2"/>
      <c r="C592" s="2"/>
      <c r="D592" s="2"/>
      <c r="E592" s="2"/>
      <c r="F592" s="2"/>
      <c r="G592" s="2"/>
      <c r="H592" s="2"/>
      <c r="I592" s="2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</row>
    <row r="593" spans="2:48" ht="15.75" customHeight="1" x14ac:dyDescent="0.2">
      <c r="B593" s="2"/>
      <c r="C593" s="2"/>
      <c r="D593" s="2"/>
      <c r="E593" s="2"/>
      <c r="F593" s="2"/>
      <c r="G593" s="2"/>
      <c r="H593" s="2"/>
      <c r="I593" s="2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</row>
    <row r="594" spans="2:48" ht="15.75" customHeight="1" x14ac:dyDescent="0.2">
      <c r="B594" s="2"/>
      <c r="C594" s="2"/>
      <c r="D594" s="2"/>
      <c r="E594" s="2"/>
      <c r="F594" s="2"/>
      <c r="G594" s="2"/>
      <c r="H594" s="2"/>
      <c r="I594" s="2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</row>
    <row r="595" spans="2:48" ht="15.75" customHeight="1" x14ac:dyDescent="0.2">
      <c r="B595" s="2"/>
      <c r="C595" s="2"/>
      <c r="D595" s="2"/>
      <c r="E595" s="2"/>
      <c r="F595" s="2"/>
      <c r="G595" s="2"/>
      <c r="H595" s="2"/>
      <c r="I595" s="2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</row>
    <row r="596" spans="2:48" ht="15.75" customHeight="1" x14ac:dyDescent="0.2">
      <c r="B596" s="2"/>
      <c r="C596" s="2"/>
      <c r="D596" s="2"/>
      <c r="E596" s="2"/>
      <c r="F596" s="2"/>
      <c r="G596" s="2"/>
      <c r="H596" s="2"/>
      <c r="I596" s="2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</row>
    <row r="597" spans="2:48" ht="15.75" customHeight="1" x14ac:dyDescent="0.2">
      <c r="B597" s="2"/>
      <c r="C597" s="2"/>
      <c r="D597" s="2"/>
      <c r="E597" s="2"/>
      <c r="F597" s="2"/>
      <c r="G597" s="2"/>
      <c r="H597" s="2"/>
      <c r="I597" s="2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</row>
    <row r="598" spans="2:48" ht="15.75" customHeight="1" x14ac:dyDescent="0.2">
      <c r="B598" s="2"/>
      <c r="C598" s="2"/>
      <c r="D598" s="2"/>
      <c r="E598" s="2"/>
      <c r="F598" s="2"/>
      <c r="G598" s="2"/>
      <c r="H598" s="2"/>
      <c r="I598" s="2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</row>
    <row r="599" spans="2:48" ht="15.75" customHeight="1" x14ac:dyDescent="0.2">
      <c r="B599" s="2"/>
      <c r="C599" s="2"/>
      <c r="D599" s="2"/>
      <c r="E599" s="2"/>
      <c r="F599" s="2"/>
      <c r="G599" s="2"/>
      <c r="H599" s="2"/>
      <c r="I599" s="2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</row>
    <row r="600" spans="2:48" ht="15.75" customHeight="1" x14ac:dyDescent="0.2">
      <c r="B600" s="2"/>
      <c r="C600" s="2"/>
      <c r="D600" s="2"/>
      <c r="E600" s="2"/>
      <c r="F600" s="2"/>
      <c r="G600" s="2"/>
      <c r="H600" s="2"/>
      <c r="I600" s="2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</row>
    <row r="601" spans="2:48" ht="15.75" customHeight="1" x14ac:dyDescent="0.2">
      <c r="B601" s="2"/>
      <c r="C601" s="2"/>
      <c r="D601" s="2"/>
      <c r="E601" s="2"/>
      <c r="F601" s="2"/>
      <c r="G601" s="2"/>
      <c r="H601" s="2"/>
      <c r="I601" s="2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</row>
    <row r="602" spans="2:48" ht="15.75" customHeight="1" x14ac:dyDescent="0.2">
      <c r="B602" s="2"/>
      <c r="C602" s="2"/>
      <c r="D602" s="2"/>
      <c r="E602" s="2"/>
      <c r="F602" s="2"/>
      <c r="G602" s="2"/>
      <c r="H602" s="2"/>
      <c r="I602" s="2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2:48" ht="15.75" customHeight="1" x14ac:dyDescent="0.2">
      <c r="B603" s="2"/>
      <c r="C603" s="2"/>
      <c r="D603" s="2"/>
      <c r="E603" s="2"/>
      <c r="F603" s="2"/>
      <c r="G603" s="2"/>
      <c r="H603" s="2"/>
      <c r="I603" s="2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</row>
    <row r="604" spans="2:48" ht="15.75" customHeight="1" x14ac:dyDescent="0.2">
      <c r="B604" s="2"/>
      <c r="C604" s="2"/>
      <c r="D604" s="2"/>
      <c r="E604" s="2"/>
      <c r="F604" s="2"/>
      <c r="G604" s="2"/>
      <c r="H604" s="2"/>
      <c r="I604" s="2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</row>
    <row r="605" spans="2:48" ht="15.75" customHeight="1" x14ac:dyDescent="0.2">
      <c r="B605" s="2"/>
      <c r="C605" s="2"/>
      <c r="D605" s="2"/>
      <c r="E605" s="2"/>
      <c r="F605" s="2"/>
      <c r="G605" s="2"/>
      <c r="H605" s="2"/>
      <c r="I605" s="2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</row>
    <row r="606" spans="2:48" ht="15.75" customHeight="1" x14ac:dyDescent="0.2">
      <c r="B606" s="2"/>
      <c r="C606" s="2"/>
      <c r="D606" s="2"/>
      <c r="E606" s="2"/>
      <c r="F606" s="2"/>
      <c r="G606" s="2"/>
      <c r="H606" s="2"/>
      <c r="I606" s="2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</row>
    <row r="607" spans="2:48" ht="15.75" customHeight="1" x14ac:dyDescent="0.2">
      <c r="B607" s="2"/>
      <c r="C607" s="2"/>
      <c r="D607" s="2"/>
      <c r="E607" s="2"/>
      <c r="F607" s="2"/>
      <c r="G607" s="2"/>
      <c r="H607" s="2"/>
      <c r="I607" s="2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</row>
    <row r="608" spans="2:48" ht="15.75" customHeight="1" x14ac:dyDescent="0.2">
      <c r="B608" s="2"/>
      <c r="C608" s="2"/>
      <c r="D608" s="2"/>
      <c r="E608" s="2"/>
      <c r="F608" s="2"/>
      <c r="G608" s="2"/>
      <c r="H608" s="2"/>
      <c r="I608" s="2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</row>
    <row r="609" spans="2:48" ht="15.75" customHeight="1" x14ac:dyDescent="0.2">
      <c r="B609" s="2"/>
      <c r="C609" s="2"/>
      <c r="D609" s="2"/>
      <c r="E609" s="2"/>
      <c r="F609" s="2"/>
      <c r="G609" s="2"/>
      <c r="H609" s="2"/>
      <c r="I609" s="2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</row>
    <row r="610" spans="2:48" ht="15.75" customHeight="1" x14ac:dyDescent="0.2">
      <c r="B610" s="2"/>
      <c r="C610" s="2"/>
      <c r="D610" s="2"/>
      <c r="E610" s="2"/>
      <c r="F610" s="2"/>
      <c r="G610" s="2"/>
      <c r="H610" s="2"/>
      <c r="I610" s="2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</row>
    <row r="611" spans="2:48" ht="15.75" customHeight="1" x14ac:dyDescent="0.2">
      <c r="B611" s="2"/>
      <c r="C611" s="2"/>
      <c r="D611" s="2"/>
      <c r="E611" s="2"/>
      <c r="F611" s="2"/>
      <c r="G611" s="2"/>
      <c r="H611" s="2"/>
      <c r="I611" s="2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</row>
    <row r="612" spans="2:48" ht="15.75" customHeight="1" x14ac:dyDescent="0.2">
      <c r="B612" s="2"/>
      <c r="C612" s="2"/>
      <c r="D612" s="2"/>
      <c r="E612" s="2"/>
      <c r="F612" s="2"/>
      <c r="G612" s="2"/>
      <c r="H612" s="2"/>
      <c r="I612" s="2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</row>
    <row r="613" spans="2:48" ht="15.75" customHeight="1" x14ac:dyDescent="0.2">
      <c r="B613" s="2"/>
      <c r="C613" s="2"/>
      <c r="D613" s="2"/>
      <c r="E613" s="2"/>
      <c r="F613" s="2"/>
      <c r="G613" s="2"/>
      <c r="H613" s="2"/>
      <c r="I613" s="2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</row>
    <row r="614" spans="2:48" ht="15.75" customHeight="1" x14ac:dyDescent="0.2">
      <c r="B614" s="2"/>
      <c r="C614" s="2"/>
      <c r="D614" s="2"/>
      <c r="E614" s="2"/>
      <c r="F614" s="2"/>
      <c r="G614" s="2"/>
      <c r="H614" s="2"/>
      <c r="I614" s="2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</row>
    <row r="615" spans="2:48" ht="15.75" customHeight="1" x14ac:dyDescent="0.2">
      <c r="B615" s="2"/>
      <c r="C615" s="2"/>
      <c r="D615" s="2"/>
      <c r="E615" s="2"/>
      <c r="F615" s="2"/>
      <c r="G615" s="2"/>
      <c r="H615" s="2"/>
      <c r="I615" s="2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</row>
    <row r="616" spans="2:48" ht="15.75" customHeight="1" x14ac:dyDescent="0.2">
      <c r="B616" s="2"/>
      <c r="C616" s="2"/>
      <c r="D616" s="2"/>
      <c r="E616" s="2"/>
      <c r="F616" s="2"/>
      <c r="G616" s="2"/>
      <c r="H616" s="2"/>
      <c r="I616" s="2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</row>
    <row r="617" spans="2:48" ht="15.75" customHeight="1" x14ac:dyDescent="0.2">
      <c r="B617" s="2"/>
      <c r="C617" s="2"/>
      <c r="D617" s="2"/>
      <c r="E617" s="2"/>
      <c r="F617" s="2"/>
      <c r="G617" s="2"/>
      <c r="H617" s="2"/>
      <c r="I617" s="2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</row>
    <row r="618" spans="2:48" ht="15.75" customHeight="1" x14ac:dyDescent="0.2">
      <c r="B618" s="2"/>
      <c r="C618" s="2"/>
      <c r="D618" s="2"/>
      <c r="E618" s="2"/>
      <c r="F618" s="2"/>
      <c r="G618" s="2"/>
      <c r="H618" s="2"/>
      <c r="I618" s="2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</row>
    <row r="619" spans="2:48" ht="15.75" customHeight="1" x14ac:dyDescent="0.2">
      <c r="B619" s="2"/>
      <c r="C619" s="2"/>
      <c r="D619" s="2"/>
      <c r="E619" s="2"/>
      <c r="F619" s="2"/>
      <c r="G619" s="2"/>
      <c r="H619" s="2"/>
      <c r="I619" s="2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</row>
    <row r="620" spans="2:48" ht="15.75" customHeight="1" x14ac:dyDescent="0.2">
      <c r="B620" s="2"/>
      <c r="C620" s="2"/>
      <c r="D620" s="2"/>
      <c r="E620" s="2"/>
      <c r="F620" s="2"/>
      <c r="G620" s="2"/>
      <c r="H620" s="2"/>
      <c r="I620" s="2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</row>
    <row r="621" spans="2:48" ht="15.75" customHeight="1" x14ac:dyDescent="0.2">
      <c r="B621" s="2"/>
      <c r="C621" s="2"/>
      <c r="D621" s="2"/>
      <c r="E621" s="2"/>
      <c r="F621" s="2"/>
      <c r="G621" s="2"/>
      <c r="H621" s="2"/>
      <c r="I621" s="2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</row>
    <row r="622" spans="2:48" ht="15.75" customHeight="1" x14ac:dyDescent="0.2">
      <c r="B622" s="2"/>
      <c r="C622" s="2"/>
      <c r="D622" s="2"/>
      <c r="E622" s="2"/>
      <c r="F622" s="2"/>
      <c r="G622" s="2"/>
      <c r="H622" s="2"/>
      <c r="I622" s="2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</row>
    <row r="623" spans="2:48" ht="15.75" customHeight="1" x14ac:dyDescent="0.2">
      <c r="B623" s="2"/>
      <c r="C623" s="2"/>
      <c r="D623" s="2"/>
      <c r="E623" s="2"/>
      <c r="F623" s="2"/>
      <c r="G623" s="2"/>
      <c r="H623" s="2"/>
      <c r="I623" s="2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</row>
    <row r="624" spans="2:48" ht="15.75" customHeight="1" x14ac:dyDescent="0.2">
      <c r="B624" s="2"/>
      <c r="C624" s="2"/>
      <c r="D624" s="2"/>
      <c r="E624" s="2"/>
      <c r="F624" s="2"/>
      <c r="G624" s="2"/>
      <c r="H624" s="2"/>
      <c r="I624" s="2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</row>
    <row r="625" spans="2:48" ht="15.75" customHeight="1" x14ac:dyDescent="0.2">
      <c r="B625" s="2"/>
      <c r="C625" s="2"/>
      <c r="D625" s="2"/>
      <c r="E625" s="2"/>
      <c r="F625" s="2"/>
      <c r="G625" s="2"/>
      <c r="H625" s="2"/>
      <c r="I625" s="2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</row>
    <row r="626" spans="2:48" ht="15.75" customHeight="1" x14ac:dyDescent="0.2">
      <c r="B626" s="2"/>
      <c r="C626" s="2"/>
      <c r="D626" s="2"/>
      <c r="E626" s="2"/>
      <c r="F626" s="2"/>
      <c r="G626" s="2"/>
      <c r="H626" s="2"/>
      <c r="I626" s="2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</row>
    <row r="627" spans="2:48" ht="15.75" customHeight="1" x14ac:dyDescent="0.2">
      <c r="B627" s="2"/>
      <c r="C627" s="2"/>
      <c r="D627" s="2"/>
      <c r="E627" s="2"/>
      <c r="F627" s="2"/>
      <c r="G627" s="2"/>
      <c r="H627" s="2"/>
      <c r="I627" s="2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</row>
    <row r="628" spans="2:48" ht="15.75" customHeight="1" x14ac:dyDescent="0.2">
      <c r="B628" s="2"/>
      <c r="C628" s="2"/>
      <c r="D628" s="2"/>
      <c r="E628" s="2"/>
      <c r="F628" s="2"/>
      <c r="G628" s="2"/>
      <c r="H628" s="2"/>
      <c r="I628" s="2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2:48" ht="15.75" customHeight="1" x14ac:dyDescent="0.2">
      <c r="B629" s="2"/>
      <c r="C629" s="2"/>
      <c r="D629" s="2"/>
      <c r="E629" s="2"/>
      <c r="F629" s="2"/>
      <c r="G629" s="2"/>
      <c r="H629" s="2"/>
      <c r="I629" s="2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</row>
    <row r="630" spans="2:48" ht="15.75" customHeight="1" x14ac:dyDescent="0.2">
      <c r="B630" s="2"/>
      <c r="C630" s="2"/>
      <c r="D630" s="2"/>
      <c r="E630" s="2"/>
      <c r="F630" s="2"/>
      <c r="G630" s="2"/>
      <c r="H630" s="2"/>
      <c r="I630" s="2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</row>
    <row r="631" spans="2:48" ht="15.75" customHeight="1" x14ac:dyDescent="0.2">
      <c r="B631" s="2"/>
      <c r="C631" s="2"/>
      <c r="D631" s="2"/>
      <c r="E631" s="2"/>
      <c r="F631" s="2"/>
      <c r="G631" s="2"/>
      <c r="H631" s="2"/>
      <c r="I631" s="2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</row>
    <row r="632" spans="2:48" ht="15.75" customHeight="1" x14ac:dyDescent="0.2">
      <c r="B632" s="2"/>
      <c r="C632" s="2"/>
      <c r="D632" s="2"/>
      <c r="E632" s="2"/>
      <c r="F632" s="2"/>
      <c r="G632" s="2"/>
      <c r="H632" s="2"/>
      <c r="I632" s="2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</row>
    <row r="633" spans="2:48" ht="15.75" customHeight="1" x14ac:dyDescent="0.2">
      <c r="B633" s="2"/>
      <c r="C633" s="2"/>
      <c r="D633" s="2"/>
      <c r="E633" s="2"/>
      <c r="F633" s="2"/>
      <c r="G633" s="2"/>
      <c r="H633" s="2"/>
      <c r="I633" s="2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</row>
    <row r="634" spans="2:48" ht="15.75" customHeight="1" x14ac:dyDescent="0.2">
      <c r="B634" s="2"/>
      <c r="C634" s="2"/>
      <c r="D634" s="2"/>
      <c r="E634" s="2"/>
      <c r="F634" s="2"/>
      <c r="G634" s="2"/>
      <c r="H634" s="2"/>
      <c r="I634" s="2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</row>
    <row r="635" spans="2:48" ht="15.75" customHeight="1" x14ac:dyDescent="0.2">
      <c r="B635" s="2"/>
      <c r="C635" s="2"/>
      <c r="D635" s="2"/>
      <c r="E635" s="2"/>
      <c r="F635" s="2"/>
      <c r="G635" s="2"/>
      <c r="H635" s="2"/>
      <c r="I635" s="2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</row>
    <row r="636" spans="2:48" ht="15.75" customHeight="1" x14ac:dyDescent="0.2">
      <c r="B636" s="2"/>
      <c r="C636" s="2"/>
      <c r="D636" s="2"/>
      <c r="E636" s="2"/>
      <c r="F636" s="2"/>
      <c r="G636" s="2"/>
      <c r="H636" s="2"/>
      <c r="I636" s="2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</row>
    <row r="637" spans="2:48" ht="15.75" customHeight="1" x14ac:dyDescent="0.2">
      <c r="B637" s="2"/>
      <c r="C637" s="2"/>
      <c r="D637" s="2"/>
      <c r="E637" s="2"/>
      <c r="F637" s="2"/>
      <c r="G637" s="2"/>
      <c r="H637" s="2"/>
      <c r="I637" s="2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</row>
    <row r="638" spans="2:48" ht="15.75" customHeight="1" x14ac:dyDescent="0.2">
      <c r="B638" s="2"/>
      <c r="C638" s="2"/>
      <c r="D638" s="2"/>
      <c r="E638" s="2"/>
      <c r="F638" s="2"/>
      <c r="G638" s="2"/>
      <c r="H638" s="2"/>
      <c r="I638" s="2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</row>
    <row r="639" spans="2:48" ht="15.75" customHeight="1" x14ac:dyDescent="0.2">
      <c r="B639" s="2"/>
      <c r="C639" s="2"/>
      <c r="D639" s="2"/>
      <c r="E639" s="2"/>
      <c r="F639" s="2"/>
      <c r="G639" s="2"/>
      <c r="H639" s="2"/>
      <c r="I639" s="2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</row>
    <row r="640" spans="2:48" ht="15.75" customHeight="1" x14ac:dyDescent="0.2">
      <c r="B640" s="2"/>
      <c r="C640" s="2"/>
      <c r="D640" s="2"/>
      <c r="E640" s="2"/>
      <c r="F640" s="2"/>
      <c r="G640" s="2"/>
      <c r="H640" s="2"/>
      <c r="I640" s="2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</row>
    <row r="641" spans="2:48" ht="15.75" customHeight="1" x14ac:dyDescent="0.2">
      <c r="B641" s="2"/>
      <c r="C641" s="2"/>
      <c r="D641" s="2"/>
      <c r="E641" s="2"/>
      <c r="F641" s="2"/>
      <c r="G641" s="2"/>
      <c r="H641" s="2"/>
      <c r="I641" s="2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</row>
    <row r="642" spans="2:48" ht="15.75" customHeight="1" x14ac:dyDescent="0.2">
      <c r="B642" s="2"/>
      <c r="C642" s="2"/>
      <c r="D642" s="2"/>
      <c r="E642" s="2"/>
      <c r="F642" s="2"/>
      <c r="G642" s="2"/>
      <c r="H642" s="2"/>
      <c r="I642" s="2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</row>
    <row r="643" spans="2:48" ht="15.75" customHeight="1" x14ac:dyDescent="0.2">
      <c r="B643" s="2"/>
      <c r="C643" s="2"/>
      <c r="D643" s="2"/>
      <c r="E643" s="2"/>
      <c r="F643" s="2"/>
      <c r="G643" s="2"/>
      <c r="H643" s="2"/>
      <c r="I643" s="2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</row>
    <row r="644" spans="2:48" ht="15.75" customHeight="1" x14ac:dyDescent="0.2">
      <c r="B644" s="2"/>
      <c r="C644" s="2"/>
      <c r="D644" s="2"/>
      <c r="E644" s="2"/>
      <c r="F644" s="2"/>
      <c r="G644" s="2"/>
      <c r="H644" s="2"/>
      <c r="I644" s="2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</row>
    <row r="645" spans="2:48" ht="15.75" customHeight="1" x14ac:dyDescent="0.2">
      <c r="B645" s="2"/>
      <c r="C645" s="2"/>
      <c r="D645" s="2"/>
      <c r="E645" s="2"/>
      <c r="F645" s="2"/>
      <c r="G645" s="2"/>
      <c r="H645" s="2"/>
      <c r="I645" s="2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</row>
    <row r="646" spans="2:48" ht="15.75" customHeight="1" x14ac:dyDescent="0.2">
      <c r="B646" s="2"/>
      <c r="C646" s="2"/>
      <c r="D646" s="2"/>
      <c r="E646" s="2"/>
      <c r="F646" s="2"/>
      <c r="G646" s="2"/>
      <c r="H646" s="2"/>
      <c r="I646" s="2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</row>
    <row r="647" spans="2:48" ht="15.75" customHeight="1" x14ac:dyDescent="0.2">
      <c r="B647" s="2"/>
      <c r="C647" s="2"/>
      <c r="D647" s="2"/>
      <c r="E647" s="2"/>
      <c r="F647" s="2"/>
      <c r="G647" s="2"/>
      <c r="H647" s="2"/>
      <c r="I647" s="2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</row>
    <row r="648" spans="2:48" ht="15.75" customHeight="1" x14ac:dyDescent="0.2">
      <c r="B648" s="2"/>
      <c r="C648" s="2"/>
      <c r="D648" s="2"/>
      <c r="E648" s="2"/>
      <c r="F648" s="2"/>
      <c r="G648" s="2"/>
      <c r="H648" s="2"/>
      <c r="I648" s="2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</row>
    <row r="649" spans="2:48" ht="15.75" customHeight="1" x14ac:dyDescent="0.2">
      <c r="B649" s="2"/>
      <c r="C649" s="2"/>
      <c r="D649" s="2"/>
      <c r="E649" s="2"/>
      <c r="F649" s="2"/>
      <c r="G649" s="2"/>
      <c r="H649" s="2"/>
      <c r="I649" s="2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</row>
    <row r="650" spans="2:48" ht="15.75" customHeight="1" x14ac:dyDescent="0.2">
      <c r="B650" s="2"/>
      <c r="C650" s="2"/>
      <c r="D650" s="2"/>
      <c r="E650" s="2"/>
      <c r="F650" s="2"/>
      <c r="G650" s="2"/>
      <c r="H650" s="2"/>
      <c r="I650" s="2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</row>
    <row r="651" spans="2:48" ht="15.75" customHeight="1" x14ac:dyDescent="0.2">
      <c r="B651" s="2"/>
      <c r="C651" s="2"/>
      <c r="D651" s="2"/>
      <c r="E651" s="2"/>
      <c r="F651" s="2"/>
      <c r="G651" s="2"/>
      <c r="H651" s="2"/>
      <c r="I651" s="2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</row>
    <row r="652" spans="2:48" ht="15.75" customHeight="1" x14ac:dyDescent="0.2">
      <c r="B652" s="2"/>
      <c r="C652" s="2"/>
      <c r="D652" s="2"/>
      <c r="E652" s="2"/>
      <c r="F652" s="2"/>
      <c r="G652" s="2"/>
      <c r="H652" s="2"/>
      <c r="I652" s="2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</row>
    <row r="653" spans="2:48" ht="15.75" customHeight="1" x14ac:dyDescent="0.2">
      <c r="B653" s="2"/>
      <c r="C653" s="2"/>
      <c r="D653" s="2"/>
      <c r="E653" s="2"/>
      <c r="F653" s="2"/>
      <c r="G653" s="2"/>
      <c r="H653" s="2"/>
      <c r="I653" s="2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</row>
    <row r="654" spans="2:48" ht="15.75" customHeight="1" x14ac:dyDescent="0.2">
      <c r="B654" s="2"/>
      <c r="C654" s="2"/>
      <c r="D654" s="2"/>
      <c r="E654" s="2"/>
      <c r="F654" s="2"/>
      <c r="G654" s="2"/>
      <c r="H654" s="2"/>
      <c r="I654" s="2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2:48" ht="15.75" customHeight="1" x14ac:dyDescent="0.2">
      <c r="B655" s="2"/>
      <c r="C655" s="2"/>
      <c r="D655" s="2"/>
      <c r="E655" s="2"/>
      <c r="F655" s="2"/>
      <c r="G655" s="2"/>
      <c r="H655" s="2"/>
      <c r="I655" s="2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</row>
    <row r="656" spans="2:48" ht="15.75" customHeight="1" x14ac:dyDescent="0.2">
      <c r="B656" s="2"/>
      <c r="C656" s="2"/>
      <c r="D656" s="2"/>
      <c r="E656" s="2"/>
      <c r="F656" s="2"/>
      <c r="G656" s="2"/>
      <c r="H656" s="2"/>
      <c r="I656" s="2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</row>
    <row r="657" spans="2:48" ht="15.75" customHeight="1" x14ac:dyDescent="0.2">
      <c r="B657" s="2"/>
      <c r="C657" s="2"/>
      <c r="D657" s="2"/>
      <c r="E657" s="2"/>
      <c r="F657" s="2"/>
      <c r="G657" s="2"/>
      <c r="H657" s="2"/>
      <c r="I657" s="2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</row>
    <row r="658" spans="2:48" ht="15.75" customHeight="1" x14ac:dyDescent="0.2">
      <c r="B658" s="2"/>
      <c r="C658" s="2"/>
      <c r="D658" s="2"/>
      <c r="E658" s="2"/>
      <c r="F658" s="2"/>
      <c r="G658" s="2"/>
      <c r="H658" s="2"/>
      <c r="I658" s="2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</row>
    <row r="659" spans="2:48" ht="15.75" customHeight="1" x14ac:dyDescent="0.2">
      <c r="B659" s="2"/>
      <c r="C659" s="2"/>
      <c r="D659" s="2"/>
      <c r="E659" s="2"/>
      <c r="F659" s="2"/>
      <c r="G659" s="2"/>
      <c r="H659" s="2"/>
      <c r="I659" s="2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</row>
    <row r="660" spans="2:48" ht="15.75" customHeight="1" x14ac:dyDescent="0.2">
      <c r="B660" s="2"/>
      <c r="C660" s="2"/>
      <c r="D660" s="2"/>
      <c r="E660" s="2"/>
      <c r="F660" s="2"/>
      <c r="G660" s="2"/>
      <c r="H660" s="2"/>
      <c r="I660" s="2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</row>
    <row r="661" spans="2:48" ht="15.75" customHeight="1" x14ac:dyDescent="0.2">
      <c r="B661" s="2"/>
      <c r="C661" s="2"/>
      <c r="D661" s="2"/>
      <c r="E661" s="2"/>
      <c r="F661" s="2"/>
      <c r="G661" s="2"/>
      <c r="H661" s="2"/>
      <c r="I661" s="2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</row>
    <row r="662" spans="2:48" ht="15.75" customHeight="1" x14ac:dyDescent="0.2">
      <c r="B662" s="2"/>
      <c r="C662" s="2"/>
      <c r="D662" s="2"/>
      <c r="E662" s="2"/>
      <c r="F662" s="2"/>
      <c r="G662" s="2"/>
      <c r="H662" s="2"/>
      <c r="I662" s="2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</row>
    <row r="663" spans="2:48" ht="15.75" customHeight="1" x14ac:dyDescent="0.2">
      <c r="B663" s="2"/>
      <c r="C663" s="2"/>
      <c r="D663" s="2"/>
      <c r="E663" s="2"/>
      <c r="F663" s="2"/>
      <c r="G663" s="2"/>
      <c r="H663" s="2"/>
      <c r="I663" s="2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</row>
    <row r="664" spans="2:48" ht="15.75" customHeight="1" x14ac:dyDescent="0.2">
      <c r="B664" s="2"/>
      <c r="C664" s="2"/>
      <c r="D664" s="2"/>
      <c r="E664" s="2"/>
      <c r="F664" s="2"/>
      <c r="G664" s="2"/>
      <c r="H664" s="2"/>
      <c r="I664" s="2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</row>
    <row r="665" spans="2:48" ht="15.75" customHeight="1" x14ac:dyDescent="0.2">
      <c r="B665" s="2"/>
      <c r="C665" s="2"/>
      <c r="D665" s="2"/>
      <c r="E665" s="2"/>
      <c r="F665" s="2"/>
      <c r="G665" s="2"/>
      <c r="H665" s="2"/>
      <c r="I665" s="2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</row>
    <row r="666" spans="2:48" ht="15.75" customHeight="1" x14ac:dyDescent="0.2">
      <c r="B666" s="2"/>
      <c r="C666" s="2"/>
      <c r="D666" s="2"/>
      <c r="E666" s="2"/>
      <c r="F666" s="2"/>
      <c r="G666" s="2"/>
      <c r="H666" s="2"/>
      <c r="I666" s="2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</row>
    <row r="667" spans="2:48" ht="15.75" customHeight="1" x14ac:dyDescent="0.2">
      <c r="B667" s="2"/>
      <c r="C667" s="2"/>
      <c r="D667" s="2"/>
      <c r="E667" s="2"/>
      <c r="F667" s="2"/>
      <c r="G667" s="2"/>
      <c r="H667" s="2"/>
      <c r="I667" s="2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</row>
    <row r="668" spans="2:48" ht="15.75" customHeight="1" x14ac:dyDescent="0.2">
      <c r="B668" s="2"/>
      <c r="C668" s="2"/>
      <c r="D668" s="2"/>
      <c r="E668" s="2"/>
      <c r="F668" s="2"/>
      <c r="G668" s="2"/>
      <c r="H668" s="2"/>
      <c r="I668" s="2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</row>
    <row r="669" spans="2:48" ht="15.75" customHeight="1" x14ac:dyDescent="0.2">
      <c r="B669" s="2"/>
      <c r="C669" s="2"/>
      <c r="D669" s="2"/>
      <c r="E669" s="2"/>
      <c r="F669" s="2"/>
      <c r="G669" s="2"/>
      <c r="H669" s="2"/>
      <c r="I669" s="2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</row>
    <row r="670" spans="2:48" ht="15.75" customHeight="1" x14ac:dyDescent="0.2">
      <c r="B670" s="2"/>
      <c r="C670" s="2"/>
      <c r="D670" s="2"/>
      <c r="E670" s="2"/>
      <c r="F670" s="2"/>
      <c r="G670" s="2"/>
      <c r="H670" s="2"/>
      <c r="I670" s="2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</row>
    <row r="671" spans="2:48" ht="15.75" customHeight="1" x14ac:dyDescent="0.2">
      <c r="B671" s="2"/>
      <c r="C671" s="2"/>
      <c r="D671" s="2"/>
      <c r="E671" s="2"/>
      <c r="F671" s="2"/>
      <c r="G671" s="2"/>
      <c r="H671" s="2"/>
      <c r="I671" s="2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</row>
    <row r="672" spans="2:48" ht="15.75" customHeight="1" x14ac:dyDescent="0.2">
      <c r="B672" s="2"/>
      <c r="C672" s="2"/>
      <c r="D672" s="2"/>
      <c r="E672" s="2"/>
      <c r="F672" s="2"/>
      <c r="G672" s="2"/>
      <c r="H672" s="2"/>
      <c r="I672" s="2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</row>
    <row r="673" spans="2:48" ht="15.75" customHeight="1" x14ac:dyDescent="0.2">
      <c r="B673" s="2"/>
      <c r="C673" s="2"/>
      <c r="D673" s="2"/>
      <c r="E673" s="2"/>
      <c r="F673" s="2"/>
      <c r="G673" s="2"/>
      <c r="H673" s="2"/>
      <c r="I673" s="2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</row>
    <row r="674" spans="2:48" ht="15.75" customHeight="1" x14ac:dyDescent="0.2">
      <c r="J674" s="2"/>
    </row>
    <row r="675" spans="2:48" ht="15.75" customHeight="1" x14ac:dyDescent="0.2">
      <c r="J675" s="2"/>
    </row>
    <row r="676" spans="2:48" ht="15.75" customHeight="1" x14ac:dyDescent="0.2">
      <c r="J676" s="2"/>
    </row>
    <row r="677" spans="2:48" ht="15.75" customHeight="1" x14ac:dyDescent="0.2">
      <c r="J677" s="2"/>
    </row>
    <row r="678" spans="2:48" ht="15.75" customHeight="1" x14ac:dyDescent="0.2">
      <c r="J678" s="2"/>
    </row>
    <row r="679" spans="2:48" ht="15.75" customHeight="1" x14ac:dyDescent="0.2">
      <c r="J679" s="2"/>
    </row>
    <row r="680" spans="2:48" ht="15.75" customHeight="1" x14ac:dyDescent="0.2"/>
    <row r="681" spans="2:48" ht="15.75" customHeight="1" x14ac:dyDescent="0.2"/>
    <row r="682" spans="2:48" ht="15.75" customHeight="1" x14ac:dyDescent="0.2"/>
    <row r="683" spans="2:48" ht="15.75" customHeight="1" x14ac:dyDescent="0.2"/>
    <row r="684" spans="2:48" s="2" customFormat="1" ht="15.75" customHeight="1" x14ac:dyDescent="0.2">
      <c r="B684"/>
      <c r="C684"/>
      <c r="D684"/>
      <c r="E684"/>
      <c r="F684"/>
      <c r="G684"/>
      <c r="H684"/>
      <c r="I684" s="35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</row>
    <row r="685" spans="2:48" s="2" customFormat="1" ht="15.75" customHeight="1" x14ac:dyDescent="0.2">
      <c r="B685"/>
      <c r="C685"/>
      <c r="D685"/>
      <c r="E685"/>
      <c r="F685"/>
      <c r="G685"/>
      <c r="H685"/>
      <c r="I685" s="3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</row>
    <row r="686" spans="2:48" s="2" customFormat="1" ht="15.75" customHeight="1" x14ac:dyDescent="0.2">
      <c r="B686"/>
      <c r="C686"/>
      <c r="D686"/>
      <c r="E686"/>
      <c r="F686"/>
      <c r="G686"/>
      <c r="H686"/>
      <c r="I686" s="35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</row>
    <row r="687" spans="2:48" s="2" customFormat="1" ht="15.75" customHeight="1" x14ac:dyDescent="0.2">
      <c r="B687"/>
      <c r="C687"/>
      <c r="D687"/>
      <c r="E687"/>
      <c r="F687"/>
      <c r="G687"/>
      <c r="H687"/>
      <c r="I687" s="35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</row>
    <row r="688" spans="2:48" s="2" customFormat="1" ht="15.75" customHeight="1" x14ac:dyDescent="0.2">
      <c r="B688"/>
      <c r="C688"/>
      <c r="D688"/>
      <c r="E688"/>
      <c r="F688"/>
      <c r="G688"/>
      <c r="H688"/>
      <c r="I688" s="35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</row>
    <row r="689" spans="2:48" s="2" customFormat="1" ht="15.75" customHeight="1" x14ac:dyDescent="0.2">
      <c r="B689"/>
      <c r="C689"/>
      <c r="D689"/>
      <c r="E689"/>
      <c r="F689"/>
      <c r="G689"/>
      <c r="H689"/>
      <c r="I689" s="35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</row>
    <row r="690" spans="2:48" s="2" customFormat="1" ht="15.75" customHeight="1" x14ac:dyDescent="0.2">
      <c r="B690"/>
      <c r="C690"/>
      <c r="D690"/>
      <c r="E690"/>
      <c r="F690"/>
      <c r="G690"/>
      <c r="H690"/>
      <c r="I690" s="35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</row>
    <row r="691" spans="2:48" s="2" customFormat="1" ht="15.75" customHeight="1" x14ac:dyDescent="0.2">
      <c r="B691"/>
      <c r="C691"/>
      <c r="D691"/>
      <c r="E691"/>
      <c r="F691"/>
      <c r="G691"/>
      <c r="H691"/>
      <c r="I691" s="35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</row>
    <row r="692" spans="2:48" s="2" customFormat="1" ht="15.75" customHeight="1" x14ac:dyDescent="0.2">
      <c r="B692"/>
      <c r="C692"/>
      <c r="D692"/>
      <c r="E692"/>
      <c r="F692"/>
      <c r="G692"/>
      <c r="H692"/>
      <c r="I692" s="35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</row>
    <row r="693" spans="2:48" s="2" customFormat="1" ht="15.75" customHeight="1" x14ac:dyDescent="0.2">
      <c r="B693"/>
      <c r="C693"/>
      <c r="D693"/>
      <c r="E693"/>
      <c r="F693"/>
      <c r="G693"/>
      <c r="H693"/>
      <c r="I693" s="35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</row>
    <row r="694" spans="2:48" s="2" customFormat="1" ht="15.75" customHeight="1" x14ac:dyDescent="0.2">
      <c r="B694"/>
      <c r="C694"/>
      <c r="D694"/>
      <c r="E694"/>
      <c r="F694"/>
      <c r="G694"/>
      <c r="H694"/>
      <c r="I694" s="35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</row>
    <row r="695" spans="2:48" s="2" customFormat="1" ht="15.75" customHeight="1" x14ac:dyDescent="0.2">
      <c r="B695"/>
      <c r="C695"/>
      <c r="D695"/>
      <c r="E695"/>
      <c r="F695"/>
      <c r="G695"/>
      <c r="H695"/>
      <c r="I695" s="3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</row>
    <row r="696" spans="2:48" s="2" customFormat="1" ht="15.75" customHeight="1" x14ac:dyDescent="0.2">
      <c r="B696"/>
      <c r="C696"/>
      <c r="D696"/>
      <c r="E696"/>
      <c r="F696"/>
      <c r="G696"/>
      <c r="H696"/>
      <c r="I696" s="35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</row>
    <row r="697" spans="2:48" s="2" customFormat="1" ht="15.75" customHeight="1" x14ac:dyDescent="0.2">
      <c r="B697"/>
      <c r="C697"/>
      <c r="D697"/>
      <c r="E697"/>
      <c r="F697"/>
      <c r="G697"/>
      <c r="H697"/>
      <c r="I697" s="35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</row>
    <row r="698" spans="2:48" s="2" customFormat="1" ht="15.75" customHeight="1" x14ac:dyDescent="0.2">
      <c r="B698"/>
      <c r="C698"/>
      <c r="D698"/>
      <c r="E698"/>
      <c r="F698"/>
      <c r="G698"/>
      <c r="H698"/>
      <c r="I698" s="35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</row>
    <row r="699" spans="2:48" s="2" customFormat="1" ht="15.75" customHeight="1" x14ac:dyDescent="0.2">
      <c r="B699"/>
      <c r="C699"/>
      <c r="D699"/>
      <c r="E699"/>
      <c r="F699"/>
      <c r="G699"/>
      <c r="H699"/>
      <c r="I699" s="35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</row>
    <row r="700" spans="2:48" s="2" customFormat="1" ht="15.75" customHeight="1" x14ac:dyDescent="0.2">
      <c r="B700"/>
      <c r="C700"/>
      <c r="D700"/>
      <c r="E700"/>
      <c r="F700"/>
      <c r="G700"/>
      <c r="H700"/>
      <c r="I700" s="35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</row>
    <row r="701" spans="2:48" s="2" customFormat="1" ht="15.75" customHeight="1" x14ac:dyDescent="0.2">
      <c r="B701"/>
      <c r="C701"/>
      <c r="D701"/>
      <c r="E701"/>
      <c r="F701"/>
      <c r="G701"/>
      <c r="H701"/>
      <c r="I701" s="35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</row>
    <row r="702" spans="2:48" s="2" customFormat="1" ht="15.75" customHeight="1" x14ac:dyDescent="0.2">
      <c r="B702"/>
      <c r="C702"/>
      <c r="D702"/>
      <c r="E702"/>
      <c r="F702"/>
      <c r="G702"/>
      <c r="H702"/>
      <c r="I702" s="35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</row>
    <row r="703" spans="2:48" s="2" customFormat="1" ht="15.75" customHeight="1" x14ac:dyDescent="0.2">
      <c r="B703"/>
      <c r="C703"/>
      <c r="D703"/>
      <c r="E703"/>
      <c r="F703"/>
      <c r="G703"/>
      <c r="H703"/>
      <c r="I703" s="35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</row>
    <row r="704" spans="2:48" s="2" customFormat="1" ht="15.75" customHeight="1" x14ac:dyDescent="0.2">
      <c r="B704"/>
      <c r="C704"/>
      <c r="D704"/>
      <c r="E704"/>
      <c r="F704"/>
      <c r="G704"/>
      <c r="H704"/>
      <c r="I704" s="35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</row>
    <row r="705" spans="2:48" s="2" customFormat="1" ht="15.75" customHeight="1" x14ac:dyDescent="0.2">
      <c r="B705"/>
      <c r="C705"/>
      <c r="D705"/>
      <c r="E705"/>
      <c r="F705"/>
      <c r="G705"/>
      <c r="H705"/>
      <c r="I705" s="3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</row>
    <row r="706" spans="2:48" s="2" customFormat="1" ht="15.75" customHeight="1" x14ac:dyDescent="0.2">
      <c r="B706"/>
      <c r="C706"/>
      <c r="D706"/>
      <c r="E706"/>
      <c r="F706"/>
      <c r="G706"/>
      <c r="H706"/>
      <c r="I706" s="35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</row>
    <row r="707" spans="2:48" s="2" customFormat="1" ht="15.75" customHeight="1" x14ac:dyDescent="0.2">
      <c r="B707"/>
      <c r="C707"/>
      <c r="D707"/>
      <c r="E707"/>
      <c r="F707"/>
      <c r="G707"/>
      <c r="H707"/>
      <c r="I707" s="35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</row>
    <row r="708" spans="2:48" s="2" customFormat="1" ht="15.75" customHeight="1" x14ac:dyDescent="0.2">
      <c r="B708"/>
      <c r="C708"/>
      <c r="D708"/>
      <c r="E708"/>
      <c r="F708"/>
      <c r="G708"/>
      <c r="H708"/>
      <c r="I708" s="35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</row>
    <row r="709" spans="2:48" s="2" customFormat="1" ht="15.75" customHeight="1" x14ac:dyDescent="0.2">
      <c r="B709"/>
      <c r="C709"/>
      <c r="D709"/>
      <c r="E709"/>
      <c r="F709"/>
      <c r="G709"/>
      <c r="H709"/>
      <c r="I709" s="35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</row>
    <row r="710" spans="2:48" s="2" customFormat="1" ht="15.75" customHeight="1" x14ac:dyDescent="0.2">
      <c r="B710"/>
      <c r="C710"/>
      <c r="D710"/>
      <c r="E710"/>
      <c r="F710"/>
      <c r="G710"/>
      <c r="H710"/>
      <c r="I710" s="35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</row>
    <row r="711" spans="2:48" s="2" customFormat="1" ht="15.75" customHeight="1" x14ac:dyDescent="0.2">
      <c r="B711"/>
      <c r="C711"/>
      <c r="D711"/>
      <c r="E711"/>
      <c r="F711"/>
      <c r="G711"/>
      <c r="H711"/>
      <c r="I711" s="35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</row>
    <row r="712" spans="2:48" s="2" customFormat="1" ht="15.75" customHeight="1" x14ac:dyDescent="0.2">
      <c r="B712"/>
      <c r="C712"/>
      <c r="D712"/>
      <c r="E712"/>
      <c r="F712"/>
      <c r="G712"/>
      <c r="H712"/>
      <c r="I712" s="35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</row>
    <row r="713" spans="2:48" s="2" customFormat="1" ht="15.75" customHeight="1" x14ac:dyDescent="0.2">
      <c r="B713"/>
      <c r="C713"/>
      <c r="D713"/>
      <c r="E713"/>
      <c r="F713"/>
      <c r="G713"/>
      <c r="H713"/>
      <c r="I713" s="35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</row>
    <row r="714" spans="2:48" s="2" customFormat="1" ht="15.75" customHeight="1" x14ac:dyDescent="0.2">
      <c r="B714"/>
      <c r="C714"/>
      <c r="D714"/>
      <c r="E714"/>
      <c r="F714"/>
      <c r="G714"/>
      <c r="H714"/>
      <c r="I714" s="35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</row>
    <row r="715" spans="2:48" s="2" customFormat="1" ht="15.75" customHeight="1" x14ac:dyDescent="0.2">
      <c r="B715"/>
      <c r="C715"/>
      <c r="D715"/>
      <c r="E715"/>
      <c r="F715"/>
      <c r="G715"/>
      <c r="H715"/>
      <c r="I715" s="3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</row>
    <row r="716" spans="2:48" s="2" customFormat="1" ht="15.75" customHeight="1" x14ac:dyDescent="0.2">
      <c r="B716"/>
      <c r="C716"/>
      <c r="D716"/>
      <c r="E716"/>
      <c r="F716"/>
      <c r="G716"/>
      <c r="H716"/>
      <c r="I716" s="35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</row>
    <row r="717" spans="2:48" s="2" customFormat="1" ht="15.75" customHeight="1" x14ac:dyDescent="0.2">
      <c r="B717"/>
      <c r="C717"/>
      <c r="D717"/>
      <c r="E717"/>
      <c r="F717"/>
      <c r="G717"/>
      <c r="H717"/>
      <c r="I717" s="35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</row>
    <row r="718" spans="2:48" s="2" customFormat="1" ht="15.75" customHeight="1" x14ac:dyDescent="0.2">
      <c r="B718"/>
      <c r="C718"/>
      <c r="D718"/>
      <c r="E718"/>
      <c r="F718"/>
      <c r="G718"/>
      <c r="H718"/>
      <c r="I718" s="35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</row>
    <row r="719" spans="2:48" s="2" customFormat="1" ht="15.75" customHeight="1" x14ac:dyDescent="0.2">
      <c r="B719"/>
      <c r="C719"/>
      <c r="D719"/>
      <c r="E719"/>
      <c r="F719"/>
      <c r="G719"/>
      <c r="H719"/>
      <c r="I719" s="35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</row>
    <row r="720" spans="2:48" s="2" customFormat="1" ht="15.75" customHeight="1" x14ac:dyDescent="0.2">
      <c r="B720"/>
      <c r="C720"/>
      <c r="D720"/>
      <c r="E720"/>
      <c r="F720"/>
      <c r="G720"/>
      <c r="H720"/>
      <c r="I720" s="35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</row>
    <row r="721" spans="2:48" s="2" customFormat="1" ht="15.75" customHeight="1" x14ac:dyDescent="0.2">
      <c r="B721"/>
      <c r="C721"/>
      <c r="D721"/>
      <c r="E721"/>
      <c r="F721"/>
      <c r="G721"/>
      <c r="H721"/>
      <c r="I721" s="35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</row>
    <row r="722" spans="2:48" s="2" customFormat="1" ht="15.75" customHeight="1" x14ac:dyDescent="0.2">
      <c r="B722"/>
      <c r="C722"/>
      <c r="D722"/>
      <c r="E722"/>
      <c r="F722"/>
      <c r="G722"/>
      <c r="H722"/>
      <c r="I722" s="35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</row>
    <row r="723" spans="2:48" s="2" customFormat="1" ht="15.75" customHeight="1" x14ac:dyDescent="0.2">
      <c r="B723"/>
      <c r="C723"/>
      <c r="D723"/>
      <c r="E723"/>
      <c r="F723"/>
      <c r="G723"/>
      <c r="H723"/>
      <c r="I723" s="35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</row>
    <row r="724" spans="2:48" s="2" customFormat="1" ht="15.75" customHeight="1" x14ac:dyDescent="0.2">
      <c r="B724"/>
      <c r="C724"/>
      <c r="D724"/>
      <c r="E724"/>
      <c r="F724"/>
      <c r="G724"/>
      <c r="H724"/>
      <c r="I724" s="35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</row>
    <row r="725" spans="2:48" s="2" customFormat="1" ht="15.75" customHeight="1" x14ac:dyDescent="0.2">
      <c r="B725"/>
      <c r="C725"/>
      <c r="D725"/>
      <c r="E725"/>
      <c r="F725"/>
      <c r="G725"/>
      <c r="H725"/>
      <c r="I725" s="3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</row>
    <row r="726" spans="2:48" s="2" customFormat="1" ht="15.75" customHeight="1" x14ac:dyDescent="0.2">
      <c r="B726"/>
      <c r="C726"/>
      <c r="D726"/>
      <c r="E726"/>
      <c r="F726"/>
      <c r="G726"/>
      <c r="H726"/>
      <c r="I726" s="35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</row>
    <row r="727" spans="2:48" s="2" customFormat="1" ht="15.75" customHeight="1" x14ac:dyDescent="0.2">
      <c r="B727"/>
      <c r="C727"/>
      <c r="D727"/>
      <c r="E727"/>
      <c r="F727"/>
      <c r="G727"/>
      <c r="H727"/>
      <c r="I727" s="35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</row>
    <row r="728" spans="2:48" s="2" customFormat="1" ht="15.75" customHeight="1" x14ac:dyDescent="0.2">
      <c r="B728"/>
      <c r="C728"/>
      <c r="D728"/>
      <c r="E728"/>
      <c r="F728"/>
      <c r="G728"/>
      <c r="H728"/>
      <c r="I728" s="35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</row>
    <row r="729" spans="2:48" s="2" customFormat="1" ht="15.75" customHeight="1" x14ac:dyDescent="0.2">
      <c r="B729"/>
      <c r="C729"/>
      <c r="D729"/>
      <c r="E729"/>
      <c r="F729"/>
      <c r="G729"/>
      <c r="H729"/>
      <c r="I729" s="35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</row>
    <row r="730" spans="2:48" s="2" customFormat="1" ht="15.75" customHeight="1" x14ac:dyDescent="0.2">
      <c r="B730"/>
      <c r="C730"/>
      <c r="D730"/>
      <c r="E730"/>
      <c r="F730"/>
      <c r="G730"/>
      <c r="H730"/>
      <c r="I730" s="35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</row>
    <row r="731" spans="2:48" s="2" customFormat="1" ht="15.75" customHeight="1" x14ac:dyDescent="0.2">
      <c r="B731"/>
      <c r="C731"/>
      <c r="D731"/>
      <c r="E731"/>
      <c r="F731"/>
      <c r="G731"/>
      <c r="H731"/>
      <c r="I731" s="35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</row>
    <row r="732" spans="2:48" s="2" customFormat="1" ht="15.75" customHeight="1" x14ac:dyDescent="0.2">
      <c r="B732"/>
      <c r="C732"/>
      <c r="D732"/>
      <c r="E732"/>
      <c r="F732"/>
      <c r="G732"/>
      <c r="H732"/>
      <c r="I732" s="35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</row>
    <row r="733" spans="2:48" s="2" customFormat="1" ht="15.75" customHeight="1" x14ac:dyDescent="0.2">
      <c r="B733"/>
      <c r="C733"/>
      <c r="D733"/>
      <c r="E733"/>
      <c r="F733"/>
      <c r="G733"/>
      <c r="H733"/>
      <c r="I733" s="35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</row>
    <row r="734" spans="2:48" s="2" customFormat="1" ht="15.75" customHeight="1" x14ac:dyDescent="0.2">
      <c r="B734"/>
      <c r="C734"/>
      <c r="D734"/>
      <c r="E734"/>
      <c r="F734"/>
      <c r="G734"/>
      <c r="H734"/>
      <c r="I734" s="35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</row>
    <row r="735" spans="2:48" s="2" customFormat="1" ht="15.75" customHeight="1" x14ac:dyDescent="0.2">
      <c r="B735"/>
      <c r="C735"/>
      <c r="D735"/>
      <c r="E735"/>
      <c r="F735"/>
      <c r="G735"/>
      <c r="H735"/>
      <c r="I735" s="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</row>
    <row r="736" spans="2:48" s="2" customFormat="1" ht="15.75" customHeight="1" x14ac:dyDescent="0.2">
      <c r="B736"/>
      <c r="C736"/>
      <c r="D736"/>
      <c r="E736"/>
      <c r="F736"/>
      <c r="G736"/>
      <c r="H736"/>
      <c r="I736" s="35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</row>
    <row r="737" spans="2:48" s="2" customFormat="1" ht="15.75" customHeight="1" x14ac:dyDescent="0.2">
      <c r="B737"/>
      <c r="C737"/>
      <c r="D737"/>
      <c r="E737"/>
      <c r="F737"/>
      <c r="G737"/>
      <c r="H737"/>
      <c r="I737" s="35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</row>
    <row r="738" spans="2:48" s="2" customFormat="1" ht="15.75" customHeight="1" x14ac:dyDescent="0.2">
      <c r="B738"/>
      <c r="C738"/>
      <c r="D738"/>
      <c r="E738"/>
      <c r="F738"/>
      <c r="G738"/>
      <c r="H738"/>
      <c r="I738" s="35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</row>
    <row r="739" spans="2:48" s="2" customFormat="1" ht="15.75" customHeight="1" x14ac:dyDescent="0.2">
      <c r="B739"/>
      <c r="C739"/>
      <c r="D739"/>
      <c r="E739"/>
      <c r="F739"/>
      <c r="G739"/>
      <c r="H739"/>
      <c r="I739" s="35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</row>
    <row r="740" spans="2:48" s="2" customFormat="1" ht="15.75" customHeight="1" x14ac:dyDescent="0.2">
      <c r="B740"/>
      <c r="C740"/>
      <c r="D740"/>
      <c r="E740"/>
      <c r="F740"/>
      <c r="G740"/>
      <c r="H740"/>
      <c r="I740" s="35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</row>
    <row r="741" spans="2:48" s="2" customFormat="1" ht="15.75" customHeight="1" x14ac:dyDescent="0.2">
      <c r="B741"/>
      <c r="C741"/>
      <c r="D741"/>
      <c r="E741"/>
      <c r="F741"/>
      <c r="G741"/>
      <c r="H741"/>
      <c r="I741" s="35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</row>
    <row r="742" spans="2:48" s="2" customFormat="1" ht="15.75" customHeight="1" x14ac:dyDescent="0.2">
      <c r="B742"/>
      <c r="C742"/>
      <c r="D742"/>
      <c r="E742"/>
      <c r="F742"/>
      <c r="G742"/>
      <c r="H742"/>
      <c r="I742" s="35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</row>
    <row r="743" spans="2:48" s="2" customFormat="1" ht="15.75" customHeight="1" x14ac:dyDescent="0.2">
      <c r="B743"/>
      <c r="C743"/>
      <c r="D743"/>
      <c r="E743"/>
      <c r="F743"/>
      <c r="G743"/>
      <c r="H743"/>
      <c r="I743" s="35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</row>
    <row r="744" spans="2:48" s="2" customFormat="1" ht="15.75" customHeight="1" x14ac:dyDescent="0.2">
      <c r="B744"/>
      <c r="C744"/>
      <c r="D744"/>
      <c r="E744"/>
      <c r="F744"/>
      <c r="G744"/>
      <c r="H744"/>
      <c r="I744" s="35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</row>
    <row r="745" spans="2:48" s="2" customFormat="1" ht="15.75" customHeight="1" x14ac:dyDescent="0.2">
      <c r="B745"/>
      <c r="C745"/>
      <c r="D745"/>
      <c r="E745"/>
      <c r="F745"/>
      <c r="G745"/>
      <c r="H745"/>
      <c r="I745" s="3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</row>
    <row r="746" spans="2:48" s="2" customFormat="1" ht="15.75" customHeight="1" x14ac:dyDescent="0.2">
      <c r="B746"/>
      <c r="C746"/>
      <c r="D746"/>
      <c r="E746"/>
      <c r="F746"/>
      <c r="G746"/>
      <c r="H746"/>
      <c r="I746" s="35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</row>
    <row r="747" spans="2:48" s="2" customFormat="1" ht="15.75" customHeight="1" x14ac:dyDescent="0.2">
      <c r="B747"/>
      <c r="C747"/>
      <c r="D747"/>
      <c r="E747"/>
      <c r="F747"/>
      <c r="G747"/>
      <c r="H747"/>
      <c r="I747" s="35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</row>
    <row r="748" spans="2:48" s="2" customFormat="1" ht="15.75" customHeight="1" x14ac:dyDescent="0.2">
      <c r="B748"/>
      <c r="C748"/>
      <c r="D748"/>
      <c r="E748"/>
      <c r="F748"/>
      <c r="G748"/>
      <c r="H748"/>
      <c r="I748" s="35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</row>
    <row r="749" spans="2:48" s="2" customFormat="1" ht="15.75" customHeight="1" x14ac:dyDescent="0.2">
      <c r="B749"/>
      <c r="C749"/>
      <c r="D749"/>
      <c r="E749"/>
      <c r="F749"/>
      <c r="G749"/>
      <c r="H749"/>
      <c r="I749" s="35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</row>
    <row r="750" spans="2:48" s="2" customFormat="1" ht="15.75" customHeight="1" x14ac:dyDescent="0.2">
      <c r="B750"/>
      <c r="C750"/>
      <c r="D750"/>
      <c r="E750"/>
      <c r="F750"/>
      <c r="G750"/>
      <c r="H750"/>
      <c r="I750" s="35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</row>
    <row r="751" spans="2:48" s="2" customFormat="1" ht="15.75" customHeight="1" x14ac:dyDescent="0.2">
      <c r="B751"/>
      <c r="C751"/>
      <c r="D751"/>
      <c r="E751"/>
      <c r="F751"/>
      <c r="G751"/>
      <c r="H751"/>
      <c r="I751" s="35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</row>
    <row r="752" spans="2:48" s="2" customFormat="1" ht="15.75" customHeight="1" x14ac:dyDescent="0.2">
      <c r="B752"/>
      <c r="C752"/>
      <c r="D752"/>
      <c r="E752"/>
      <c r="F752"/>
      <c r="G752"/>
      <c r="H752"/>
      <c r="I752" s="35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</row>
    <row r="753" spans="2:48" s="2" customFormat="1" ht="15.75" customHeight="1" x14ac:dyDescent="0.2">
      <c r="B753"/>
      <c r="C753"/>
      <c r="D753"/>
      <c r="E753"/>
      <c r="F753"/>
      <c r="G753"/>
      <c r="H753"/>
      <c r="I753" s="35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</row>
    <row r="754" spans="2:48" s="2" customFormat="1" ht="15.75" customHeight="1" x14ac:dyDescent="0.2">
      <c r="B754"/>
      <c r="C754"/>
      <c r="D754"/>
      <c r="E754"/>
      <c r="F754"/>
      <c r="G754"/>
      <c r="H754"/>
      <c r="I754" s="35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</row>
    <row r="755" spans="2:48" s="2" customFormat="1" ht="15.75" customHeight="1" x14ac:dyDescent="0.2">
      <c r="B755"/>
      <c r="C755"/>
      <c r="D755"/>
      <c r="E755"/>
      <c r="F755"/>
      <c r="G755"/>
      <c r="H755"/>
      <c r="I755" s="3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</row>
    <row r="756" spans="2:48" s="2" customFormat="1" ht="15.75" customHeight="1" x14ac:dyDescent="0.2">
      <c r="B756"/>
      <c r="C756"/>
      <c r="D756"/>
      <c r="E756"/>
      <c r="F756"/>
      <c r="G756"/>
      <c r="H756"/>
      <c r="I756" s="35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</row>
    <row r="757" spans="2:48" s="2" customFormat="1" ht="15.75" customHeight="1" x14ac:dyDescent="0.2">
      <c r="B757"/>
      <c r="C757"/>
      <c r="D757"/>
      <c r="E757"/>
      <c r="F757"/>
      <c r="G757"/>
      <c r="H757"/>
      <c r="I757" s="35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</row>
    <row r="758" spans="2:48" s="2" customFormat="1" ht="15.75" customHeight="1" x14ac:dyDescent="0.2">
      <c r="B758"/>
      <c r="C758"/>
      <c r="D758"/>
      <c r="E758"/>
      <c r="F758"/>
      <c r="G758"/>
      <c r="H758"/>
      <c r="I758" s="35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</row>
    <row r="759" spans="2:48" s="2" customFormat="1" ht="15.75" customHeight="1" x14ac:dyDescent="0.2">
      <c r="B759"/>
      <c r="C759"/>
      <c r="D759"/>
      <c r="E759"/>
      <c r="F759"/>
      <c r="G759"/>
      <c r="H759"/>
      <c r="I759" s="35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</row>
    <row r="760" spans="2:48" s="2" customFormat="1" ht="15.75" customHeight="1" x14ac:dyDescent="0.2">
      <c r="B760"/>
      <c r="C760"/>
      <c r="D760"/>
      <c r="E760"/>
      <c r="F760"/>
      <c r="G760"/>
      <c r="H760"/>
      <c r="I760" s="35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</row>
    <row r="761" spans="2:48" s="2" customFormat="1" ht="15.75" customHeight="1" x14ac:dyDescent="0.2">
      <c r="B761"/>
      <c r="C761"/>
      <c r="D761"/>
      <c r="E761"/>
      <c r="F761"/>
      <c r="G761"/>
      <c r="H761"/>
      <c r="I761" s="35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</row>
    <row r="762" spans="2:48" s="2" customFormat="1" ht="15.75" customHeight="1" x14ac:dyDescent="0.2">
      <c r="B762"/>
      <c r="C762"/>
      <c r="D762"/>
      <c r="E762"/>
      <c r="F762"/>
      <c r="G762"/>
      <c r="H762"/>
      <c r="I762" s="35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</row>
    <row r="763" spans="2:48" s="2" customFormat="1" ht="15.75" customHeight="1" x14ac:dyDescent="0.2">
      <c r="B763"/>
      <c r="C763"/>
      <c r="D763"/>
      <c r="E763"/>
      <c r="F763"/>
      <c r="G763"/>
      <c r="H763"/>
      <c r="I763" s="35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</row>
    <row r="764" spans="2:48" s="2" customFormat="1" ht="15.75" customHeight="1" x14ac:dyDescent="0.2">
      <c r="B764"/>
      <c r="C764"/>
      <c r="D764"/>
      <c r="E764"/>
      <c r="F764"/>
      <c r="G764"/>
      <c r="H764"/>
      <c r="I764" s="35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</row>
    <row r="765" spans="2:48" s="2" customFormat="1" ht="15.75" customHeight="1" x14ac:dyDescent="0.2">
      <c r="B765"/>
      <c r="C765"/>
      <c r="D765"/>
      <c r="E765"/>
      <c r="F765"/>
      <c r="G765"/>
      <c r="H765"/>
      <c r="I765" s="3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</row>
    <row r="766" spans="2:48" s="2" customFormat="1" ht="15.75" customHeight="1" x14ac:dyDescent="0.2">
      <c r="B766"/>
      <c r="C766"/>
      <c r="D766"/>
      <c r="E766"/>
      <c r="F766"/>
      <c r="G766"/>
      <c r="H766"/>
      <c r="I766" s="35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</row>
    <row r="767" spans="2:48" s="2" customFormat="1" ht="15.75" customHeight="1" x14ac:dyDescent="0.2">
      <c r="B767"/>
      <c r="C767"/>
      <c r="D767"/>
      <c r="E767"/>
      <c r="F767"/>
      <c r="G767"/>
      <c r="H767"/>
      <c r="I767" s="35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</row>
    <row r="768" spans="2:48" s="2" customFormat="1" ht="15.75" customHeight="1" x14ac:dyDescent="0.2">
      <c r="B768"/>
      <c r="C768"/>
      <c r="D768"/>
      <c r="E768"/>
      <c r="F768"/>
      <c r="G768"/>
      <c r="H768"/>
      <c r="I768" s="35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</row>
    <row r="769" spans="2:48" s="2" customFormat="1" ht="15.75" customHeight="1" x14ac:dyDescent="0.2">
      <c r="B769"/>
      <c r="C769"/>
      <c r="D769"/>
      <c r="E769"/>
      <c r="F769"/>
      <c r="G769"/>
      <c r="H769"/>
      <c r="I769" s="35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</row>
    <row r="770" spans="2:48" s="2" customFormat="1" ht="15.75" customHeight="1" x14ac:dyDescent="0.2">
      <c r="B770"/>
      <c r="C770"/>
      <c r="D770"/>
      <c r="E770"/>
      <c r="F770"/>
      <c r="G770"/>
      <c r="H770"/>
      <c r="I770" s="35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</row>
    <row r="771" spans="2:48" s="2" customFormat="1" ht="15.75" customHeight="1" x14ac:dyDescent="0.2">
      <c r="B771"/>
      <c r="C771"/>
      <c r="D771"/>
      <c r="E771"/>
      <c r="F771"/>
      <c r="G771"/>
      <c r="H771"/>
      <c r="I771" s="35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</row>
    <row r="772" spans="2:48" s="2" customFormat="1" ht="15.75" customHeight="1" x14ac:dyDescent="0.2">
      <c r="B772"/>
      <c r="C772"/>
      <c r="D772"/>
      <c r="E772"/>
      <c r="F772"/>
      <c r="G772"/>
      <c r="H772"/>
      <c r="I772" s="35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</row>
    <row r="773" spans="2:48" s="2" customFormat="1" ht="15.75" customHeight="1" x14ac:dyDescent="0.2">
      <c r="B773"/>
      <c r="C773"/>
      <c r="D773"/>
      <c r="E773"/>
      <c r="F773"/>
      <c r="G773"/>
      <c r="H773"/>
      <c r="I773" s="35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</row>
    <row r="774" spans="2:48" s="2" customFormat="1" ht="15.75" customHeight="1" x14ac:dyDescent="0.2">
      <c r="B774"/>
      <c r="C774"/>
      <c r="D774"/>
      <c r="E774"/>
      <c r="F774"/>
      <c r="G774"/>
      <c r="H774"/>
      <c r="I774" s="35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</row>
    <row r="775" spans="2:48" s="2" customFormat="1" ht="15.75" customHeight="1" x14ac:dyDescent="0.2">
      <c r="B775"/>
      <c r="C775"/>
      <c r="D775"/>
      <c r="E775"/>
      <c r="F775"/>
      <c r="G775"/>
      <c r="H775"/>
      <c r="I775" s="3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</row>
    <row r="776" spans="2:48" s="2" customFormat="1" ht="15.75" customHeight="1" x14ac:dyDescent="0.2">
      <c r="B776"/>
      <c r="C776"/>
      <c r="D776"/>
      <c r="E776"/>
      <c r="F776"/>
      <c r="G776"/>
      <c r="H776"/>
      <c r="I776" s="35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</row>
    <row r="777" spans="2:48" s="2" customFormat="1" ht="15.75" customHeight="1" x14ac:dyDescent="0.2">
      <c r="B777"/>
      <c r="C777"/>
      <c r="D777"/>
      <c r="E777"/>
      <c r="F777"/>
      <c r="G777"/>
      <c r="H777"/>
      <c r="I777" s="35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</row>
  </sheetData>
  <mergeCells count="2">
    <mergeCell ref="A4:I4"/>
    <mergeCell ref="A5:I5"/>
  </mergeCells>
  <pageMargins left="0.55118110236220474" right="0.15748031496062992" top="0.55118110236220474" bottom="0.15748031496062992" header="0.15748031496062992" footer="0.15748031496062992"/>
  <pageSetup paperSize="9" scale="66" orientation="portrait" r:id="rId1"/>
  <headerFooter alignWithMargins="0"/>
  <rowBreaks count="1" manualBreakCount="1">
    <brk id="78" max="8" man="1"/>
  </rowBreaks>
  <colBreaks count="1" manualBreakCount="1">
    <brk id="9" max="11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709"/>
  <sheetViews>
    <sheetView zoomScaleNormal="100" workbookViewId="0">
      <selection activeCell="A8" sqref="A8"/>
    </sheetView>
  </sheetViews>
  <sheetFormatPr defaultRowHeight="12.75" x14ac:dyDescent="0.2"/>
  <cols>
    <col min="1" max="1" width="6.28515625" style="2" customWidth="1"/>
    <col min="2" max="2" width="60.7109375" customWidth="1"/>
    <col min="3" max="3" width="9.28515625" customWidth="1"/>
    <col min="4" max="4" width="14.140625" customWidth="1"/>
    <col min="5" max="5" width="9.42578125" hidden="1" customWidth="1"/>
    <col min="6" max="6" width="14.42578125" customWidth="1"/>
    <col min="7" max="7" width="8.42578125" customWidth="1"/>
    <col min="8" max="8" width="15" customWidth="1"/>
    <col min="9" max="9" width="14.85546875" style="35" hidden="1" customWidth="1"/>
    <col min="10" max="10" width="3.85546875" customWidth="1"/>
    <col min="11" max="18" width="9.140625" customWidth="1"/>
  </cols>
  <sheetData>
    <row r="1" spans="1:37" ht="15" customHeight="1" x14ac:dyDescent="0.3">
      <c r="A1" s="54"/>
      <c r="B1" s="33"/>
      <c r="H1" s="55" t="s">
        <v>439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" customHeight="1" x14ac:dyDescent="0.3">
      <c r="A2" s="54"/>
      <c r="B2" s="33"/>
      <c r="H2" s="55" t="str">
        <f>'1.Bev-kiad.'!H2</f>
        <v>az 1/2026.(II.26.) önkormányzati rendelethez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" customHeight="1" x14ac:dyDescent="0.3">
      <c r="A3" s="54"/>
      <c r="B3" s="33"/>
      <c r="D3" s="55"/>
      <c r="E3" s="55"/>
      <c r="H3" s="55" t="s">
        <v>677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" customHeight="1" x14ac:dyDescent="0.3">
      <c r="A4" s="54"/>
      <c r="B4" s="33"/>
      <c r="C4" s="5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9.5" x14ac:dyDescent="0.35">
      <c r="A5" s="522" t="s">
        <v>354</v>
      </c>
      <c r="B5" s="522"/>
      <c r="C5" s="522"/>
      <c r="D5" s="522"/>
      <c r="E5" s="522"/>
      <c r="F5" s="522"/>
      <c r="G5" s="522"/>
      <c r="H5" s="522"/>
      <c r="I5" s="52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9.5" x14ac:dyDescent="0.35">
      <c r="A6" s="522" t="s">
        <v>612</v>
      </c>
      <c r="B6" s="522"/>
      <c r="C6" s="522"/>
      <c r="D6" s="522"/>
      <c r="E6" s="522"/>
      <c r="F6" s="522"/>
      <c r="G6" s="522"/>
      <c r="H6" s="522"/>
      <c r="I6" s="52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3.5" thickBot="1" x14ac:dyDescent="0.25">
      <c r="A7" s="54"/>
      <c r="B7" s="1"/>
      <c r="H7" s="55" t="s"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53.25" customHeight="1" thickBot="1" x14ac:dyDescent="0.25">
      <c r="A8" s="163" t="s">
        <v>100</v>
      </c>
      <c r="B8" s="246" t="s">
        <v>190</v>
      </c>
      <c r="C8" s="419" t="str">
        <f>'1.Bev-kiad.'!C8</f>
        <v>Teljesítés 2024.12.31.</v>
      </c>
      <c r="D8" s="210" t="str">
        <f>'1.Bev-kiad.'!D8</f>
        <v>2025. évi eredeti előirányzat</v>
      </c>
      <c r="E8" s="453" t="s">
        <v>674</v>
      </c>
      <c r="F8" s="210" t="str">
        <f>'1.Bev-kiad.'!F8</f>
        <v>Módosított előirányzat 2025.10.havi</v>
      </c>
      <c r="G8" s="453" t="s">
        <v>674</v>
      </c>
      <c r="H8" s="210" t="str">
        <f>'1.Bev-kiad.'!H8</f>
        <v>Módosított előirányzat 2025.12.31.</v>
      </c>
      <c r="I8" s="42" t="str">
        <f>'2.működés'!I7</f>
        <v>Teljesítés 2025.12.31.</v>
      </c>
      <c r="J8" s="22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20.25" customHeight="1" x14ac:dyDescent="0.2">
      <c r="A9" s="164" t="s">
        <v>101</v>
      </c>
      <c r="B9" s="156" t="s">
        <v>338</v>
      </c>
      <c r="C9" s="420">
        <f>SUM(C14+C24+C30)</f>
        <v>5988</v>
      </c>
      <c r="D9" s="201">
        <f>SUM(D14+D24+D30)</f>
        <v>0</v>
      </c>
      <c r="E9" s="454">
        <f>F9-D9</f>
        <v>12028</v>
      </c>
      <c r="F9" s="201">
        <f>SUM(F14+F24+F30)</f>
        <v>12028</v>
      </c>
      <c r="G9" s="454">
        <f>H9-F9</f>
        <v>0</v>
      </c>
      <c r="H9" s="201">
        <f>SUM(H14+H24+H30)</f>
        <v>12028</v>
      </c>
      <c r="I9" s="201">
        <f>SUM(I14+I24+I30)</f>
        <v>12028</v>
      </c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2.75" hidden="1" customHeight="1" x14ac:dyDescent="0.2">
      <c r="A10" s="8" t="s">
        <v>104</v>
      </c>
      <c r="B10" s="159" t="s">
        <v>108</v>
      </c>
      <c r="C10" s="421"/>
      <c r="D10" s="6"/>
      <c r="E10" s="454">
        <f t="shared" ref="E10:G37" si="0">F10-D10</f>
        <v>0</v>
      </c>
      <c r="F10" s="6"/>
      <c r="G10" s="454">
        <f t="shared" si="0"/>
        <v>0</v>
      </c>
      <c r="H10" s="6"/>
      <c r="I10" s="6"/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2.75" hidden="1" customHeight="1" x14ac:dyDescent="0.2">
      <c r="A11" s="8" t="s">
        <v>105</v>
      </c>
      <c r="B11" s="159" t="s">
        <v>109</v>
      </c>
      <c r="C11" s="275"/>
      <c r="D11" s="10"/>
      <c r="E11" s="454">
        <f t="shared" si="0"/>
        <v>0</v>
      </c>
      <c r="F11" s="10"/>
      <c r="G11" s="454">
        <f t="shared" si="0"/>
        <v>0</v>
      </c>
      <c r="H11" s="10"/>
      <c r="I11" s="10"/>
      <c r="J11" s="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2.75" hidden="1" customHeight="1" x14ac:dyDescent="0.2">
      <c r="A12" s="8" t="s">
        <v>106</v>
      </c>
      <c r="B12" s="159" t="s">
        <v>110</v>
      </c>
      <c r="C12" s="413"/>
      <c r="D12" s="12"/>
      <c r="E12" s="454">
        <f t="shared" si="0"/>
        <v>0</v>
      </c>
      <c r="F12" s="12"/>
      <c r="G12" s="454">
        <f t="shared" si="0"/>
        <v>0</v>
      </c>
      <c r="H12" s="12"/>
      <c r="I12" s="12"/>
      <c r="J12" s="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2.75" hidden="1" customHeight="1" x14ac:dyDescent="0.2">
      <c r="A13" s="8" t="s">
        <v>107</v>
      </c>
      <c r="B13" s="159" t="s">
        <v>112</v>
      </c>
      <c r="C13" s="413"/>
      <c r="D13" s="12"/>
      <c r="E13" s="454">
        <f t="shared" si="0"/>
        <v>0</v>
      </c>
      <c r="F13" s="12"/>
      <c r="G13" s="454">
        <f t="shared" si="0"/>
        <v>0</v>
      </c>
      <c r="H13" s="12"/>
      <c r="I13" s="12"/>
      <c r="J13" s="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8" customHeight="1" x14ac:dyDescent="0.25">
      <c r="A14" s="13" t="s">
        <v>113</v>
      </c>
      <c r="B14" s="157" t="s">
        <v>228</v>
      </c>
      <c r="C14" s="422">
        <f>SUM(C15+C19)</f>
        <v>5988</v>
      </c>
      <c r="D14" s="41">
        <f>SUM(D15+D19)</f>
        <v>0</v>
      </c>
      <c r="E14" s="454">
        <f t="shared" si="0"/>
        <v>11998</v>
      </c>
      <c r="F14" s="41">
        <f>SUM(F15+F19)</f>
        <v>11998</v>
      </c>
      <c r="G14" s="454">
        <f t="shared" si="0"/>
        <v>0</v>
      </c>
      <c r="H14" s="41">
        <f>SUM(H15+H19)</f>
        <v>11998</v>
      </c>
      <c r="I14" s="41">
        <f>SUM(I15+I19)</f>
        <v>11998</v>
      </c>
      <c r="J14" s="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3.5" customHeight="1" x14ac:dyDescent="0.2">
      <c r="A15" s="8"/>
      <c r="B15" s="159" t="s">
        <v>310</v>
      </c>
      <c r="C15" s="412">
        <v>5988</v>
      </c>
      <c r="D15" s="5">
        <f>SUM(D16:D18)</f>
        <v>0</v>
      </c>
      <c r="E15" s="454">
        <f t="shared" si="0"/>
        <v>11998</v>
      </c>
      <c r="F15" s="5">
        <f>SUM(F16:F18)</f>
        <v>11998</v>
      </c>
      <c r="G15" s="454">
        <f t="shared" si="0"/>
        <v>0</v>
      </c>
      <c r="H15" s="5">
        <f>SUM(H16:H18)</f>
        <v>11998</v>
      </c>
      <c r="I15" s="5">
        <f>SUM(I16:I18)</f>
        <v>11998</v>
      </c>
      <c r="J15" s="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13.5" customHeight="1" x14ac:dyDescent="0.2">
      <c r="A16" s="8"/>
      <c r="B16" s="159" t="s">
        <v>906</v>
      </c>
      <c r="C16" s="423"/>
      <c r="D16" s="270">
        <v>0</v>
      </c>
      <c r="E16" s="454">
        <f t="shared" si="0"/>
        <v>11998</v>
      </c>
      <c r="F16" s="270">
        <v>11998</v>
      </c>
      <c r="G16" s="454">
        <f t="shared" si="0"/>
        <v>0</v>
      </c>
      <c r="H16" s="270">
        <v>11998</v>
      </c>
      <c r="I16" s="270">
        <v>11998</v>
      </c>
      <c r="J16" s="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13.5" hidden="1" customHeight="1" x14ac:dyDescent="0.2">
      <c r="A17" s="8"/>
      <c r="B17" s="159"/>
      <c r="C17" s="423"/>
      <c r="D17" s="270"/>
      <c r="E17" s="454">
        <f t="shared" si="0"/>
        <v>0</v>
      </c>
      <c r="F17" s="270"/>
      <c r="G17" s="454">
        <f t="shared" si="0"/>
        <v>0</v>
      </c>
      <c r="H17" s="270"/>
      <c r="I17" s="270"/>
      <c r="J17" s="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2">
      <c r="A18" s="8"/>
      <c r="B18" s="159"/>
      <c r="C18" s="423"/>
      <c r="D18" s="270"/>
      <c r="E18" s="454">
        <f t="shared" si="0"/>
        <v>0</v>
      </c>
      <c r="F18" s="270"/>
      <c r="G18" s="454">
        <f t="shared" si="0"/>
        <v>0</v>
      </c>
      <c r="H18" s="270"/>
      <c r="I18" s="270"/>
      <c r="J18" s="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2">
      <c r="A19" s="8"/>
      <c r="B19" s="159" t="s">
        <v>294</v>
      </c>
      <c r="C19" s="412">
        <f>C21+C20</f>
        <v>0</v>
      </c>
      <c r="D19" s="5">
        <f>D21+D20</f>
        <v>0</v>
      </c>
      <c r="E19" s="454">
        <f t="shared" si="0"/>
        <v>0</v>
      </c>
      <c r="F19" s="5">
        <f>F21+F20</f>
        <v>0</v>
      </c>
      <c r="G19" s="454">
        <f t="shared" si="0"/>
        <v>0</v>
      </c>
      <c r="H19" s="5">
        <f>H21+H20</f>
        <v>0</v>
      </c>
      <c r="I19" s="5">
        <f>I21+I20</f>
        <v>0</v>
      </c>
      <c r="J19" s="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2">
      <c r="A20" s="8"/>
      <c r="B20" s="160"/>
      <c r="C20" s="423"/>
      <c r="D20" s="270"/>
      <c r="E20" s="454">
        <f t="shared" si="0"/>
        <v>0</v>
      </c>
      <c r="F20" s="270"/>
      <c r="G20" s="454">
        <f t="shared" si="0"/>
        <v>0</v>
      </c>
      <c r="H20" s="270"/>
      <c r="I20" s="270"/>
      <c r="J20" s="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idden="1" x14ac:dyDescent="0.2">
      <c r="A21" s="8"/>
      <c r="B21" s="160"/>
      <c r="C21" s="423"/>
      <c r="D21" s="270"/>
      <c r="E21" s="454">
        <f t="shared" si="0"/>
        <v>0</v>
      </c>
      <c r="F21" s="270"/>
      <c r="G21" s="454">
        <f t="shared" si="0"/>
        <v>0</v>
      </c>
      <c r="H21" s="270"/>
      <c r="I21" s="270"/>
      <c r="J21" s="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idden="1" x14ac:dyDescent="0.2">
      <c r="A22" s="8" t="s">
        <v>116</v>
      </c>
      <c r="B22" s="159" t="s">
        <v>119</v>
      </c>
      <c r="C22" s="413"/>
      <c r="D22" s="12"/>
      <c r="E22" s="454">
        <f t="shared" si="0"/>
        <v>0</v>
      </c>
      <c r="F22" s="12"/>
      <c r="G22" s="454">
        <f t="shared" si="0"/>
        <v>0</v>
      </c>
      <c r="H22" s="12"/>
      <c r="I22" s="12"/>
      <c r="J22" s="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idden="1" x14ac:dyDescent="0.2">
      <c r="A23" s="8" t="s">
        <v>117</v>
      </c>
      <c r="B23" s="159" t="s">
        <v>120</v>
      </c>
      <c r="C23" s="413"/>
      <c r="D23" s="12"/>
      <c r="E23" s="454">
        <f t="shared" si="0"/>
        <v>0</v>
      </c>
      <c r="F23" s="12"/>
      <c r="G23" s="454">
        <f t="shared" si="0"/>
        <v>0</v>
      </c>
      <c r="H23" s="12"/>
      <c r="I23" s="12"/>
      <c r="J23" s="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7.25" customHeight="1" x14ac:dyDescent="0.25">
      <c r="A24" s="13" t="s">
        <v>160</v>
      </c>
      <c r="B24" s="157" t="s">
        <v>229</v>
      </c>
      <c r="C24" s="422">
        <f>SUM(C25:C29)</f>
        <v>0</v>
      </c>
      <c r="D24" s="41">
        <f>SUM(D25:D29)</f>
        <v>0</v>
      </c>
      <c r="E24" s="454">
        <f t="shared" si="0"/>
        <v>30</v>
      </c>
      <c r="F24" s="41">
        <f>SUM(F25:F29)</f>
        <v>30</v>
      </c>
      <c r="G24" s="454">
        <f t="shared" si="0"/>
        <v>0</v>
      </c>
      <c r="H24" s="41">
        <f>SUM(H25:H29)</f>
        <v>30</v>
      </c>
      <c r="I24" s="41">
        <f>SUM(I25:I29)</f>
        <v>30</v>
      </c>
      <c r="J24" s="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3.5" customHeight="1" x14ac:dyDescent="0.2">
      <c r="A25" s="8" t="s">
        <v>161</v>
      </c>
      <c r="B25" s="20" t="s">
        <v>230</v>
      </c>
      <c r="C25" s="424">
        <v>0</v>
      </c>
      <c r="D25" s="8">
        <v>0</v>
      </c>
      <c r="E25" s="454">
        <f t="shared" si="0"/>
        <v>0</v>
      </c>
      <c r="F25" s="8">
        <v>0</v>
      </c>
      <c r="G25" s="454">
        <f t="shared" si="0"/>
        <v>0</v>
      </c>
      <c r="H25" s="8">
        <v>0</v>
      </c>
      <c r="I25" s="8">
        <v>0</v>
      </c>
      <c r="J25" s="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3.5" customHeight="1" x14ac:dyDescent="0.2">
      <c r="A26" s="8" t="s">
        <v>162</v>
      </c>
      <c r="B26" s="20" t="s">
        <v>231</v>
      </c>
      <c r="C26" s="424">
        <v>0</v>
      </c>
      <c r="D26" s="8">
        <v>0</v>
      </c>
      <c r="E26" s="454">
        <f t="shared" si="0"/>
        <v>0</v>
      </c>
      <c r="F26" s="8">
        <v>0</v>
      </c>
      <c r="G26" s="454">
        <f t="shared" si="0"/>
        <v>0</v>
      </c>
      <c r="H26" s="8">
        <v>0</v>
      </c>
      <c r="I26" s="8">
        <v>0</v>
      </c>
      <c r="J26" s="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3.5" customHeight="1" x14ac:dyDescent="0.2">
      <c r="A27" s="8" t="s">
        <v>163</v>
      </c>
      <c r="B27" s="20" t="s">
        <v>421</v>
      </c>
      <c r="C27" s="424">
        <v>0</v>
      </c>
      <c r="D27" s="8">
        <v>0</v>
      </c>
      <c r="E27" s="454">
        <f t="shared" si="0"/>
        <v>30</v>
      </c>
      <c r="F27" s="8">
        <v>30</v>
      </c>
      <c r="G27" s="454">
        <f t="shared" si="0"/>
        <v>0</v>
      </c>
      <c r="H27" s="8">
        <v>30</v>
      </c>
      <c r="I27" s="8">
        <v>30</v>
      </c>
      <c r="J27" s="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3.5" customHeight="1" x14ac:dyDescent="0.2">
      <c r="A28" s="8" t="s">
        <v>164</v>
      </c>
      <c r="B28" s="20" t="s">
        <v>422</v>
      </c>
      <c r="C28" s="424">
        <v>0</v>
      </c>
      <c r="D28" s="8">
        <v>0</v>
      </c>
      <c r="E28" s="454">
        <f t="shared" si="0"/>
        <v>0</v>
      </c>
      <c r="F28" s="8">
        <v>0</v>
      </c>
      <c r="G28" s="454">
        <f t="shared" si="0"/>
        <v>0</v>
      </c>
      <c r="H28" s="8">
        <v>0</v>
      </c>
      <c r="I28" s="8">
        <v>0</v>
      </c>
      <c r="J28" s="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3.5" customHeight="1" x14ac:dyDescent="0.2">
      <c r="A29" s="149" t="s">
        <v>165</v>
      </c>
      <c r="B29" s="20" t="s">
        <v>232</v>
      </c>
      <c r="C29" s="424">
        <v>0</v>
      </c>
      <c r="D29" s="8">
        <v>0</v>
      </c>
      <c r="E29" s="454">
        <f t="shared" si="0"/>
        <v>0</v>
      </c>
      <c r="F29" s="8">
        <v>0</v>
      </c>
      <c r="G29" s="454">
        <f t="shared" si="0"/>
        <v>0</v>
      </c>
      <c r="H29" s="8">
        <v>0</v>
      </c>
      <c r="I29" s="8">
        <v>0</v>
      </c>
      <c r="J29" s="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t="18" customHeight="1" x14ac:dyDescent="0.25">
      <c r="A30" s="13" t="s">
        <v>172</v>
      </c>
      <c r="B30" s="157" t="s">
        <v>305</v>
      </c>
      <c r="C30" s="422">
        <v>0</v>
      </c>
      <c r="D30" s="41">
        <v>0</v>
      </c>
      <c r="E30" s="454">
        <f t="shared" si="0"/>
        <v>0</v>
      </c>
      <c r="F30" s="41">
        <v>0</v>
      </c>
      <c r="G30" s="454">
        <f t="shared" si="0"/>
        <v>0</v>
      </c>
      <c r="H30" s="41">
        <v>0</v>
      </c>
      <c r="I30" s="41">
        <v>0</v>
      </c>
      <c r="J30" s="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t="13.5" hidden="1" customHeight="1" x14ac:dyDescent="0.25">
      <c r="A31" s="8" t="s">
        <v>179</v>
      </c>
      <c r="B31" s="20" t="s">
        <v>182</v>
      </c>
      <c r="C31" s="422"/>
      <c r="D31" s="40"/>
      <c r="E31" s="454">
        <f t="shared" si="0"/>
        <v>0</v>
      </c>
      <c r="F31" s="40"/>
      <c r="G31" s="454">
        <f t="shared" si="0"/>
        <v>0</v>
      </c>
      <c r="H31" s="40"/>
      <c r="I31" s="40"/>
      <c r="J31" s="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13.5" hidden="1" customHeight="1" x14ac:dyDescent="0.25">
      <c r="A32" s="8" t="s">
        <v>180</v>
      </c>
      <c r="B32" s="20" t="s">
        <v>183</v>
      </c>
      <c r="C32" s="422"/>
      <c r="D32" s="40"/>
      <c r="E32" s="454">
        <f t="shared" si="0"/>
        <v>0</v>
      </c>
      <c r="F32" s="40"/>
      <c r="G32" s="454">
        <f t="shared" si="0"/>
        <v>0</v>
      </c>
      <c r="H32" s="40"/>
      <c r="I32" s="40"/>
      <c r="J32" s="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t="13.5" hidden="1" customHeight="1" thickBot="1" x14ac:dyDescent="0.3">
      <c r="A33" s="11" t="s">
        <v>181</v>
      </c>
      <c r="B33" s="166" t="s">
        <v>184</v>
      </c>
      <c r="C33" s="425"/>
      <c r="D33" s="167"/>
      <c r="E33" s="454">
        <f t="shared" si="0"/>
        <v>0</v>
      </c>
      <c r="F33" s="167"/>
      <c r="G33" s="454">
        <f t="shared" si="0"/>
        <v>0</v>
      </c>
      <c r="H33" s="167"/>
      <c r="I33" s="167"/>
      <c r="J33" s="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18" customHeight="1" x14ac:dyDescent="0.25">
      <c r="A34" s="195"/>
      <c r="B34" s="197" t="s">
        <v>339</v>
      </c>
      <c r="C34" s="426">
        <f>SUM(C35+C37)</f>
        <v>13524</v>
      </c>
      <c r="D34" s="202">
        <f>SUM(D35+D37)</f>
        <v>0</v>
      </c>
      <c r="E34" s="454">
        <f t="shared" si="0"/>
        <v>0</v>
      </c>
      <c r="F34" s="202">
        <f>SUM(F35+F37)</f>
        <v>0</v>
      </c>
      <c r="G34" s="454">
        <f t="shared" si="0"/>
        <v>0</v>
      </c>
      <c r="H34" s="202">
        <f>SUM(H35+H37)</f>
        <v>0</v>
      </c>
      <c r="I34" s="202">
        <f>SUM(I35+I37)</f>
        <v>0</v>
      </c>
      <c r="J34" s="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18" customHeight="1" x14ac:dyDescent="0.25">
      <c r="A35" s="195"/>
      <c r="B35" s="194" t="s">
        <v>343</v>
      </c>
      <c r="C35" s="427">
        <f>SUM(C36:C36)</f>
        <v>13524</v>
      </c>
      <c r="D35" s="30">
        <f>SUM(D36:D36)</f>
        <v>0</v>
      </c>
      <c r="E35" s="454">
        <f t="shared" si="0"/>
        <v>0</v>
      </c>
      <c r="F35" s="30">
        <f>SUM(F36:F36)</f>
        <v>0</v>
      </c>
      <c r="G35" s="454">
        <f t="shared" si="0"/>
        <v>0</v>
      </c>
      <c r="H35" s="30">
        <f>SUM(H36:H36)</f>
        <v>0</v>
      </c>
      <c r="I35" s="30">
        <f>SUM(I36:I36)</f>
        <v>0</v>
      </c>
      <c r="J35" s="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13.5" customHeight="1" x14ac:dyDescent="0.2">
      <c r="A36" s="195"/>
      <c r="B36" s="196" t="s">
        <v>519</v>
      </c>
      <c r="C36" s="275">
        <v>13524</v>
      </c>
      <c r="D36" s="10">
        <v>0</v>
      </c>
      <c r="E36" s="454">
        <f t="shared" si="0"/>
        <v>0</v>
      </c>
      <c r="F36" s="10">
        <v>0</v>
      </c>
      <c r="G36" s="454">
        <f t="shared" si="0"/>
        <v>0</v>
      </c>
      <c r="H36" s="10">
        <v>0</v>
      </c>
      <c r="I36" s="10">
        <v>0</v>
      </c>
      <c r="J36" s="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18" customHeight="1" thickBot="1" x14ac:dyDescent="0.3">
      <c r="A37" s="195"/>
      <c r="B37" s="194" t="s">
        <v>344</v>
      </c>
      <c r="C37" s="427">
        <v>0</v>
      </c>
      <c r="D37" s="30">
        <v>0</v>
      </c>
      <c r="E37" s="454">
        <f t="shared" si="0"/>
        <v>0</v>
      </c>
      <c r="F37" s="30">
        <v>0</v>
      </c>
      <c r="G37" s="454">
        <f t="shared" si="0"/>
        <v>0</v>
      </c>
      <c r="H37" s="30">
        <v>0</v>
      </c>
      <c r="I37" s="30">
        <v>0</v>
      </c>
      <c r="J37" s="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13.5" hidden="1" customHeight="1" thickBot="1" x14ac:dyDescent="0.25">
      <c r="A38" s="195"/>
      <c r="B38" s="11" t="s">
        <v>345</v>
      </c>
      <c r="C38" s="428"/>
      <c r="D38" s="11"/>
      <c r="E38" s="11"/>
      <c r="F38" s="11"/>
      <c r="G38" s="11"/>
      <c r="H38" s="11"/>
      <c r="I38" s="11"/>
      <c r="J38" s="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20.25" thickBot="1" x14ac:dyDescent="0.4">
      <c r="A39" s="245"/>
      <c r="B39" s="249" t="s">
        <v>1</v>
      </c>
      <c r="C39" s="429">
        <f>SUM(C14+C24+C30+C35)</f>
        <v>19512</v>
      </c>
      <c r="D39" s="255">
        <f>SUM(D14+D24+D30+D35)</f>
        <v>0</v>
      </c>
      <c r="E39" s="466">
        <f>F39-D39</f>
        <v>12028</v>
      </c>
      <c r="F39" s="255">
        <f>SUM(F14+F24+F30+F35)</f>
        <v>12028</v>
      </c>
      <c r="G39" s="466">
        <f>H39-F39</f>
        <v>0</v>
      </c>
      <c r="H39" s="255">
        <f>SUM(H14+H24+H30+H35)</f>
        <v>12028</v>
      </c>
      <c r="I39" s="255">
        <f>SUM(I14+I24+I30+I35)</f>
        <v>12028</v>
      </c>
      <c r="J39" s="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20.25" customHeight="1" x14ac:dyDescent="0.25">
      <c r="A40" s="149"/>
      <c r="B40" s="161" t="s">
        <v>337</v>
      </c>
      <c r="C40" s="430">
        <f>SUM(C41+C55+C63)</f>
        <v>18890</v>
      </c>
      <c r="D40" s="200">
        <f>SUM(D41+D55+D63)</f>
        <v>984</v>
      </c>
      <c r="E40" s="454">
        <f>F40-D40</f>
        <v>11999</v>
      </c>
      <c r="F40" s="200">
        <f>SUM(F41+F55+F63)</f>
        <v>12983</v>
      </c>
      <c r="G40" s="454">
        <f>H40-F40</f>
        <v>0</v>
      </c>
      <c r="H40" s="200">
        <f>SUM(H41+H55+H63)</f>
        <v>12983</v>
      </c>
      <c r="I40" s="200">
        <f>SUM(I41+I55+I63)</f>
        <v>634</v>
      </c>
      <c r="J40" s="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ht="18" customHeight="1" x14ac:dyDescent="0.25">
      <c r="A41" s="13" t="s">
        <v>233</v>
      </c>
      <c r="B41" s="157" t="s">
        <v>4</v>
      </c>
      <c r="C41" s="422">
        <f>C42+C46</f>
        <v>9224</v>
      </c>
      <c r="D41" s="41">
        <f>D42+D46</f>
        <v>984</v>
      </c>
      <c r="E41" s="454">
        <f t="shared" ref="E41:G69" si="1">F41-D41</f>
        <v>0</v>
      </c>
      <c r="F41" s="41">
        <f>F42+F46</f>
        <v>984</v>
      </c>
      <c r="G41" s="454">
        <f t="shared" si="1"/>
        <v>0</v>
      </c>
      <c r="H41" s="41">
        <f>H42+H46</f>
        <v>984</v>
      </c>
      <c r="I41" s="41">
        <f>I42+I46</f>
        <v>634</v>
      </c>
      <c r="J41" s="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ht="13.5" customHeight="1" x14ac:dyDescent="0.2">
      <c r="A42" s="13"/>
      <c r="B42" s="19" t="s">
        <v>296</v>
      </c>
      <c r="C42" s="412">
        <f>C43+C44</f>
        <v>0</v>
      </c>
      <c r="D42" s="5">
        <f>D43+D44</f>
        <v>0</v>
      </c>
      <c r="E42" s="454">
        <f t="shared" si="1"/>
        <v>0</v>
      </c>
      <c r="F42" s="5">
        <f>F43+F44</f>
        <v>0</v>
      </c>
      <c r="G42" s="454">
        <f t="shared" si="1"/>
        <v>0</v>
      </c>
      <c r="H42" s="5">
        <f>H43+H44</f>
        <v>0</v>
      </c>
      <c r="I42" s="5">
        <f>I43+I44</f>
        <v>0</v>
      </c>
      <c r="J42" s="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ht="13.5" customHeight="1" x14ac:dyDescent="0.2">
      <c r="A43" s="13"/>
      <c r="B43" s="192"/>
      <c r="C43" s="423"/>
      <c r="D43" s="271"/>
      <c r="E43" s="454">
        <f t="shared" si="1"/>
        <v>0</v>
      </c>
      <c r="F43" s="271"/>
      <c r="G43" s="454">
        <f t="shared" si="1"/>
        <v>0</v>
      </c>
      <c r="H43" s="271"/>
      <c r="I43" s="271"/>
      <c r="J43" s="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ht="13.5" hidden="1" customHeight="1" x14ac:dyDescent="0.2">
      <c r="A44" s="13"/>
      <c r="B44" s="192"/>
      <c r="C44" s="423"/>
      <c r="D44" s="271"/>
      <c r="E44" s="454">
        <f t="shared" si="1"/>
        <v>0</v>
      </c>
      <c r="F44" s="271"/>
      <c r="G44" s="454">
        <f t="shared" si="1"/>
        <v>0</v>
      </c>
      <c r="H44" s="271"/>
      <c r="I44" s="271"/>
      <c r="J44" s="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3.5" hidden="1" customHeight="1" x14ac:dyDescent="0.2">
      <c r="A45" s="13"/>
      <c r="B45" s="192"/>
      <c r="C45" s="423"/>
      <c r="D45" s="271"/>
      <c r="E45" s="454">
        <f t="shared" si="1"/>
        <v>0</v>
      </c>
      <c r="F45" s="271"/>
      <c r="G45" s="454">
        <f t="shared" si="1"/>
        <v>0</v>
      </c>
      <c r="H45" s="271"/>
      <c r="I45" s="271"/>
      <c r="J45" s="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3.5" customHeight="1" x14ac:dyDescent="0.2">
      <c r="A46" s="13"/>
      <c r="B46" s="192" t="s">
        <v>331</v>
      </c>
      <c r="C46" s="412">
        <v>9224</v>
      </c>
      <c r="D46" s="5">
        <f>SUM(D47:D54)</f>
        <v>984</v>
      </c>
      <c r="E46" s="454">
        <f t="shared" si="1"/>
        <v>0</v>
      </c>
      <c r="F46" s="5">
        <f>SUM(F47:F54)</f>
        <v>984</v>
      </c>
      <c r="G46" s="454">
        <f t="shared" si="1"/>
        <v>0</v>
      </c>
      <c r="H46" s="5">
        <f>SUM(H47:H54)</f>
        <v>984</v>
      </c>
      <c r="I46" s="5">
        <f>SUM(I47:I54)</f>
        <v>634</v>
      </c>
      <c r="J46" s="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2">
      <c r="A47" s="13"/>
      <c r="B47" s="160" t="s">
        <v>576</v>
      </c>
      <c r="C47" s="423"/>
      <c r="D47" s="271">
        <v>350</v>
      </c>
      <c r="E47" s="454">
        <f t="shared" si="1"/>
        <v>0</v>
      </c>
      <c r="F47" s="271">
        <v>350</v>
      </c>
      <c r="G47" s="454">
        <f t="shared" si="1"/>
        <v>0</v>
      </c>
      <c r="H47" s="271">
        <v>350</v>
      </c>
      <c r="I47" s="271">
        <v>0</v>
      </c>
      <c r="J47" s="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2">
      <c r="A48" s="13"/>
      <c r="B48" s="280" t="s">
        <v>651</v>
      </c>
      <c r="C48" s="423"/>
      <c r="D48" s="270">
        <v>634</v>
      </c>
      <c r="E48" s="454">
        <f t="shared" si="1"/>
        <v>0</v>
      </c>
      <c r="F48" s="270">
        <v>634</v>
      </c>
      <c r="G48" s="454">
        <f t="shared" si="1"/>
        <v>0</v>
      </c>
      <c r="H48" s="270">
        <v>634</v>
      </c>
      <c r="I48" s="270">
        <v>634</v>
      </c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2">
      <c r="A49" s="13"/>
      <c r="B49" s="280"/>
      <c r="C49" s="423"/>
      <c r="D49" s="270">
        <v>0</v>
      </c>
      <c r="E49" s="454">
        <f t="shared" si="1"/>
        <v>0</v>
      </c>
      <c r="F49" s="270">
        <v>0</v>
      </c>
      <c r="G49" s="454">
        <f t="shared" si="1"/>
        <v>0</v>
      </c>
      <c r="H49" s="270">
        <v>0</v>
      </c>
      <c r="I49" s="270">
        <v>0</v>
      </c>
      <c r="J49" s="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hidden="1" x14ac:dyDescent="0.2">
      <c r="A50" s="13"/>
      <c r="B50" s="280"/>
      <c r="C50" s="423"/>
      <c r="D50" s="270"/>
      <c r="E50" s="454">
        <f t="shared" si="1"/>
        <v>0</v>
      </c>
      <c r="F50" s="270"/>
      <c r="G50" s="454">
        <f t="shared" si="1"/>
        <v>0</v>
      </c>
      <c r="H50" s="270"/>
      <c r="I50" s="270"/>
      <c r="J50" s="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hidden="1" x14ac:dyDescent="0.2">
      <c r="A51" s="13"/>
      <c r="B51" s="280"/>
      <c r="C51" s="423"/>
      <c r="D51" s="270"/>
      <c r="E51" s="454">
        <f t="shared" si="1"/>
        <v>0</v>
      </c>
      <c r="F51" s="270"/>
      <c r="G51" s="454">
        <f t="shared" si="1"/>
        <v>0</v>
      </c>
      <c r="H51" s="270"/>
      <c r="I51" s="270"/>
      <c r="J51" s="7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hidden="1" x14ac:dyDescent="0.2">
      <c r="A52" s="13"/>
      <c r="B52" s="192"/>
      <c r="C52" s="413"/>
      <c r="D52" s="217"/>
      <c r="E52" s="454">
        <f t="shared" si="1"/>
        <v>0</v>
      </c>
      <c r="F52" s="217"/>
      <c r="G52" s="454">
        <f t="shared" si="1"/>
        <v>0</v>
      </c>
      <c r="H52" s="217"/>
      <c r="I52" s="217"/>
      <c r="J52" s="7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hidden="1" x14ac:dyDescent="0.2">
      <c r="A53" s="13"/>
      <c r="B53" s="192"/>
      <c r="C53" s="413"/>
      <c r="D53" s="217"/>
      <c r="E53" s="454">
        <f t="shared" si="1"/>
        <v>0</v>
      </c>
      <c r="F53" s="217"/>
      <c r="G53" s="454">
        <f t="shared" si="1"/>
        <v>0</v>
      </c>
      <c r="H53" s="217"/>
      <c r="I53" s="217"/>
      <c r="J53" s="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hidden="1" x14ac:dyDescent="0.2">
      <c r="A54" s="13"/>
      <c r="B54" s="192"/>
      <c r="C54" s="413"/>
      <c r="D54" s="217"/>
      <c r="E54" s="454">
        <f t="shared" si="1"/>
        <v>0</v>
      </c>
      <c r="F54" s="217"/>
      <c r="G54" s="454">
        <f t="shared" si="1"/>
        <v>0</v>
      </c>
      <c r="H54" s="217"/>
      <c r="I54" s="217"/>
      <c r="J54" s="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ht="18" customHeight="1" x14ac:dyDescent="0.25">
      <c r="A55" s="13" t="s">
        <v>449</v>
      </c>
      <c r="B55" s="170" t="s">
        <v>3</v>
      </c>
      <c r="C55" s="422">
        <f>SUM(C56+C58)</f>
        <v>1839</v>
      </c>
      <c r="D55" s="41">
        <f>SUM(D56+D58)</f>
        <v>0</v>
      </c>
      <c r="E55" s="454">
        <f t="shared" si="1"/>
        <v>11999</v>
      </c>
      <c r="F55" s="41">
        <f>SUM(F56+F58)</f>
        <v>11999</v>
      </c>
      <c r="G55" s="454">
        <f t="shared" si="1"/>
        <v>0</v>
      </c>
      <c r="H55" s="41">
        <f>SUM(H56+H58)</f>
        <v>11999</v>
      </c>
      <c r="I55" s="41">
        <f>SUM(I56+I58)</f>
        <v>0</v>
      </c>
      <c r="J55" s="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ht="13.5" customHeight="1" x14ac:dyDescent="0.2">
      <c r="A56" s="13"/>
      <c r="B56" s="19" t="s">
        <v>306</v>
      </c>
      <c r="C56" s="412">
        <f>C57</f>
        <v>0</v>
      </c>
      <c r="D56" s="5">
        <f>D57</f>
        <v>0</v>
      </c>
      <c r="E56" s="454">
        <f t="shared" si="1"/>
        <v>0</v>
      </c>
      <c r="F56" s="5">
        <f>F57</f>
        <v>0</v>
      </c>
      <c r="G56" s="454">
        <f t="shared" si="1"/>
        <v>0</v>
      </c>
      <c r="H56" s="5">
        <f>H57</f>
        <v>0</v>
      </c>
      <c r="I56" s="5">
        <f>I57</f>
        <v>0</v>
      </c>
      <c r="J56" s="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x14ac:dyDescent="0.2">
      <c r="A57" s="13"/>
      <c r="B57" s="160"/>
      <c r="C57" s="423"/>
      <c r="D57" s="271"/>
      <c r="E57" s="454">
        <f t="shared" si="1"/>
        <v>0</v>
      </c>
      <c r="F57" s="271"/>
      <c r="G57" s="454">
        <f t="shared" si="1"/>
        <v>0</v>
      </c>
      <c r="H57" s="271"/>
      <c r="I57" s="271"/>
      <c r="J57" s="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ht="13.5" customHeight="1" x14ac:dyDescent="0.2">
      <c r="A58" s="13"/>
      <c r="B58" s="19" t="s">
        <v>307</v>
      </c>
      <c r="C58" s="412">
        <v>1839</v>
      </c>
      <c r="D58" s="5">
        <f>SUM(D59:D62)</f>
        <v>0</v>
      </c>
      <c r="E58" s="454">
        <f t="shared" si="1"/>
        <v>11999</v>
      </c>
      <c r="F58" s="5">
        <f>SUM(F59:F62)</f>
        <v>11999</v>
      </c>
      <c r="G58" s="454">
        <f t="shared" si="1"/>
        <v>0</v>
      </c>
      <c r="H58" s="5">
        <f>SUM(H59:H62)</f>
        <v>11999</v>
      </c>
      <c r="I58" s="5">
        <f>SUM(I59:I62)</f>
        <v>0</v>
      </c>
      <c r="J58" s="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ht="13.5" customHeight="1" x14ac:dyDescent="0.2">
      <c r="A59" s="13"/>
      <c r="B59" s="8" t="s">
        <v>907</v>
      </c>
      <c r="C59" s="413"/>
      <c r="D59" s="12">
        <v>0</v>
      </c>
      <c r="E59" s="454">
        <f t="shared" si="1"/>
        <v>11999</v>
      </c>
      <c r="F59" s="12">
        <v>11999</v>
      </c>
      <c r="G59" s="454">
        <f t="shared" si="1"/>
        <v>0</v>
      </c>
      <c r="H59" s="12">
        <v>11999</v>
      </c>
      <c r="I59" s="12">
        <v>0</v>
      </c>
      <c r="J59" s="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ht="13.5" hidden="1" customHeight="1" x14ac:dyDescent="0.2">
      <c r="A60" s="13"/>
      <c r="B60" s="8"/>
      <c r="C60" s="413"/>
      <c r="D60" s="12"/>
      <c r="E60" s="454">
        <f t="shared" si="1"/>
        <v>0</v>
      </c>
      <c r="F60" s="12"/>
      <c r="G60" s="454">
        <f t="shared" si="1"/>
        <v>0</v>
      </c>
      <c r="H60" s="12"/>
      <c r="I60" s="12"/>
      <c r="J60" s="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ht="13.5" hidden="1" customHeight="1" x14ac:dyDescent="0.2">
      <c r="A61" s="13"/>
      <c r="B61" s="8"/>
      <c r="C61" s="413"/>
      <c r="D61" s="12"/>
      <c r="E61" s="454">
        <f t="shared" si="1"/>
        <v>0</v>
      </c>
      <c r="F61" s="12"/>
      <c r="G61" s="454">
        <f t="shared" si="1"/>
        <v>0</v>
      </c>
      <c r="H61" s="12"/>
      <c r="I61" s="12"/>
      <c r="J61" s="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ht="13.5" customHeight="1" x14ac:dyDescent="0.2">
      <c r="A62" s="13"/>
      <c r="B62" s="8"/>
      <c r="C62" s="413"/>
      <c r="D62" s="12"/>
      <c r="E62" s="454">
        <f t="shared" si="1"/>
        <v>0</v>
      </c>
      <c r="F62" s="12"/>
      <c r="G62" s="454">
        <f t="shared" si="1"/>
        <v>0</v>
      </c>
      <c r="H62" s="12"/>
      <c r="I62" s="12"/>
      <c r="J62" s="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ht="19.5" customHeight="1" x14ac:dyDescent="0.25">
      <c r="A63" s="13"/>
      <c r="B63" s="22" t="s">
        <v>13</v>
      </c>
      <c r="C63" s="422">
        <v>7827</v>
      </c>
      <c r="D63" s="41">
        <f t="shared" ref="D63:F63" si="2">SUM(D64:D68)</f>
        <v>0</v>
      </c>
      <c r="E63" s="454">
        <f t="shared" si="1"/>
        <v>0</v>
      </c>
      <c r="F63" s="41">
        <f t="shared" si="2"/>
        <v>0</v>
      </c>
      <c r="G63" s="454">
        <f t="shared" si="1"/>
        <v>0</v>
      </c>
      <c r="H63" s="41">
        <f t="shared" ref="H63:I63" si="3">SUM(H64:H68)</f>
        <v>0</v>
      </c>
      <c r="I63" s="41">
        <f t="shared" si="3"/>
        <v>0</v>
      </c>
      <c r="J63" s="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ht="13.5" hidden="1" customHeight="1" x14ac:dyDescent="0.2">
      <c r="A64" s="13"/>
      <c r="B64" s="8" t="s">
        <v>356</v>
      </c>
      <c r="C64" s="415">
        <v>0</v>
      </c>
      <c r="D64" s="31">
        <v>0</v>
      </c>
      <c r="E64" s="454">
        <f t="shared" si="1"/>
        <v>0</v>
      </c>
      <c r="F64" s="31">
        <v>0</v>
      </c>
      <c r="G64" s="454">
        <f t="shared" si="1"/>
        <v>0</v>
      </c>
      <c r="H64" s="31">
        <v>0</v>
      </c>
      <c r="I64" s="31">
        <v>0</v>
      </c>
      <c r="J64" s="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13.5" hidden="1" customHeight="1" thickBot="1" x14ac:dyDescent="0.25">
      <c r="A65" s="13"/>
      <c r="B65" s="168" t="s">
        <v>491</v>
      </c>
      <c r="C65" s="431">
        <v>0</v>
      </c>
      <c r="D65" s="251">
        <v>0</v>
      </c>
      <c r="E65" s="454">
        <f t="shared" si="1"/>
        <v>0</v>
      </c>
      <c r="F65" s="251">
        <v>0</v>
      </c>
      <c r="G65" s="454">
        <f t="shared" si="1"/>
        <v>0</v>
      </c>
      <c r="H65" s="251">
        <v>0</v>
      </c>
      <c r="I65" s="251">
        <v>0</v>
      </c>
      <c r="J65" s="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13.5" hidden="1" customHeight="1" thickBot="1" x14ac:dyDescent="0.25">
      <c r="A66" s="244"/>
      <c r="B66" s="195" t="s">
        <v>511</v>
      </c>
      <c r="C66" s="431"/>
      <c r="D66" s="251"/>
      <c r="E66" s="454">
        <f t="shared" si="1"/>
        <v>0</v>
      </c>
      <c r="F66" s="251"/>
      <c r="G66" s="454">
        <f t="shared" si="1"/>
        <v>0</v>
      </c>
      <c r="H66" s="251"/>
      <c r="I66" s="251"/>
      <c r="J66" s="7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13.5" hidden="1" customHeight="1" thickBot="1" x14ac:dyDescent="0.25">
      <c r="A67" s="244"/>
      <c r="B67" s="195"/>
      <c r="C67" s="431"/>
      <c r="D67" s="251"/>
      <c r="E67" s="454">
        <f t="shared" si="1"/>
        <v>0</v>
      </c>
      <c r="F67" s="251"/>
      <c r="G67" s="454">
        <f t="shared" si="1"/>
        <v>0</v>
      </c>
      <c r="H67" s="251"/>
      <c r="I67" s="251"/>
      <c r="J67" s="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13.5" hidden="1" customHeight="1" thickBot="1" x14ac:dyDescent="0.25">
      <c r="A68" s="244"/>
      <c r="B68" s="195" t="s">
        <v>502</v>
      </c>
      <c r="C68" s="431"/>
      <c r="D68" s="251"/>
      <c r="E68" s="454">
        <f t="shared" si="1"/>
        <v>0</v>
      </c>
      <c r="F68" s="251"/>
      <c r="G68" s="454">
        <f t="shared" si="1"/>
        <v>0</v>
      </c>
      <c r="H68" s="251"/>
      <c r="I68" s="251"/>
      <c r="J68" s="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ht="19.5" customHeight="1" thickBot="1" x14ac:dyDescent="0.3">
      <c r="A69" s="195"/>
      <c r="B69" s="205" t="s">
        <v>336</v>
      </c>
      <c r="C69" s="432">
        <v>0</v>
      </c>
      <c r="D69" s="250">
        <v>0</v>
      </c>
      <c r="E69" s="454">
        <f t="shared" si="1"/>
        <v>0</v>
      </c>
      <c r="F69" s="250">
        <v>0</v>
      </c>
      <c r="G69" s="454">
        <f t="shared" si="1"/>
        <v>0</v>
      </c>
      <c r="H69" s="250">
        <v>0</v>
      </c>
      <c r="I69" s="250">
        <v>0</v>
      </c>
      <c r="J69" s="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24" customHeight="1" thickBot="1" x14ac:dyDescent="0.4">
      <c r="A70" s="245"/>
      <c r="B70" s="249" t="s">
        <v>2</v>
      </c>
      <c r="C70" s="429">
        <f>SUM(C41+C55+C63+C69)</f>
        <v>18890</v>
      </c>
      <c r="D70" s="255">
        <f>SUM(D41+D55+D63+D69)</f>
        <v>984</v>
      </c>
      <c r="E70" s="466">
        <f>F70-D70</f>
        <v>11999</v>
      </c>
      <c r="F70" s="255">
        <f>SUM(F41+F55+F63+F69)</f>
        <v>12983</v>
      </c>
      <c r="G70" s="466">
        <f>H70-F70</f>
        <v>0</v>
      </c>
      <c r="H70" s="255">
        <f>SUM(H41+H55+H63+H69)</f>
        <v>12983</v>
      </c>
      <c r="I70" s="255">
        <f>SUM(I41+I55+I63+I69)</f>
        <v>634</v>
      </c>
      <c r="J70" s="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ht="15.75" customHeight="1" x14ac:dyDescent="0.2">
      <c r="B71" s="2"/>
      <c r="C71" s="7"/>
      <c r="D71" s="235"/>
      <c r="E71" s="235"/>
      <c r="F71" s="235"/>
      <c r="G71" s="235"/>
      <c r="H71" s="235"/>
      <c r="I71" s="236"/>
      <c r="J71" s="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ht="15.75" customHeight="1" x14ac:dyDescent="0.2">
      <c r="B72" s="2"/>
      <c r="C72" s="2"/>
      <c r="D72" s="2"/>
      <c r="E72" s="2"/>
      <c r="F72" s="2"/>
      <c r="G72" s="2"/>
      <c r="H72" s="2"/>
      <c r="I72" s="2"/>
      <c r="J72" s="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15.75" customHeight="1" x14ac:dyDescent="0.2">
      <c r="B73" s="2"/>
      <c r="C73" s="2"/>
      <c r="D73" s="2"/>
      <c r="E73" s="2"/>
      <c r="F73" s="2"/>
      <c r="G73" s="2"/>
      <c r="H73" s="2"/>
      <c r="I73" s="2"/>
      <c r="J73" s="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15.75" customHeight="1" x14ac:dyDescent="0.2">
      <c r="B74" s="2"/>
      <c r="C74" s="2"/>
      <c r="D74" s="2"/>
      <c r="E74" s="2"/>
      <c r="F74" s="2"/>
      <c r="G74" s="2"/>
      <c r="H74" s="2"/>
      <c r="I74" s="2"/>
      <c r="J74" s="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15.75" customHeight="1" x14ac:dyDescent="0.2">
      <c r="B75" s="2"/>
      <c r="C75" s="2"/>
      <c r="D75" s="2"/>
      <c r="E75" s="2"/>
      <c r="F75" s="2"/>
      <c r="G75" s="2"/>
      <c r="H75" s="2"/>
      <c r="I75" s="2"/>
      <c r="J75" s="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ht="15.75" customHeight="1" x14ac:dyDescent="0.2">
      <c r="B76" s="2"/>
      <c r="C76" s="2"/>
      <c r="D76" s="2"/>
      <c r="E76" s="2"/>
      <c r="F76" s="2"/>
      <c r="G76" s="2"/>
      <c r="H76" s="2"/>
      <c r="I76" s="2"/>
      <c r="J76" s="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ht="15.75" customHeight="1" x14ac:dyDescent="0.2">
      <c r="B77" s="2"/>
      <c r="C77" s="2"/>
      <c r="D77" s="2"/>
      <c r="E77" s="2"/>
      <c r="F77" s="2"/>
      <c r="G77" s="2"/>
      <c r="H77" s="2"/>
      <c r="I77" s="2"/>
      <c r="J77" s="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ht="15.75" customHeight="1" x14ac:dyDescent="0.2">
      <c r="A78"/>
      <c r="B78" s="2"/>
      <c r="C78" s="2"/>
      <c r="D78" s="2"/>
      <c r="E78" s="2"/>
      <c r="F78" s="2"/>
      <c r="G78" s="2"/>
      <c r="H78" s="2"/>
      <c r="I78" s="2"/>
      <c r="J78" s="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ht="15.75" customHeight="1" x14ac:dyDescent="0.2">
      <c r="A79"/>
      <c r="B79" s="2"/>
      <c r="C79" s="2"/>
      <c r="D79" s="2"/>
      <c r="E79" s="2"/>
      <c r="F79" s="2"/>
      <c r="G79" s="2"/>
      <c r="H79" s="2"/>
      <c r="I79" s="2"/>
      <c r="J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ht="15.75" customHeight="1" x14ac:dyDescent="0.2">
      <c r="A80"/>
      <c r="B80" s="2"/>
      <c r="C80" s="2"/>
      <c r="D80" s="2"/>
      <c r="E80" s="2"/>
      <c r="F80" s="2"/>
      <c r="G80" s="2"/>
      <c r="H80" s="2"/>
      <c r="I80" s="2"/>
      <c r="J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ht="15.75" customHeight="1" x14ac:dyDescent="0.2">
      <c r="A81"/>
      <c r="B81" s="2"/>
      <c r="C81" s="2"/>
      <c r="D81" s="2"/>
      <c r="E81" s="2"/>
      <c r="F81" s="2"/>
      <c r="G81" s="2"/>
      <c r="H81" s="2"/>
      <c r="I81" s="2"/>
      <c r="J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ht="15.75" customHeight="1" x14ac:dyDescent="0.2">
      <c r="A82"/>
      <c r="B82" s="2"/>
      <c r="C82" s="2"/>
      <c r="D82" s="2"/>
      <c r="E82" s="2"/>
      <c r="F82" s="2"/>
      <c r="G82" s="2"/>
      <c r="H82" s="2"/>
      <c r="I82" s="2"/>
      <c r="J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ht="15.75" customHeight="1" x14ac:dyDescent="0.2">
      <c r="A83"/>
      <c r="B83" s="2"/>
      <c r="C83" s="2"/>
      <c r="D83" s="2"/>
      <c r="E83" s="2"/>
      <c r="F83" s="2"/>
      <c r="G83" s="2"/>
      <c r="H83" s="2"/>
      <c r="I83" s="2"/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ht="15.75" customHeight="1" x14ac:dyDescent="0.2">
      <c r="A84"/>
      <c r="B84" s="2"/>
      <c r="C84" s="2"/>
      <c r="D84" s="2"/>
      <c r="E84" s="2"/>
      <c r="F84" s="2"/>
      <c r="G84" s="2"/>
      <c r="H84" s="2"/>
      <c r="I84" s="2"/>
      <c r="J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ht="15.75" customHeight="1" x14ac:dyDescent="0.2">
      <c r="A85"/>
      <c r="B85" s="2"/>
      <c r="C85" s="2"/>
      <c r="D85" s="2"/>
      <c r="E85" s="2"/>
      <c r="F85" s="2"/>
      <c r="G85" s="2"/>
      <c r="H85" s="2"/>
      <c r="I85" s="2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ht="15.75" customHeight="1" x14ac:dyDescent="0.2">
      <c r="A86"/>
      <c r="B86" s="2"/>
      <c r="C86" s="2"/>
      <c r="D86" s="2"/>
      <c r="E86" s="2"/>
      <c r="F86" s="2"/>
      <c r="G86" s="2"/>
      <c r="H86" s="2"/>
      <c r="I86" s="2"/>
      <c r="J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ht="15.75" customHeight="1" x14ac:dyDescent="0.2">
      <c r="A87"/>
      <c r="B87" s="2"/>
      <c r="C87" s="2"/>
      <c r="D87" s="2"/>
      <c r="E87" s="2"/>
      <c r="F87" s="2"/>
      <c r="G87" s="2"/>
      <c r="H87" s="2"/>
      <c r="I87" s="2"/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ht="15.75" customHeight="1" x14ac:dyDescent="0.2">
      <c r="A88"/>
      <c r="B88" s="2"/>
      <c r="C88" s="2"/>
      <c r="D88" s="2"/>
      <c r="E88" s="2"/>
      <c r="F88" s="2"/>
      <c r="G88" s="2"/>
      <c r="H88" s="2"/>
      <c r="I88" s="2"/>
      <c r="J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ht="15.75" customHeight="1" x14ac:dyDescent="0.2">
      <c r="A89"/>
      <c r="B89" s="2"/>
      <c r="C89" s="2"/>
      <c r="D89" s="2"/>
      <c r="E89" s="2"/>
      <c r="F89" s="2"/>
      <c r="G89" s="2"/>
      <c r="H89" s="2"/>
      <c r="I89" s="2"/>
      <c r="J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ht="15.75" customHeight="1" x14ac:dyDescent="0.2">
      <c r="A90"/>
      <c r="B90" s="2"/>
      <c r="C90" s="2"/>
      <c r="D90" s="2"/>
      <c r="E90" s="2"/>
      <c r="F90" s="2"/>
      <c r="G90" s="2"/>
      <c r="H90" s="2"/>
      <c r="I90" s="2"/>
      <c r="J90" s="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ht="15.75" customHeight="1" x14ac:dyDescent="0.2">
      <c r="A91"/>
      <c r="B91" s="2"/>
      <c r="C91" s="2"/>
      <c r="D91" s="2"/>
      <c r="E91" s="2"/>
      <c r="F91" s="2"/>
      <c r="G91" s="2"/>
      <c r="H91" s="2"/>
      <c r="I91" s="2"/>
      <c r="J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ht="15.75" customHeight="1" x14ac:dyDescent="0.2">
      <c r="A92"/>
      <c r="B92" s="2"/>
      <c r="C92" s="2"/>
      <c r="D92" s="2"/>
      <c r="E92" s="2"/>
      <c r="F92" s="2"/>
      <c r="G92" s="2"/>
      <c r="H92" s="2"/>
      <c r="I92" s="2"/>
      <c r="J92" s="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ht="15.75" customHeight="1" x14ac:dyDescent="0.2">
      <c r="A93"/>
      <c r="B93" s="2"/>
      <c r="C93" s="2"/>
      <c r="D93" s="2"/>
      <c r="E93" s="2"/>
      <c r="F93" s="2"/>
      <c r="G93" s="2"/>
      <c r="H93" s="2"/>
      <c r="I93" s="2"/>
      <c r="J93" s="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ht="15.75" customHeight="1" x14ac:dyDescent="0.2">
      <c r="A94"/>
      <c r="B94" s="2"/>
      <c r="C94" s="2"/>
      <c r="D94" s="2"/>
      <c r="E94" s="2"/>
      <c r="F94" s="2"/>
      <c r="G94" s="2"/>
      <c r="H94" s="2"/>
      <c r="I94" s="2"/>
      <c r="J94" s="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ht="15.75" customHeight="1" x14ac:dyDescent="0.2">
      <c r="A95"/>
      <c r="B95" s="2"/>
      <c r="C95" s="2"/>
      <c r="D95" s="2"/>
      <c r="E95" s="2"/>
      <c r="F95" s="2"/>
      <c r="G95" s="2"/>
      <c r="H95" s="2"/>
      <c r="I95" s="2"/>
      <c r="J95" s="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ht="15.75" customHeight="1" x14ac:dyDescent="0.2">
      <c r="A96"/>
      <c r="B96" s="2"/>
      <c r="C96" s="2"/>
      <c r="D96" s="2"/>
      <c r="E96" s="2"/>
      <c r="F96" s="2"/>
      <c r="G96" s="2"/>
      <c r="H96" s="2"/>
      <c r="I96" s="2"/>
      <c r="J96" s="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ht="15.75" customHeight="1" x14ac:dyDescent="0.2">
      <c r="A97"/>
      <c r="B97" s="2"/>
      <c r="C97" s="2"/>
      <c r="D97" s="2"/>
      <c r="E97" s="2"/>
      <c r="F97" s="2"/>
      <c r="G97" s="2"/>
      <c r="H97" s="2"/>
      <c r="I97" s="2"/>
      <c r="J97" s="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ht="15.75" customHeight="1" x14ac:dyDescent="0.2">
      <c r="A98"/>
      <c r="B98" s="2"/>
      <c r="C98" s="2"/>
      <c r="D98" s="2"/>
      <c r="E98" s="2"/>
      <c r="F98" s="2"/>
      <c r="G98" s="2"/>
      <c r="H98" s="2"/>
      <c r="I98" s="2"/>
      <c r="J98" s="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ht="15.75" customHeight="1" x14ac:dyDescent="0.2">
      <c r="A99"/>
      <c r="B99" s="2"/>
      <c r="C99" s="2"/>
      <c r="D99" s="2"/>
      <c r="E99" s="2"/>
      <c r="F99" s="2"/>
      <c r="G99" s="2"/>
      <c r="H99" s="2"/>
      <c r="I99" s="2"/>
      <c r="J99" s="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ht="15.75" customHeight="1" x14ac:dyDescent="0.2">
      <c r="A100"/>
      <c r="B100" s="2"/>
      <c r="C100" s="2"/>
      <c r="D100" s="2"/>
      <c r="E100" s="2"/>
      <c r="F100" s="2"/>
      <c r="G100" s="2"/>
      <c r="H100" s="2"/>
      <c r="I100" s="2"/>
      <c r="J100" s="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ht="15.75" customHeight="1" x14ac:dyDescent="0.2">
      <c r="A101"/>
      <c r="B101" s="2"/>
      <c r="C101" s="2"/>
      <c r="D101" s="2"/>
      <c r="E101" s="2"/>
      <c r="F101" s="2"/>
      <c r="G101" s="2"/>
      <c r="H101" s="2"/>
      <c r="I101" s="2"/>
      <c r="J101" s="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ht="15.75" customHeight="1" x14ac:dyDescent="0.2">
      <c r="A102"/>
      <c r="B102" s="2"/>
      <c r="C102" s="2"/>
      <c r="D102" s="2"/>
      <c r="E102" s="2"/>
      <c r="F102" s="2"/>
      <c r="G102" s="2"/>
      <c r="H102" s="2"/>
      <c r="I102" s="2"/>
      <c r="J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ht="15.75" customHeight="1" x14ac:dyDescent="0.2">
      <c r="A103"/>
      <c r="B103" s="2"/>
      <c r="C103" s="2"/>
      <c r="D103" s="2"/>
      <c r="E103" s="2"/>
      <c r="F103" s="2"/>
      <c r="G103" s="2"/>
      <c r="H103" s="2"/>
      <c r="I103" s="2"/>
      <c r="J103" s="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ht="15.75" customHeight="1" x14ac:dyDescent="0.2">
      <c r="A104"/>
      <c r="B104" s="2"/>
      <c r="C104" s="2"/>
      <c r="D104" s="2"/>
      <c r="E104" s="2"/>
      <c r="F104" s="2"/>
      <c r="G104" s="2"/>
      <c r="H104" s="2"/>
      <c r="I104" s="2"/>
      <c r="J104" s="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ht="15.75" customHeight="1" x14ac:dyDescent="0.2">
      <c r="A105"/>
      <c r="B105" s="2"/>
      <c r="C105" s="2"/>
      <c r="D105" s="2"/>
      <c r="E105" s="2"/>
      <c r="F105" s="2"/>
      <c r="G105" s="2"/>
      <c r="H105" s="2"/>
      <c r="I105" s="2"/>
      <c r="J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ht="15.75" customHeight="1" x14ac:dyDescent="0.2">
      <c r="A106"/>
      <c r="B106" s="2"/>
      <c r="C106" s="2"/>
      <c r="D106" s="2"/>
      <c r="E106" s="2"/>
      <c r="F106" s="2"/>
      <c r="G106" s="2"/>
      <c r="H106" s="2"/>
      <c r="I106" s="2"/>
      <c r="J106" s="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ht="15.75" customHeight="1" x14ac:dyDescent="0.2">
      <c r="A107"/>
      <c r="B107" s="2"/>
      <c r="C107" s="2"/>
      <c r="D107" s="2"/>
      <c r="E107" s="2"/>
      <c r="F107" s="2"/>
      <c r="G107" s="2"/>
      <c r="H107" s="2"/>
      <c r="I107" s="2"/>
      <c r="J107" s="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ht="15.75" customHeight="1" x14ac:dyDescent="0.2">
      <c r="A108"/>
      <c r="B108" s="2"/>
      <c r="C108" s="2"/>
      <c r="D108" s="2"/>
      <c r="E108" s="2"/>
      <c r="F108" s="2"/>
      <c r="G108" s="2"/>
      <c r="H108" s="2"/>
      <c r="I108" s="2"/>
      <c r="J108" s="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ht="15.75" customHeight="1" x14ac:dyDescent="0.2">
      <c r="A109"/>
      <c r="B109" s="2"/>
      <c r="C109" s="2"/>
      <c r="D109" s="2"/>
      <c r="E109" s="2"/>
      <c r="F109" s="2"/>
      <c r="G109" s="2"/>
      <c r="H109" s="2"/>
      <c r="I109" s="2"/>
      <c r="J109" s="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ht="15.75" customHeight="1" x14ac:dyDescent="0.2">
      <c r="A110"/>
      <c r="B110" s="2"/>
      <c r="C110" s="2"/>
      <c r="D110" s="2"/>
      <c r="E110" s="2"/>
      <c r="F110" s="2"/>
      <c r="G110" s="2"/>
      <c r="H110" s="2"/>
      <c r="I110" s="2"/>
      <c r="J110" s="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ht="15.75" customHeight="1" x14ac:dyDescent="0.2">
      <c r="A111"/>
      <c r="B111" s="2"/>
      <c r="C111" s="2"/>
      <c r="D111" s="2"/>
      <c r="E111" s="2"/>
      <c r="F111" s="2"/>
      <c r="G111" s="2"/>
      <c r="H111" s="2"/>
      <c r="I111" s="2"/>
      <c r="J111" s="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ht="15.75" customHeight="1" x14ac:dyDescent="0.2">
      <c r="A112"/>
      <c r="B112" s="2"/>
      <c r="C112" s="2"/>
      <c r="D112" s="2"/>
      <c r="E112" s="2"/>
      <c r="F112" s="2"/>
      <c r="G112" s="2"/>
      <c r="H112" s="2"/>
      <c r="I112" s="2"/>
      <c r="J112" s="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ht="15.75" customHeight="1" x14ac:dyDescent="0.2">
      <c r="A113"/>
      <c r="B113" s="2"/>
      <c r="C113" s="2"/>
      <c r="D113" s="2"/>
      <c r="E113" s="2"/>
      <c r="F113" s="2"/>
      <c r="G113" s="2"/>
      <c r="H113" s="2"/>
      <c r="I113" s="2"/>
      <c r="J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ht="15.75" customHeight="1" x14ac:dyDescent="0.2">
      <c r="A114"/>
      <c r="B114" s="2"/>
      <c r="C114" s="2"/>
      <c r="D114" s="2"/>
      <c r="E114" s="2"/>
      <c r="F114" s="2"/>
      <c r="G114" s="2"/>
      <c r="H114" s="2"/>
      <c r="I114" s="2"/>
      <c r="J114" s="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ht="15.75" customHeight="1" x14ac:dyDescent="0.2">
      <c r="A115"/>
      <c r="B115" s="2"/>
      <c r="C115" s="2"/>
      <c r="D115" s="2"/>
      <c r="E115" s="2"/>
      <c r="F115" s="2"/>
      <c r="G115" s="2"/>
      <c r="H115" s="2"/>
      <c r="I115" s="2"/>
      <c r="J115" s="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ht="15.75" customHeight="1" x14ac:dyDescent="0.2">
      <c r="A116"/>
      <c r="B116" s="2"/>
      <c r="C116" s="2"/>
      <c r="D116" s="2"/>
      <c r="E116" s="2"/>
      <c r="F116" s="2"/>
      <c r="G116" s="2"/>
      <c r="H116" s="2"/>
      <c r="I116" s="2"/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ht="15.75" customHeight="1" x14ac:dyDescent="0.2">
      <c r="A117"/>
      <c r="B117" s="2"/>
      <c r="C117" s="2"/>
      <c r="D117" s="2"/>
      <c r="E117" s="2"/>
      <c r="F117" s="2"/>
      <c r="G117" s="2"/>
      <c r="H117" s="2"/>
      <c r="I117" s="2"/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 ht="15.75" customHeight="1" x14ac:dyDescent="0.2">
      <c r="A118"/>
      <c r="B118" s="2"/>
      <c r="C118" s="2"/>
      <c r="D118" s="2"/>
      <c r="E118" s="2"/>
      <c r="F118" s="2"/>
      <c r="G118" s="2"/>
      <c r="H118" s="2"/>
      <c r="I118" s="2"/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ht="15.75" customHeight="1" x14ac:dyDescent="0.2">
      <c r="A119"/>
      <c r="B119" s="2"/>
      <c r="C119" s="2"/>
      <c r="D119" s="2"/>
      <c r="E119" s="2"/>
      <c r="F119" s="2"/>
      <c r="G119" s="2"/>
      <c r="H119" s="2"/>
      <c r="I119" s="2"/>
      <c r="J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ht="15.75" customHeight="1" x14ac:dyDescent="0.2">
      <c r="A120"/>
      <c r="B120" s="2"/>
      <c r="C120" s="2"/>
      <c r="D120" s="2"/>
      <c r="E120" s="2"/>
      <c r="F120" s="2"/>
      <c r="G120" s="2"/>
      <c r="H120" s="2"/>
      <c r="I120" s="2"/>
      <c r="J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 ht="15.75" customHeight="1" x14ac:dyDescent="0.2">
      <c r="A121"/>
      <c r="B121" s="2"/>
      <c r="C121" s="2"/>
      <c r="D121" s="2"/>
      <c r="E121" s="2"/>
      <c r="F121" s="2"/>
      <c r="G121" s="2"/>
      <c r="H121" s="2"/>
      <c r="I121" s="2"/>
      <c r="J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ht="15.75" customHeight="1" x14ac:dyDescent="0.2">
      <c r="A122"/>
      <c r="B122" s="2"/>
      <c r="C122" s="2"/>
      <c r="D122" s="2"/>
      <c r="E122" s="2"/>
      <c r="F122" s="2"/>
      <c r="G122" s="2"/>
      <c r="H122" s="2"/>
      <c r="I122" s="2"/>
      <c r="J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 ht="15.75" customHeight="1" x14ac:dyDescent="0.2">
      <c r="A123"/>
      <c r="B123" s="2"/>
      <c r="C123" s="2"/>
      <c r="D123" s="2"/>
      <c r="E123" s="2"/>
      <c r="F123" s="2"/>
      <c r="G123" s="2"/>
      <c r="H123" s="2"/>
      <c r="I123" s="2"/>
      <c r="J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 ht="15.75" customHeight="1" x14ac:dyDescent="0.2">
      <c r="A124"/>
      <c r="B124" s="2"/>
      <c r="C124" s="2"/>
      <c r="D124" s="2"/>
      <c r="E124" s="2"/>
      <c r="F124" s="2"/>
      <c r="G124" s="2"/>
      <c r="H124" s="2"/>
      <c r="I124" s="2"/>
      <c r="J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 ht="15.75" customHeight="1" x14ac:dyDescent="0.2">
      <c r="A12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 ht="15.75" customHeight="1" x14ac:dyDescent="0.2">
      <c r="A126"/>
      <c r="B126" s="2"/>
      <c r="C126" s="2"/>
      <c r="D126" s="2"/>
      <c r="E126" s="2"/>
      <c r="F126" s="2"/>
      <c r="G126" s="2"/>
      <c r="H126" s="2"/>
      <c r="I126" s="2"/>
      <c r="J126" s="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 ht="15.75" customHeight="1" x14ac:dyDescent="0.2">
      <c r="A12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 ht="15.75" customHeight="1" x14ac:dyDescent="0.2">
      <c r="A12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 ht="15.75" customHeight="1" x14ac:dyDescent="0.2">
      <c r="A129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 ht="15.75" customHeight="1" x14ac:dyDescent="0.2">
      <c r="A13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ht="15.75" customHeight="1" x14ac:dyDescent="0.2">
      <c r="A13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ht="15.75" customHeight="1" x14ac:dyDescent="0.2">
      <c r="A13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ht="15.75" customHeight="1" x14ac:dyDescent="0.2">
      <c r="A133"/>
      <c r="B133" s="2"/>
      <c r="C133" s="2"/>
      <c r="D133" s="2"/>
      <c r="E133" s="2"/>
      <c r="F133" s="2"/>
      <c r="G133" s="2"/>
      <c r="H133" s="2"/>
      <c r="I133" s="2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ht="15.75" customHeight="1" x14ac:dyDescent="0.2">
      <c r="A134"/>
      <c r="B134" s="2"/>
      <c r="C134" s="2"/>
      <c r="D134" s="2"/>
      <c r="E134" s="2"/>
      <c r="F134" s="2"/>
      <c r="G134" s="2"/>
      <c r="H134" s="2"/>
      <c r="I134" s="2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ht="15.75" customHeight="1" x14ac:dyDescent="0.2">
      <c r="A135"/>
      <c r="B135" s="2"/>
      <c r="C135" s="2"/>
      <c r="D135" s="2"/>
      <c r="E135" s="2"/>
      <c r="F135" s="2"/>
      <c r="G135" s="2"/>
      <c r="H135" s="2"/>
      <c r="I135" s="2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ht="15.75" customHeight="1" x14ac:dyDescent="0.2">
      <c r="A136"/>
      <c r="B136" s="2"/>
      <c r="C136" s="2"/>
      <c r="D136" s="2"/>
      <c r="E136" s="2"/>
      <c r="F136" s="2"/>
      <c r="G136" s="2"/>
      <c r="H136" s="2"/>
      <c r="I136" s="2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ht="15.75" customHeight="1" x14ac:dyDescent="0.2">
      <c r="A137"/>
      <c r="B137" s="2"/>
      <c r="C137" s="2"/>
      <c r="D137" s="2"/>
      <c r="E137" s="2"/>
      <c r="F137" s="2"/>
      <c r="G137" s="2"/>
      <c r="H137" s="2"/>
      <c r="I137" s="2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ht="15.75" customHeight="1" x14ac:dyDescent="0.2">
      <c r="A138"/>
      <c r="B138" s="2"/>
      <c r="C138" s="2"/>
      <c r="D138" s="2"/>
      <c r="E138" s="2"/>
      <c r="F138" s="2"/>
      <c r="G138" s="2"/>
      <c r="H138" s="2"/>
      <c r="I138" s="2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ht="15.75" customHeight="1" x14ac:dyDescent="0.2">
      <c r="A139"/>
      <c r="B139" s="2"/>
      <c r="C139" s="2"/>
      <c r="D139" s="2"/>
      <c r="E139" s="2"/>
      <c r="F139" s="2"/>
      <c r="G139" s="2"/>
      <c r="H139" s="2"/>
      <c r="I139" s="2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ht="15.75" customHeight="1" x14ac:dyDescent="0.2">
      <c r="A140"/>
      <c r="B140" s="2"/>
      <c r="C140" s="2"/>
      <c r="D140" s="2"/>
      <c r="E140" s="2"/>
      <c r="F140" s="2"/>
      <c r="G140" s="2"/>
      <c r="H140" s="2"/>
      <c r="I140" s="2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ht="15.75" customHeight="1" x14ac:dyDescent="0.2">
      <c r="A141"/>
      <c r="B141" s="2"/>
      <c r="C141" s="2"/>
      <c r="D141" s="2"/>
      <c r="E141" s="2"/>
      <c r="F141" s="2"/>
      <c r="G141" s="2"/>
      <c r="H141" s="2"/>
      <c r="I141" s="2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 ht="15.75" customHeight="1" x14ac:dyDescent="0.2">
      <c r="A142"/>
      <c r="B142" s="2"/>
      <c r="C142" s="2"/>
      <c r="D142" s="2"/>
      <c r="E142" s="2"/>
      <c r="F142" s="2"/>
      <c r="G142" s="2"/>
      <c r="H142" s="2"/>
      <c r="I142" s="2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ht="15.75" customHeight="1" x14ac:dyDescent="0.2">
      <c r="A143"/>
      <c r="B143" s="2"/>
      <c r="C143" s="2"/>
      <c r="D143" s="2"/>
      <c r="E143" s="2"/>
      <c r="F143" s="2"/>
      <c r="G143" s="2"/>
      <c r="H143" s="2"/>
      <c r="I143" s="2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 ht="15.75" customHeight="1" x14ac:dyDescent="0.2">
      <c r="A144"/>
      <c r="B144" s="2"/>
      <c r="C144" s="2"/>
      <c r="D144" s="2"/>
      <c r="E144" s="2"/>
      <c r="F144" s="2"/>
      <c r="G144" s="2"/>
      <c r="H144" s="2"/>
      <c r="I144" s="2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 ht="15.75" customHeight="1" x14ac:dyDescent="0.2">
      <c r="A145"/>
      <c r="B145" s="2"/>
      <c r="C145" s="2"/>
      <c r="D145" s="2"/>
      <c r="E145" s="2"/>
      <c r="F145" s="2"/>
      <c r="G145" s="2"/>
      <c r="H145" s="2"/>
      <c r="I145" s="2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 ht="15.75" customHeight="1" x14ac:dyDescent="0.2">
      <c r="A146"/>
      <c r="B146" s="2"/>
      <c r="C146" s="2"/>
      <c r="D146" s="2"/>
      <c r="E146" s="2"/>
      <c r="F146" s="2"/>
      <c r="G146" s="2"/>
      <c r="H146" s="2"/>
      <c r="I146" s="2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 ht="15.75" customHeight="1" x14ac:dyDescent="0.2">
      <c r="A147"/>
      <c r="B147" s="2"/>
      <c r="C147" s="2"/>
      <c r="D147" s="2"/>
      <c r="E147" s="2"/>
      <c r="F147" s="2"/>
      <c r="G147" s="2"/>
      <c r="H147" s="2"/>
      <c r="I147" s="2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 ht="15.75" customHeight="1" x14ac:dyDescent="0.2">
      <c r="A148"/>
      <c r="B148" s="2"/>
      <c r="C148" s="2"/>
      <c r="D148" s="2"/>
      <c r="E148" s="2"/>
      <c r="F148" s="2"/>
      <c r="G148" s="2"/>
      <c r="H148" s="2"/>
      <c r="I148" s="2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ht="15.75" customHeight="1" x14ac:dyDescent="0.2">
      <c r="A149"/>
      <c r="B149" s="2"/>
      <c r="C149" s="2"/>
      <c r="D149" s="2"/>
      <c r="E149" s="2"/>
      <c r="F149" s="2"/>
      <c r="G149" s="2"/>
      <c r="H149" s="2"/>
      <c r="I149" s="2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ht="15.75" customHeight="1" x14ac:dyDescent="0.2">
      <c r="A150"/>
      <c r="B150" s="2"/>
      <c r="C150" s="2"/>
      <c r="D150" s="2"/>
      <c r="E150" s="2"/>
      <c r="F150" s="2"/>
      <c r="G150" s="2"/>
      <c r="H150" s="2"/>
      <c r="I150" s="2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 ht="15.75" customHeight="1" x14ac:dyDescent="0.2">
      <c r="A151"/>
      <c r="B151" s="2"/>
      <c r="C151" s="2"/>
      <c r="D151" s="2"/>
      <c r="E151" s="2"/>
      <c r="F151" s="2"/>
      <c r="G151" s="2"/>
      <c r="H151" s="2"/>
      <c r="I151" s="2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ht="15.75" customHeight="1" x14ac:dyDescent="0.2">
      <c r="A152"/>
      <c r="B152" s="2"/>
      <c r="C152" s="2"/>
      <c r="D152" s="2"/>
      <c r="E152" s="2"/>
      <c r="F152" s="2"/>
      <c r="G152" s="2"/>
      <c r="H152" s="2"/>
      <c r="I152" s="2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 ht="15.75" customHeight="1" x14ac:dyDescent="0.2">
      <c r="A153"/>
      <c r="B153" s="2"/>
      <c r="C153" s="2"/>
      <c r="D153" s="2"/>
      <c r="E153" s="2"/>
      <c r="F153" s="2"/>
      <c r="G153" s="2"/>
      <c r="H153" s="2"/>
      <c r="I153" s="2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 ht="15.75" customHeight="1" x14ac:dyDescent="0.2">
      <c r="A154"/>
      <c r="B154" s="2"/>
      <c r="C154" s="2"/>
      <c r="D154" s="2"/>
      <c r="E154" s="2"/>
      <c r="F154" s="2"/>
      <c r="G154" s="2"/>
      <c r="H154" s="2"/>
      <c r="I154" s="2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 ht="15.75" customHeight="1" x14ac:dyDescent="0.2">
      <c r="A155"/>
      <c r="B155" s="2"/>
      <c r="C155" s="2"/>
      <c r="D155" s="2"/>
      <c r="E155" s="2"/>
      <c r="F155" s="2"/>
      <c r="G155" s="2"/>
      <c r="H155" s="2"/>
      <c r="I155" s="2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ht="15.75" customHeight="1" x14ac:dyDescent="0.2">
      <c r="A156"/>
      <c r="B156" s="2"/>
      <c r="C156" s="2"/>
      <c r="D156" s="2"/>
      <c r="E156" s="2"/>
      <c r="F156" s="2"/>
      <c r="G156" s="2"/>
      <c r="H156" s="2"/>
      <c r="I156" s="2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 ht="15.75" customHeight="1" x14ac:dyDescent="0.2">
      <c r="A157"/>
      <c r="B157" s="2"/>
      <c r="C157" s="2"/>
      <c r="D157" s="2"/>
      <c r="E157" s="2"/>
      <c r="F157" s="2"/>
      <c r="G157" s="2"/>
      <c r="H157" s="2"/>
      <c r="I157" s="2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 ht="15.75" customHeight="1" x14ac:dyDescent="0.2">
      <c r="A158"/>
      <c r="B158" s="2"/>
      <c r="C158" s="2"/>
      <c r="D158" s="2"/>
      <c r="E158" s="2"/>
      <c r="F158" s="2"/>
      <c r="G158" s="2"/>
      <c r="H158" s="2"/>
      <c r="I158" s="2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ht="15.75" customHeight="1" x14ac:dyDescent="0.2">
      <c r="A159"/>
      <c r="B159" s="2"/>
      <c r="C159" s="2"/>
      <c r="D159" s="2"/>
      <c r="E159" s="2"/>
      <c r="F159" s="2"/>
      <c r="G159" s="2"/>
      <c r="H159" s="2"/>
      <c r="I159" s="2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ht="15.75" customHeight="1" x14ac:dyDescent="0.2">
      <c r="A160"/>
      <c r="B160" s="2"/>
      <c r="C160" s="2"/>
      <c r="D160" s="2"/>
      <c r="E160" s="2"/>
      <c r="F160" s="2"/>
      <c r="G160" s="2"/>
      <c r="H160" s="2"/>
      <c r="I160" s="2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 ht="15.75" customHeight="1" x14ac:dyDescent="0.2">
      <c r="A161"/>
      <c r="B161" s="2"/>
      <c r="C161" s="2"/>
      <c r="D161" s="2"/>
      <c r="E161" s="2"/>
      <c r="F161" s="2"/>
      <c r="G161" s="2"/>
      <c r="H161" s="2"/>
      <c r="I161" s="2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 ht="15.75" customHeight="1" x14ac:dyDescent="0.2">
      <c r="A162"/>
      <c r="B162" s="2"/>
      <c r="C162" s="2"/>
      <c r="D162" s="2"/>
      <c r="E162" s="2"/>
      <c r="F162" s="2"/>
      <c r="G162" s="2"/>
      <c r="H162" s="2"/>
      <c r="I162" s="2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 ht="15.75" customHeight="1" x14ac:dyDescent="0.2">
      <c r="A163"/>
      <c r="B163" s="2"/>
      <c r="C163" s="2"/>
      <c r="D163" s="2"/>
      <c r="E163" s="2"/>
      <c r="F163" s="2"/>
      <c r="G163" s="2"/>
      <c r="H163" s="2"/>
      <c r="I163" s="2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 ht="15.75" customHeight="1" x14ac:dyDescent="0.2">
      <c r="A164"/>
      <c r="B164" s="2"/>
      <c r="C164" s="2"/>
      <c r="D164" s="2"/>
      <c r="E164" s="2"/>
      <c r="F164" s="2"/>
      <c r="G164" s="2"/>
      <c r="H164" s="2"/>
      <c r="I164" s="2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 ht="15.75" customHeight="1" x14ac:dyDescent="0.2">
      <c r="A165"/>
      <c r="B165" s="2"/>
      <c r="C165" s="2"/>
      <c r="D165" s="2"/>
      <c r="E165" s="2"/>
      <c r="F165" s="2"/>
      <c r="G165" s="2"/>
      <c r="H165" s="2"/>
      <c r="I165" s="2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 ht="15.75" customHeight="1" x14ac:dyDescent="0.2">
      <c r="A166"/>
      <c r="B166" s="2"/>
      <c r="C166" s="2"/>
      <c r="D166" s="2"/>
      <c r="E166" s="2"/>
      <c r="F166" s="2"/>
      <c r="G166" s="2"/>
      <c r="H166" s="2"/>
      <c r="I166" s="2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 ht="15.75" customHeight="1" x14ac:dyDescent="0.2">
      <c r="A167"/>
      <c r="B167" s="2"/>
      <c r="C167" s="2"/>
      <c r="D167" s="2"/>
      <c r="E167" s="2"/>
      <c r="F167" s="2"/>
      <c r="G167" s="2"/>
      <c r="H167" s="2"/>
      <c r="I167" s="2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 ht="15.75" customHeight="1" x14ac:dyDescent="0.2">
      <c r="A168"/>
      <c r="B168" s="2"/>
      <c r="C168" s="2"/>
      <c r="D168" s="2"/>
      <c r="E168" s="2"/>
      <c r="F168" s="2"/>
      <c r="G168" s="2"/>
      <c r="H168" s="2"/>
      <c r="I168" s="2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 ht="15.75" customHeight="1" x14ac:dyDescent="0.2">
      <c r="A169"/>
      <c r="B169" s="2"/>
      <c r="C169" s="2"/>
      <c r="D169" s="2"/>
      <c r="E169" s="2"/>
      <c r="F169" s="2"/>
      <c r="G169" s="2"/>
      <c r="H169" s="2"/>
      <c r="I169" s="2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 ht="15.75" customHeight="1" x14ac:dyDescent="0.2">
      <c r="A170"/>
      <c r="B170" s="2"/>
      <c r="C170" s="2"/>
      <c r="D170" s="2"/>
      <c r="E170" s="2"/>
      <c r="F170" s="2"/>
      <c r="G170" s="2"/>
      <c r="H170" s="2"/>
      <c r="I170" s="2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 ht="15.75" customHeight="1" x14ac:dyDescent="0.2">
      <c r="A171"/>
      <c r="B171" s="2"/>
      <c r="C171" s="2"/>
      <c r="D171" s="2"/>
      <c r="E171" s="2"/>
      <c r="F171" s="2"/>
      <c r="G171" s="2"/>
      <c r="H171" s="2"/>
      <c r="I171" s="2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 ht="15.75" customHeight="1" x14ac:dyDescent="0.2">
      <c r="A172"/>
      <c r="B172" s="2"/>
      <c r="C172" s="2"/>
      <c r="D172" s="2"/>
      <c r="E172" s="2"/>
      <c r="F172" s="2"/>
      <c r="G172" s="2"/>
      <c r="H172" s="2"/>
      <c r="I172" s="2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 ht="15.75" customHeight="1" x14ac:dyDescent="0.2">
      <c r="A173"/>
      <c r="B173" s="2"/>
      <c r="C173" s="2"/>
      <c r="D173" s="2"/>
      <c r="E173" s="2"/>
      <c r="F173" s="2"/>
      <c r="G173" s="2"/>
      <c r="H173" s="2"/>
      <c r="I173" s="2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 ht="15.75" customHeight="1" x14ac:dyDescent="0.2">
      <c r="A174"/>
      <c r="B174" s="2"/>
      <c r="C174" s="2"/>
      <c r="D174" s="2"/>
      <c r="E174" s="2"/>
      <c r="F174" s="2"/>
      <c r="G174" s="2"/>
      <c r="H174" s="2"/>
      <c r="I174" s="2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 ht="15.75" customHeight="1" x14ac:dyDescent="0.2">
      <c r="A175"/>
      <c r="B175" s="2"/>
      <c r="C175" s="2"/>
      <c r="D175" s="2"/>
      <c r="E175" s="2"/>
      <c r="F175" s="2"/>
      <c r="G175" s="2"/>
      <c r="H175" s="2"/>
      <c r="I175" s="2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 ht="15.75" customHeight="1" x14ac:dyDescent="0.2">
      <c r="A176"/>
      <c r="B176" s="2"/>
      <c r="C176" s="2"/>
      <c r="D176" s="2"/>
      <c r="E176" s="2"/>
      <c r="F176" s="2"/>
      <c r="G176" s="2"/>
      <c r="H176" s="2"/>
      <c r="I176" s="2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 ht="15.75" customHeight="1" x14ac:dyDescent="0.2">
      <c r="A177"/>
      <c r="B177" s="2"/>
      <c r="C177" s="2"/>
      <c r="D177" s="2"/>
      <c r="E177" s="2"/>
      <c r="F177" s="2"/>
      <c r="G177" s="2"/>
      <c r="H177" s="2"/>
      <c r="I177" s="2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 ht="15.75" customHeight="1" x14ac:dyDescent="0.2">
      <c r="A178"/>
      <c r="B178" s="2"/>
      <c r="C178" s="2"/>
      <c r="D178" s="2"/>
      <c r="E178" s="2"/>
      <c r="F178" s="2"/>
      <c r="G178" s="2"/>
      <c r="H178" s="2"/>
      <c r="I178" s="2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 ht="15.75" customHeight="1" x14ac:dyDescent="0.2">
      <c r="A179"/>
      <c r="B179" s="2"/>
      <c r="C179" s="2"/>
      <c r="D179" s="2"/>
      <c r="E179" s="2"/>
      <c r="F179" s="2"/>
      <c r="G179" s="2"/>
      <c r="H179" s="2"/>
      <c r="I179" s="2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 ht="15.75" customHeight="1" x14ac:dyDescent="0.2">
      <c r="A180"/>
      <c r="B180" s="2"/>
      <c r="C180" s="2"/>
      <c r="D180" s="2"/>
      <c r="E180" s="2"/>
      <c r="F180" s="2"/>
      <c r="G180" s="2"/>
      <c r="H180" s="2"/>
      <c r="I180" s="2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 ht="15.75" customHeight="1" x14ac:dyDescent="0.2">
      <c r="A181"/>
      <c r="B181" s="2"/>
      <c r="C181" s="2"/>
      <c r="D181" s="2"/>
      <c r="E181" s="2"/>
      <c r="F181" s="2"/>
      <c r="G181" s="2"/>
      <c r="H181" s="2"/>
      <c r="I181" s="2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 ht="15.75" customHeight="1" x14ac:dyDescent="0.2">
      <c r="A182"/>
      <c r="B182" s="2"/>
      <c r="C182" s="2"/>
      <c r="D182" s="2"/>
      <c r="E182" s="2"/>
      <c r="F182" s="2"/>
      <c r="G182" s="2"/>
      <c r="H182" s="2"/>
      <c r="I182" s="2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 ht="15.75" customHeight="1" x14ac:dyDescent="0.2">
      <c r="A183"/>
      <c r="B183" s="2"/>
      <c r="C183" s="2"/>
      <c r="D183" s="2"/>
      <c r="E183" s="2"/>
      <c r="F183" s="2"/>
      <c r="G183" s="2"/>
      <c r="H183" s="2"/>
      <c r="I183" s="2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 ht="15.75" customHeight="1" x14ac:dyDescent="0.2">
      <c r="A184"/>
      <c r="B184" s="2"/>
      <c r="C184" s="2"/>
      <c r="D184" s="2"/>
      <c r="E184" s="2"/>
      <c r="F184" s="2"/>
      <c r="G184" s="2"/>
      <c r="H184" s="2"/>
      <c r="I184" s="2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 ht="15.75" customHeight="1" x14ac:dyDescent="0.2">
      <c r="A185"/>
      <c r="B185" s="2"/>
      <c r="C185" s="2"/>
      <c r="D185" s="2"/>
      <c r="E185" s="2"/>
      <c r="F185" s="2"/>
      <c r="G185" s="2"/>
      <c r="H185" s="2"/>
      <c r="I185" s="2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 ht="15.75" customHeight="1" x14ac:dyDescent="0.2">
      <c r="A186"/>
      <c r="B186" s="2"/>
      <c r="C186" s="2"/>
      <c r="D186" s="2"/>
      <c r="E186" s="2"/>
      <c r="F186" s="2"/>
      <c r="G186" s="2"/>
      <c r="H186" s="2"/>
      <c r="I186" s="2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 ht="15.75" customHeight="1" x14ac:dyDescent="0.2">
      <c r="A187"/>
      <c r="B187" s="2"/>
      <c r="C187" s="2"/>
      <c r="D187" s="2"/>
      <c r="E187" s="2"/>
      <c r="F187" s="2"/>
      <c r="G187" s="2"/>
      <c r="H187" s="2"/>
      <c r="I187" s="2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 ht="15.75" customHeight="1" x14ac:dyDescent="0.2">
      <c r="A188"/>
      <c r="B188" s="2"/>
      <c r="C188" s="2"/>
      <c r="D188" s="2"/>
      <c r="E188" s="2"/>
      <c r="F188" s="2"/>
      <c r="G188" s="2"/>
      <c r="H188" s="2"/>
      <c r="I188" s="2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 ht="15.75" customHeight="1" x14ac:dyDescent="0.2">
      <c r="A189"/>
      <c r="B189" s="2"/>
      <c r="C189" s="2"/>
      <c r="D189" s="2"/>
      <c r="E189" s="2"/>
      <c r="F189" s="2"/>
      <c r="G189" s="2"/>
      <c r="H189" s="2"/>
      <c r="I189" s="2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 ht="15.75" customHeight="1" x14ac:dyDescent="0.2">
      <c r="A190"/>
      <c r="B190" s="2"/>
      <c r="C190" s="2"/>
      <c r="D190" s="2"/>
      <c r="E190" s="2"/>
      <c r="F190" s="2"/>
      <c r="G190" s="2"/>
      <c r="H190" s="2"/>
      <c r="I190" s="2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 ht="15.75" customHeight="1" x14ac:dyDescent="0.2">
      <c r="A191"/>
      <c r="B191" s="2"/>
      <c r="C191" s="2"/>
      <c r="D191" s="2"/>
      <c r="E191" s="2"/>
      <c r="F191" s="2"/>
      <c r="G191" s="2"/>
      <c r="H191" s="2"/>
      <c r="I191" s="2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 ht="15.75" customHeight="1" x14ac:dyDescent="0.2">
      <c r="A192"/>
      <c r="B192" s="2"/>
      <c r="C192" s="2"/>
      <c r="D192" s="2"/>
      <c r="E192" s="2"/>
      <c r="F192" s="2"/>
      <c r="G192" s="2"/>
      <c r="H192" s="2"/>
      <c r="I192" s="2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 ht="15.75" customHeight="1" x14ac:dyDescent="0.2">
      <c r="A193"/>
      <c r="B193" s="2"/>
      <c r="C193" s="2"/>
      <c r="D193" s="2"/>
      <c r="E193" s="2"/>
      <c r="F193" s="2"/>
      <c r="G193" s="2"/>
      <c r="H193" s="2"/>
      <c r="I193" s="2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 ht="15.75" customHeight="1" x14ac:dyDescent="0.2">
      <c r="A194"/>
      <c r="B194" s="2"/>
      <c r="C194" s="2"/>
      <c r="D194" s="2"/>
      <c r="E194" s="2"/>
      <c r="F194" s="2"/>
      <c r="G194" s="2"/>
      <c r="H194" s="2"/>
      <c r="I194" s="2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 ht="15.75" customHeight="1" x14ac:dyDescent="0.2">
      <c r="A195"/>
      <c r="B195" s="2"/>
      <c r="C195" s="2"/>
      <c r="D195" s="2"/>
      <c r="E195" s="2"/>
      <c r="F195" s="2"/>
      <c r="G195" s="2"/>
      <c r="H195" s="2"/>
      <c r="I195" s="2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 ht="15.75" customHeight="1" x14ac:dyDescent="0.2">
      <c r="A196"/>
      <c r="B196" s="2"/>
      <c r="C196" s="2"/>
      <c r="D196" s="2"/>
      <c r="E196" s="2"/>
      <c r="F196" s="2"/>
      <c r="G196" s="2"/>
      <c r="H196" s="2"/>
      <c r="I196" s="2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 ht="15.75" customHeight="1" x14ac:dyDescent="0.2">
      <c r="A197"/>
      <c r="B197" s="2"/>
      <c r="C197" s="2"/>
      <c r="D197" s="2"/>
      <c r="E197" s="2"/>
      <c r="F197" s="2"/>
      <c r="G197" s="2"/>
      <c r="H197" s="2"/>
      <c r="I197" s="2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 ht="15.75" customHeight="1" x14ac:dyDescent="0.2">
      <c r="A198"/>
      <c r="B198" s="2"/>
      <c r="C198" s="2"/>
      <c r="D198" s="2"/>
      <c r="E198" s="2"/>
      <c r="F198" s="2"/>
      <c r="G198" s="2"/>
      <c r="H198" s="2"/>
      <c r="I198" s="2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 ht="15.75" customHeight="1" x14ac:dyDescent="0.2">
      <c r="A199"/>
      <c r="B199" s="2"/>
      <c r="C199" s="2"/>
      <c r="D199" s="2"/>
      <c r="E199" s="2"/>
      <c r="F199" s="2"/>
      <c r="G199" s="2"/>
      <c r="H199" s="2"/>
      <c r="I199" s="2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 ht="15.75" customHeight="1" x14ac:dyDescent="0.2">
      <c r="A200"/>
      <c r="B200" s="2"/>
      <c r="C200" s="2"/>
      <c r="D200" s="2"/>
      <c r="E200" s="2"/>
      <c r="F200" s="2"/>
      <c r="G200" s="2"/>
      <c r="H200" s="2"/>
      <c r="I200" s="2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 ht="15.75" customHeight="1" x14ac:dyDescent="0.2">
      <c r="A201"/>
      <c r="B201" s="2"/>
      <c r="C201" s="2"/>
      <c r="D201" s="2"/>
      <c r="E201" s="2"/>
      <c r="F201" s="2"/>
      <c r="G201" s="2"/>
      <c r="H201" s="2"/>
      <c r="I201" s="2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1:37" ht="15.75" customHeight="1" x14ac:dyDescent="0.2">
      <c r="A202"/>
      <c r="B202" s="2"/>
      <c r="C202" s="2"/>
      <c r="D202" s="2"/>
      <c r="E202" s="2"/>
      <c r="F202" s="2"/>
      <c r="G202" s="2"/>
      <c r="H202" s="2"/>
      <c r="I202" s="2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1:37" ht="15.75" customHeight="1" x14ac:dyDescent="0.2">
      <c r="A203"/>
      <c r="B203" s="2"/>
      <c r="C203" s="2"/>
      <c r="D203" s="2"/>
      <c r="E203" s="2"/>
      <c r="F203" s="2"/>
      <c r="G203" s="2"/>
      <c r="H203" s="2"/>
      <c r="I203" s="2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 ht="15.75" customHeight="1" x14ac:dyDescent="0.2">
      <c r="A204"/>
      <c r="B204" s="2"/>
      <c r="C204" s="2"/>
      <c r="D204" s="2"/>
      <c r="E204" s="2"/>
      <c r="F204" s="2"/>
      <c r="G204" s="2"/>
      <c r="H204" s="2"/>
      <c r="I204" s="2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1:37" ht="15.75" customHeight="1" x14ac:dyDescent="0.2">
      <c r="A205"/>
      <c r="B205" s="2"/>
      <c r="C205" s="2"/>
      <c r="D205" s="2"/>
      <c r="E205" s="2"/>
      <c r="F205" s="2"/>
      <c r="G205" s="2"/>
      <c r="H205" s="2"/>
      <c r="I205" s="2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 ht="15.75" customHeight="1" x14ac:dyDescent="0.2">
      <c r="A206"/>
      <c r="B206" s="2"/>
      <c r="C206" s="2"/>
      <c r="D206" s="2"/>
      <c r="E206" s="2"/>
      <c r="F206" s="2"/>
      <c r="G206" s="2"/>
      <c r="H206" s="2"/>
      <c r="I206" s="2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 ht="15.75" customHeight="1" x14ac:dyDescent="0.2">
      <c r="A207"/>
      <c r="B207" s="2"/>
      <c r="C207" s="2"/>
      <c r="D207" s="2"/>
      <c r="E207" s="2"/>
      <c r="F207" s="2"/>
      <c r="G207" s="2"/>
      <c r="H207" s="2"/>
      <c r="I207" s="2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 ht="15.75" customHeight="1" x14ac:dyDescent="0.2">
      <c r="A208"/>
      <c r="B208" s="2"/>
      <c r="C208" s="2"/>
      <c r="D208" s="2"/>
      <c r="E208" s="2"/>
      <c r="F208" s="2"/>
      <c r="G208" s="2"/>
      <c r="H208" s="2"/>
      <c r="I208" s="2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 ht="15.75" customHeight="1" x14ac:dyDescent="0.2">
      <c r="A209"/>
      <c r="B209" s="2"/>
      <c r="C209" s="2"/>
      <c r="D209" s="2"/>
      <c r="E209" s="2"/>
      <c r="F209" s="2"/>
      <c r="G209" s="2"/>
      <c r="H209" s="2"/>
      <c r="I209" s="2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 ht="15.75" customHeight="1" x14ac:dyDescent="0.2">
      <c r="A210"/>
      <c r="B210" s="2"/>
      <c r="C210" s="2"/>
      <c r="D210" s="2"/>
      <c r="E210" s="2"/>
      <c r="F210" s="2"/>
      <c r="G210" s="2"/>
      <c r="H210" s="2"/>
      <c r="I210" s="2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1:37" ht="15.75" customHeight="1" x14ac:dyDescent="0.2">
      <c r="A211"/>
      <c r="B211" s="2"/>
      <c r="C211" s="2"/>
      <c r="D211" s="2"/>
      <c r="E211" s="2"/>
      <c r="F211" s="2"/>
      <c r="G211" s="2"/>
      <c r="H211" s="2"/>
      <c r="I211" s="2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 ht="15.75" customHeight="1" x14ac:dyDescent="0.2">
      <c r="A212"/>
      <c r="B212" s="2"/>
      <c r="C212" s="2"/>
      <c r="D212" s="2"/>
      <c r="E212" s="2"/>
      <c r="F212" s="2"/>
      <c r="G212" s="2"/>
      <c r="H212" s="2"/>
      <c r="I212" s="2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7" ht="15.75" customHeight="1" x14ac:dyDescent="0.2">
      <c r="A213"/>
      <c r="B213" s="2"/>
      <c r="C213" s="2"/>
      <c r="D213" s="2"/>
      <c r="E213" s="2"/>
      <c r="F213" s="2"/>
      <c r="G213" s="2"/>
      <c r="H213" s="2"/>
      <c r="I213" s="2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 ht="15.75" customHeight="1" x14ac:dyDescent="0.2">
      <c r="A214"/>
      <c r="B214" s="2"/>
      <c r="C214" s="2"/>
      <c r="D214" s="2"/>
      <c r="E214" s="2"/>
      <c r="F214" s="2"/>
      <c r="G214" s="2"/>
      <c r="H214" s="2"/>
      <c r="I214" s="2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 ht="15.75" customHeight="1" x14ac:dyDescent="0.2">
      <c r="A215"/>
      <c r="B215" s="2"/>
      <c r="C215" s="2"/>
      <c r="D215" s="2"/>
      <c r="E215" s="2"/>
      <c r="F215" s="2"/>
      <c r="G215" s="2"/>
      <c r="H215" s="2"/>
      <c r="I215" s="2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1:37" ht="15.75" customHeight="1" x14ac:dyDescent="0.2">
      <c r="A216"/>
      <c r="B216" s="2"/>
      <c r="C216" s="2"/>
      <c r="D216" s="2"/>
      <c r="E216" s="2"/>
      <c r="F216" s="2"/>
      <c r="G216" s="2"/>
      <c r="H216" s="2"/>
      <c r="I216" s="2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 ht="15.75" customHeight="1" x14ac:dyDescent="0.2">
      <c r="A217"/>
      <c r="B217" s="2"/>
      <c r="C217" s="2"/>
      <c r="D217" s="2"/>
      <c r="E217" s="2"/>
      <c r="F217" s="2"/>
      <c r="G217" s="2"/>
      <c r="H217" s="2"/>
      <c r="I217" s="2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1:37" ht="15.75" customHeight="1" x14ac:dyDescent="0.2">
      <c r="A218"/>
      <c r="B218" s="2"/>
      <c r="C218" s="2"/>
      <c r="D218" s="2"/>
      <c r="E218" s="2"/>
      <c r="F218" s="2"/>
      <c r="G218" s="2"/>
      <c r="H218" s="2"/>
      <c r="I218" s="2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 ht="15.75" customHeight="1" x14ac:dyDescent="0.2">
      <c r="A219"/>
      <c r="B219" s="2"/>
      <c r="C219" s="2"/>
      <c r="D219" s="2"/>
      <c r="E219" s="2"/>
      <c r="F219" s="2"/>
      <c r="G219" s="2"/>
      <c r="H219" s="2"/>
      <c r="I219" s="2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7" ht="15.75" customHeight="1" x14ac:dyDescent="0.2">
      <c r="A220"/>
      <c r="B220" s="2"/>
      <c r="C220" s="2"/>
      <c r="D220" s="2"/>
      <c r="E220" s="2"/>
      <c r="F220" s="2"/>
      <c r="G220" s="2"/>
      <c r="H220" s="2"/>
      <c r="I220" s="2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 ht="15.75" customHeight="1" x14ac:dyDescent="0.2">
      <c r="A221"/>
      <c r="B221" s="2"/>
      <c r="C221" s="2"/>
      <c r="D221" s="2"/>
      <c r="E221" s="2"/>
      <c r="F221" s="2"/>
      <c r="G221" s="2"/>
      <c r="H221" s="2"/>
      <c r="I221" s="2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 ht="15.75" customHeight="1" x14ac:dyDescent="0.2">
      <c r="A222"/>
      <c r="B222" s="2"/>
      <c r="C222" s="2"/>
      <c r="D222" s="2"/>
      <c r="E222" s="2"/>
      <c r="F222" s="2"/>
      <c r="G222" s="2"/>
      <c r="H222" s="2"/>
      <c r="I222" s="2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 ht="15.75" customHeight="1" x14ac:dyDescent="0.2">
      <c r="A223"/>
      <c r="B223" s="2"/>
      <c r="C223" s="2"/>
      <c r="D223" s="2"/>
      <c r="E223" s="2"/>
      <c r="F223" s="2"/>
      <c r="G223" s="2"/>
      <c r="H223" s="2"/>
      <c r="I223" s="2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 ht="15.75" customHeight="1" x14ac:dyDescent="0.2">
      <c r="A224"/>
      <c r="B224" s="2"/>
      <c r="C224" s="2"/>
      <c r="D224" s="2"/>
      <c r="E224" s="2"/>
      <c r="F224" s="2"/>
      <c r="G224" s="2"/>
      <c r="H224" s="2"/>
      <c r="I224" s="2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 ht="15.75" customHeight="1" x14ac:dyDescent="0.2">
      <c r="A225"/>
      <c r="B225" s="2"/>
      <c r="C225" s="2"/>
      <c r="D225" s="2"/>
      <c r="E225" s="2"/>
      <c r="F225" s="2"/>
      <c r="G225" s="2"/>
      <c r="H225" s="2"/>
      <c r="I225" s="2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1:37" ht="15.75" customHeight="1" x14ac:dyDescent="0.2">
      <c r="A226"/>
      <c r="B226" s="2"/>
      <c r="C226" s="2"/>
      <c r="D226" s="2"/>
      <c r="E226" s="2"/>
      <c r="F226" s="2"/>
      <c r="G226" s="2"/>
      <c r="H226" s="2"/>
      <c r="I226" s="2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1:37" ht="15.75" customHeight="1" x14ac:dyDescent="0.2">
      <c r="A227"/>
      <c r="B227" s="2"/>
      <c r="C227" s="2"/>
      <c r="D227" s="2"/>
      <c r="E227" s="2"/>
      <c r="F227" s="2"/>
      <c r="G227" s="2"/>
      <c r="H227" s="2"/>
      <c r="I227" s="2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 ht="15.75" customHeight="1" x14ac:dyDescent="0.2">
      <c r="A228"/>
      <c r="B228" s="2"/>
      <c r="C228" s="2"/>
      <c r="D228" s="2"/>
      <c r="E228" s="2"/>
      <c r="F228" s="2"/>
      <c r="G228" s="2"/>
      <c r="H228" s="2"/>
      <c r="I228" s="2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 ht="15.75" customHeight="1" x14ac:dyDescent="0.2">
      <c r="A229"/>
      <c r="B229" s="2"/>
      <c r="C229" s="2"/>
      <c r="D229" s="2"/>
      <c r="E229" s="2"/>
      <c r="F229" s="2"/>
      <c r="G229" s="2"/>
      <c r="H229" s="2"/>
      <c r="I229" s="2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 ht="15.75" customHeight="1" x14ac:dyDescent="0.2">
      <c r="A230"/>
      <c r="B230" s="2"/>
      <c r="C230" s="2"/>
      <c r="D230" s="2"/>
      <c r="E230" s="2"/>
      <c r="F230" s="2"/>
      <c r="G230" s="2"/>
      <c r="H230" s="2"/>
      <c r="I230" s="2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 ht="15.75" customHeight="1" x14ac:dyDescent="0.2">
      <c r="A231"/>
      <c r="B231" s="2"/>
      <c r="C231" s="2"/>
      <c r="D231" s="2"/>
      <c r="E231" s="2"/>
      <c r="F231" s="2"/>
      <c r="G231" s="2"/>
      <c r="H231" s="2"/>
      <c r="I231" s="2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 ht="15.75" customHeight="1" x14ac:dyDescent="0.2">
      <c r="A232"/>
      <c r="B232" s="2"/>
      <c r="C232" s="2"/>
      <c r="D232" s="2"/>
      <c r="E232" s="2"/>
      <c r="F232" s="2"/>
      <c r="G232" s="2"/>
      <c r="H232" s="2"/>
      <c r="I232" s="2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 ht="15.75" customHeight="1" x14ac:dyDescent="0.2">
      <c r="A233"/>
      <c r="B233" s="2"/>
      <c r="C233" s="2"/>
      <c r="D233" s="2"/>
      <c r="E233" s="2"/>
      <c r="F233" s="2"/>
      <c r="G233" s="2"/>
      <c r="H233" s="2"/>
      <c r="I233" s="2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 ht="15.75" customHeight="1" x14ac:dyDescent="0.2">
      <c r="A234"/>
      <c r="B234" s="2"/>
      <c r="C234" s="2"/>
      <c r="D234" s="2"/>
      <c r="E234" s="2"/>
      <c r="F234" s="2"/>
      <c r="G234" s="2"/>
      <c r="H234" s="2"/>
      <c r="I234" s="2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 ht="15.75" customHeight="1" x14ac:dyDescent="0.2">
      <c r="A235"/>
      <c r="B235" s="2"/>
      <c r="C235" s="2"/>
      <c r="D235" s="2"/>
      <c r="E235" s="2"/>
      <c r="F235" s="2"/>
      <c r="G235" s="2"/>
      <c r="H235" s="2"/>
      <c r="I235" s="2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 ht="15.75" customHeight="1" x14ac:dyDescent="0.2">
      <c r="A236"/>
      <c r="B236" s="2"/>
      <c r="C236" s="2"/>
      <c r="D236" s="2"/>
      <c r="E236" s="2"/>
      <c r="F236" s="2"/>
      <c r="G236" s="2"/>
      <c r="H236" s="2"/>
      <c r="I236" s="2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 ht="15.75" customHeight="1" x14ac:dyDescent="0.2">
      <c r="A237"/>
      <c r="B237" s="2"/>
      <c r="C237" s="2"/>
      <c r="D237" s="2"/>
      <c r="E237" s="2"/>
      <c r="F237" s="2"/>
      <c r="G237" s="2"/>
      <c r="H237" s="2"/>
      <c r="I237" s="2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 ht="15.75" customHeight="1" x14ac:dyDescent="0.2">
      <c r="A238"/>
      <c r="B238" s="2"/>
      <c r="C238" s="2"/>
      <c r="D238" s="2"/>
      <c r="E238" s="2"/>
      <c r="F238" s="2"/>
      <c r="G238" s="2"/>
      <c r="H238" s="2"/>
      <c r="I238" s="2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 ht="15.75" customHeight="1" x14ac:dyDescent="0.2">
      <c r="A239"/>
      <c r="B239" s="2"/>
      <c r="C239" s="2"/>
      <c r="D239" s="2"/>
      <c r="E239" s="2"/>
      <c r="F239" s="2"/>
      <c r="G239" s="2"/>
      <c r="H239" s="2"/>
      <c r="I239" s="2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 ht="15.75" customHeight="1" x14ac:dyDescent="0.2">
      <c r="A240"/>
      <c r="B240" s="2"/>
      <c r="C240" s="2"/>
      <c r="D240" s="2"/>
      <c r="E240" s="2"/>
      <c r="F240" s="2"/>
      <c r="G240" s="2"/>
      <c r="H240" s="2"/>
      <c r="I240" s="2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 ht="15.75" customHeight="1" x14ac:dyDescent="0.2">
      <c r="A241"/>
      <c r="B241" s="2"/>
      <c r="C241" s="2"/>
      <c r="D241" s="2"/>
      <c r="E241" s="2"/>
      <c r="F241" s="2"/>
      <c r="G241" s="2"/>
      <c r="H241" s="2"/>
      <c r="I241" s="2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 ht="15.75" customHeight="1" x14ac:dyDescent="0.2">
      <c r="A242"/>
      <c r="B242" s="2"/>
      <c r="C242" s="2"/>
      <c r="D242" s="2"/>
      <c r="E242" s="2"/>
      <c r="F242" s="2"/>
      <c r="G242" s="2"/>
      <c r="H242" s="2"/>
      <c r="I242" s="2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 ht="15.75" customHeight="1" x14ac:dyDescent="0.2">
      <c r="A243"/>
      <c r="B243" s="2"/>
      <c r="C243" s="2"/>
      <c r="D243" s="2"/>
      <c r="E243" s="2"/>
      <c r="F243" s="2"/>
      <c r="G243" s="2"/>
      <c r="H243" s="2"/>
      <c r="I243" s="2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 ht="15.75" customHeight="1" x14ac:dyDescent="0.2">
      <c r="A244"/>
      <c r="B244" s="2"/>
      <c r="C244" s="2"/>
      <c r="D244" s="2"/>
      <c r="E244" s="2"/>
      <c r="F244" s="2"/>
      <c r="G244" s="2"/>
      <c r="H244" s="2"/>
      <c r="I244" s="2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 ht="15.75" customHeight="1" x14ac:dyDescent="0.2">
      <c r="A245"/>
      <c r="B245" s="2"/>
      <c r="C245" s="2"/>
      <c r="D245" s="2"/>
      <c r="E245" s="2"/>
      <c r="F245" s="2"/>
      <c r="G245" s="2"/>
      <c r="H245" s="2"/>
      <c r="I245" s="2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 ht="15.75" customHeight="1" x14ac:dyDescent="0.2">
      <c r="A246"/>
      <c r="B246" s="2"/>
      <c r="C246" s="2"/>
      <c r="D246" s="2"/>
      <c r="E246" s="2"/>
      <c r="F246" s="2"/>
      <c r="G246" s="2"/>
      <c r="H246" s="2"/>
      <c r="I246" s="2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 ht="15.75" customHeight="1" x14ac:dyDescent="0.2">
      <c r="A247"/>
      <c r="B247" s="2"/>
      <c r="C247" s="2"/>
      <c r="D247" s="2"/>
      <c r="E247" s="2"/>
      <c r="F247" s="2"/>
      <c r="G247" s="2"/>
      <c r="H247" s="2"/>
      <c r="I247" s="2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 ht="15.75" customHeight="1" x14ac:dyDescent="0.2">
      <c r="A248"/>
      <c r="B248" s="2"/>
      <c r="C248" s="2"/>
      <c r="D248" s="2"/>
      <c r="E248" s="2"/>
      <c r="F248" s="2"/>
      <c r="G248" s="2"/>
      <c r="H248" s="2"/>
      <c r="I248" s="2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 ht="15.75" customHeight="1" x14ac:dyDescent="0.2">
      <c r="A249"/>
      <c r="B249" s="2"/>
      <c r="C249" s="2"/>
      <c r="D249" s="2"/>
      <c r="E249" s="2"/>
      <c r="F249" s="2"/>
      <c r="G249" s="2"/>
      <c r="H249" s="2"/>
      <c r="I249" s="2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 ht="15.75" customHeight="1" x14ac:dyDescent="0.2">
      <c r="A250"/>
      <c r="B250" s="2"/>
      <c r="C250" s="2"/>
      <c r="D250" s="2"/>
      <c r="E250" s="2"/>
      <c r="F250" s="2"/>
      <c r="G250" s="2"/>
      <c r="H250" s="2"/>
      <c r="I250" s="2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 ht="15.75" customHeight="1" x14ac:dyDescent="0.2">
      <c r="A251"/>
      <c r="B251" s="2"/>
      <c r="C251" s="2"/>
      <c r="D251" s="2"/>
      <c r="E251" s="2"/>
      <c r="F251" s="2"/>
      <c r="G251" s="2"/>
      <c r="H251" s="2"/>
      <c r="I251" s="2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 ht="15.75" customHeight="1" x14ac:dyDescent="0.2">
      <c r="A252"/>
      <c r="B252" s="2"/>
      <c r="C252" s="2"/>
      <c r="D252" s="2"/>
      <c r="E252" s="2"/>
      <c r="F252" s="2"/>
      <c r="G252" s="2"/>
      <c r="H252" s="2"/>
      <c r="I252" s="2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 ht="15.75" customHeight="1" x14ac:dyDescent="0.2">
      <c r="A253"/>
      <c r="B253" s="2"/>
      <c r="C253" s="2"/>
      <c r="D253" s="2"/>
      <c r="E253" s="2"/>
      <c r="F253" s="2"/>
      <c r="G253" s="2"/>
      <c r="H253" s="2"/>
      <c r="I253" s="2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 ht="15.75" customHeight="1" x14ac:dyDescent="0.2">
      <c r="A254"/>
      <c r="B254" s="2"/>
      <c r="C254" s="2"/>
      <c r="D254" s="2"/>
      <c r="E254" s="2"/>
      <c r="F254" s="2"/>
      <c r="G254" s="2"/>
      <c r="H254" s="2"/>
      <c r="I254" s="2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 ht="15.75" customHeight="1" x14ac:dyDescent="0.2">
      <c r="A255"/>
      <c r="B255" s="2"/>
      <c r="C255" s="2"/>
      <c r="D255" s="2"/>
      <c r="E255" s="2"/>
      <c r="F255" s="2"/>
      <c r="G255" s="2"/>
      <c r="H255" s="2"/>
      <c r="I255" s="2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 ht="15.75" customHeight="1" x14ac:dyDescent="0.2">
      <c r="A256"/>
      <c r="B256" s="2"/>
      <c r="C256" s="2"/>
      <c r="D256" s="2"/>
      <c r="E256" s="2"/>
      <c r="F256" s="2"/>
      <c r="G256" s="2"/>
      <c r="H256" s="2"/>
      <c r="I256" s="2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 ht="15.75" customHeight="1" x14ac:dyDescent="0.2">
      <c r="A257"/>
      <c r="B257" s="2"/>
      <c r="C257" s="2"/>
      <c r="D257" s="2"/>
      <c r="E257" s="2"/>
      <c r="F257" s="2"/>
      <c r="G257" s="2"/>
      <c r="H257" s="2"/>
      <c r="I257" s="2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1:37" ht="15.75" customHeight="1" x14ac:dyDescent="0.2">
      <c r="A258"/>
      <c r="B258" s="2"/>
      <c r="C258" s="2"/>
      <c r="D258" s="2"/>
      <c r="E258" s="2"/>
      <c r="F258" s="2"/>
      <c r="G258" s="2"/>
      <c r="H258" s="2"/>
      <c r="I258" s="2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 ht="15.75" customHeight="1" x14ac:dyDescent="0.2">
      <c r="A259"/>
      <c r="B259" s="2"/>
      <c r="C259" s="2"/>
      <c r="D259" s="2"/>
      <c r="E259" s="2"/>
      <c r="F259" s="2"/>
      <c r="G259" s="2"/>
      <c r="H259" s="2"/>
      <c r="I259" s="2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1:37" ht="15.75" customHeight="1" x14ac:dyDescent="0.2">
      <c r="A260"/>
      <c r="B260" s="2"/>
      <c r="C260" s="2"/>
      <c r="D260" s="2"/>
      <c r="E260" s="2"/>
      <c r="F260" s="2"/>
      <c r="G260" s="2"/>
      <c r="H260" s="2"/>
      <c r="I260" s="2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 ht="15.75" customHeight="1" x14ac:dyDescent="0.2">
      <c r="A261"/>
      <c r="B261" s="2"/>
      <c r="C261" s="2"/>
      <c r="D261" s="2"/>
      <c r="E261" s="2"/>
      <c r="F261" s="2"/>
      <c r="G261" s="2"/>
      <c r="H261" s="2"/>
      <c r="I261" s="2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1:37" ht="15.75" customHeight="1" x14ac:dyDescent="0.2">
      <c r="A262"/>
      <c r="B262" s="2"/>
      <c r="C262" s="2"/>
      <c r="D262" s="2"/>
      <c r="E262" s="2"/>
      <c r="F262" s="2"/>
      <c r="G262" s="2"/>
      <c r="H262" s="2"/>
      <c r="I262" s="2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1:37" ht="15.75" customHeight="1" x14ac:dyDescent="0.2">
      <c r="A263"/>
      <c r="B263" s="2"/>
      <c r="C263" s="2"/>
      <c r="D263" s="2"/>
      <c r="E263" s="2"/>
      <c r="F263" s="2"/>
      <c r="G263" s="2"/>
      <c r="H263" s="2"/>
      <c r="I263" s="2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1:37" ht="15.75" customHeight="1" x14ac:dyDescent="0.2">
      <c r="A264"/>
      <c r="B264" s="2"/>
      <c r="C264" s="2"/>
      <c r="D264" s="2"/>
      <c r="E264" s="2"/>
      <c r="F264" s="2"/>
      <c r="G264" s="2"/>
      <c r="H264" s="2"/>
      <c r="I264" s="2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1:37" ht="15.75" customHeight="1" x14ac:dyDescent="0.2">
      <c r="A265"/>
      <c r="B265" s="2"/>
      <c r="C265" s="2"/>
      <c r="D265" s="2"/>
      <c r="E265" s="2"/>
      <c r="F265" s="2"/>
      <c r="G265" s="2"/>
      <c r="H265" s="2"/>
      <c r="I265" s="2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1:37" ht="15.75" customHeight="1" x14ac:dyDescent="0.2">
      <c r="A266"/>
      <c r="B266" s="2"/>
      <c r="C266" s="2"/>
      <c r="D266" s="2"/>
      <c r="E266" s="2"/>
      <c r="F266" s="2"/>
      <c r="G266" s="2"/>
      <c r="H266" s="2"/>
      <c r="I266" s="2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1:37" ht="15.75" customHeight="1" x14ac:dyDescent="0.2">
      <c r="A267"/>
      <c r="B267" s="2"/>
      <c r="C267" s="2"/>
      <c r="D267" s="2"/>
      <c r="E267" s="2"/>
      <c r="F267" s="2"/>
      <c r="G267" s="2"/>
      <c r="H267" s="2"/>
      <c r="I267" s="2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1:37" ht="15.75" customHeight="1" x14ac:dyDescent="0.2">
      <c r="A268"/>
      <c r="B268" s="2"/>
      <c r="C268" s="2"/>
      <c r="D268" s="2"/>
      <c r="E268" s="2"/>
      <c r="F268" s="2"/>
      <c r="G268" s="2"/>
      <c r="H268" s="2"/>
      <c r="I268" s="2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 ht="15.75" customHeight="1" x14ac:dyDescent="0.2">
      <c r="A269"/>
      <c r="B269" s="2"/>
      <c r="C269" s="2"/>
      <c r="D269" s="2"/>
      <c r="E269" s="2"/>
      <c r="F269" s="2"/>
      <c r="G269" s="2"/>
      <c r="H269" s="2"/>
      <c r="I269" s="2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 ht="15.75" customHeight="1" x14ac:dyDescent="0.2">
      <c r="A270"/>
      <c r="B270" s="2"/>
      <c r="C270" s="2"/>
      <c r="D270" s="2"/>
      <c r="E270" s="2"/>
      <c r="F270" s="2"/>
      <c r="G270" s="2"/>
      <c r="H270" s="2"/>
      <c r="I270" s="2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 ht="15.75" customHeight="1" x14ac:dyDescent="0.2">
      <c r="A271"/>
      <c r="B271" s="2"/>
      <c r="C271" s="2"/>
      <c r="D271" s="2"/>
      <c r="E271" s="2"/>
      <c r="F271" s="2"/>
      <c r="G271" s="2"/>
      <c r="H271" s="2"/>
      <c r="I271" s="2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1:37" ht="15.75" customHeight="1" x14ac:dyDescent="0.2">
      <c r="A272"/>
      <c r="B272" s="2"/>
      <c r="C272" s="2"/>
      <c r="D272" s="2"/>
      <c r="E272" s="2"/>
      <c r="F272" s="2"/>
      <c r="G272" s="2"/>
      <c r="H272" s="2"/>
      <c r="I272" s="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1:37" ht="15.75" customHeight="1" x14ac:dyDescent="0.2">
      <c r="A273"/>
      <c r="B273" s="2"/>
      <c r="C273" s="2"/>
      <c r="D273" s="2"/>
      <c r="E273" s="2"/>
      <c r="F273" s="2"/>
      <c r="G273" s="2"/>
      <c r="H273" s="2"/>
      <c r="I273" s="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1:37" ht="15.75" customHeight="1" x14ac:dyDescent="0.2">
      <c r="A274"/>
      <c r="B274" s="2"/>
      <c r="C274" s="2"/>
      <c r="D274" s="2"/>
      <c r="E274" s="2"/>
      <c r="F274" s="2"/>
      <c r="G274" s="2"/>
      <c r="H274" s="2"/>
      <c r="I274" s="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 ht="15.75" customHeight="1" x14ac:dyDescent="0.2">
      <c r="A275"/>
      <c r="B275" s="2"/>
      <c r="C275" s="2"/>
      <c r="D275" s="2"/>
      <c r="E275" s="2"/>
      <c r="F275" s="2"/>
      <c r="G275" s="2"/>
      <c r="H275" s="2"/>
      <c r="I275" s="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 ht="15.75" customHeight="1" x14ac:dyDescent="0.2">
      <c r="A276"/>
      <c r="B276" s="2"/>
      <c r="C276" s="2"/>
      <c r="D276" s="2"/>
      <c r="E276" s="2"/>
      <c r="F276" s="2"/>
      <c r="G276" s="2"/>
      <c r="H276" s="2"/>
      <c r="I276" s="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 ht="15.75" customHeight="1" x14ac:dyDescent="0.2">
      <c r="A277"/>
      <c r="B277" s="2"/>
      <c r="C277" s="2"/>
      <c r="D277" s="2"/>
      <c r="E277" s="2"/>
      <c r="F277" s="2"/>
      <c r="G277" s="2"/>
      <c r="H277" s="2"/>
      <c r="I277" s="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spans="1:37" ht="15.75" customHeight="1" x14ac:dyDescent="0.2">
      <c r="A278"/>
      <c r="B278" s="2"/>
      <c r="C278" s="2"/>
      <c r="D278" s="2"/>
      <c r="E278" s="2"/>
      <c r="F278" s="2"/>
      <c r="G278" s="2"/>
      <c r="H278" s="2"/>
      <c r="I278" s="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spans="1:37" ht="15.75" customHeight="1" x14ac:dyDescent="0.2">
      <c r="A279"/>
      <c r="B279" s="2"/>
      <c r="C279" s="2"/>
      <c r="D279" s="2"/>
      <c r="E279" s="2"/>
      <c r="F279" s="2"/>
      <c r="G279" s="2"/>
      <c r="H279" s="2"/>
      <c r="I279" s="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spans="1:37" ht="15.75" customHeight="1" x14ac:dyDescent="0.2">
      <c r="A280"/>
      <c r="B280" s="2"/>
      <c r="C280" s="2"/>
      <c r="D280" s="2"/>
      <c r="E280" s="2"/>
      <c r="F280" s="2"/>
      <c r="G280" s="2"/>
      <c r="H280" s="2"/>
      <c r="I280" s="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 ht="15.75" customHeight="1" x14ac:dyDescent="0.2">
      <c r="A281"/>
      <c r="B281" s="2"/>
      <c r="C281" s="2"/>
      <c r="D281" s="2"/>
      <c r="E281" s="2"/>
      <c r="F281" s="2"/>
      <c r="G281" s="2"/>
      <c r="H281" s="2"/>
      <c r="I281" s="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spans="1:37" ht="15.75" customHeight="1" x14ac:dyDescent="0.2">
      <c r="A282"/>
      <c r="B282" s="2"/>
      <c r="C282" s="2"/>
      <c r="D282" s="2"/>
      <c r="E282" s="2"/>
      <c r="F282" s="2"/>
      <c r="G282" s="2"/>
      <c r="H282" s="2"/>
      <c r="I282" s="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spans="1:37" ht="15.75" customHeight="1" x14ac:dyDescent="0.2">
      <c r="A283"/>
      <c r="B283" s="2"/>
      <c r="C283" s="2"/>
      <c r="D283" s="2"/>
      <c r="E283" s="2"/>
      <c r="F283" s="2"/>
      <c r="G283" s="2"/>
      <c r="H283" s="2"/>
      <c r="I283" s="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spans="1:37" ht="15.75" customHeight="1" x14ac:dyDescent="0.2">
      <c r="A284"/>
      <c r="B284" s="2"/>
      <c r="C284" s="2"/>
      <c r="D284" s="2"/>
      <c r="E284" s="2"/>
      <c r="F284" s="2"/>
      <c r="G284" s="2"/>
      <c r="H284" s="2"/>
      <c r="I284" s="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spans="1:37" ht="15.75" customHeight="1" x14ac:dyDescent="0.2">
      <c r="A285"/>
      <c r="B285" s="2"/>
      <c r="C285" s="2"/>
      <c r="D285" s="2"/>
      <c r="E285" s="2"/>
      <c r="F285" s="2"/>
      <c r="G285" s="2"/>
      <c r="H285" s="2"/>
      <c r="I285" s="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spans="1:37" ht="15.75" customHeight="1" x14ac:dyDescent="0.2">
      <c r="A286"/>
      <c r="B286" s="2"/>
      <c r="C286" s="2"/>
      <c r="D286" s="2"/>
      <c r="E286" s="2"/>
      <c r="F286" s="2"/>
      <c r="G286" s="2"/>
      <c r="H286" s="2"/>
      <c r="I286" s="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spans="1:37" ht="15.75" customHeight="1" x14ac:dyDescent="0.2">
      <c r="A287"/>
      <c r="B287" s="2"/>
      <c r="C287" s="2"/>
      <c r="D287" s="2"/>
      <c r="E287" s="2"/>
      <c r="F287" s="2"/>
      <c r="G287" s="2"/>
      <c r="H287" s="2"/>
      <c r="I287" s="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spans="1:37" ht="15.75" customHeight="1" x14ac:dyDescent="0.2">
      <c r="A288"/>
      <c r="B288" s="2"/>
      <c r="C288" s="2"/>
      <c r="D288" s="2"/>
      <c r="E288" s="2"/>
      <c r="F288" s="2"/>
      <c r="G288" s="2"/>
      <c r="H288" s="2"/>
      <c r="I288" s="2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spans="1:37" ht="15.75" customHeight="1" x14ac:dyDescent="0.2">
      <c r="A289"/>
      <c r="B289" s="2"/>
      <c r="C289" s="2"/>
      <c r="D289" s="2"/>
      <c r="E289" s="2"/>
      <c r="F289" s="2"/>
      <c r="G289" s="2"/>
      <c r="H289" s="2"/>
      <c r="I289" s="2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spans="1:37" ht="15.75" customHeight="1" x14ac:dyDescent="0.2">
      <c r="A290"/>
      <c r="B290" s="2"/>
      <c r="C290" s="2"/>
      <c r="D290" s="2"/>
      <c r="E290" s="2"/>
      <c r="F290" s="2"/>
      <c r="G290" s="2"/>
      <c r="H290" s="2"/>
      <c r="I290" s="2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spans="1:37" ht="15.75" customHeight="1" x14ac:dyDescent="0.2">
      <c r="A291"/>
      <c r="B291" s="2"/>
      <c r="C291" s="2"/>
      <c r="D291" s="2"/>
      <c r="E291" s="2"/>
      <c r="F291" s="2"/>
      <c r="G291" s="2"/>
      <c r="H291" s="2"/>
      <c r="I291" s="2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spans="1:37" ht="15.75" customHeight="1" x14ac:dyDescent="0.2">
      <c r="A292"/>
      <c r="B292" s="2"/>
      <c r="C292" s="2"/>
      <c r="D292" s="2"/>
      <c r="E292" s="2"/>
      <c r="F292" s="2"/>
      <c r="G292" s="2"/>
      <c r="H292" s="2"/>
      <c r="I292" s="2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spans="1:37" ht="15.75" customHeight="1" x14ac:dyDescent="0.2">
      <c r="A293"/>
      <c r="B293" s="2"/>
      <c r="C293" s="2"/>
      <c r="D293" s="2"/>
      <c r="E293" s="2"/>
      <c r="F293" s="2"/>
      <c r="G293" s="2"/>
      <c r="H293" s="2"/>
      <c r="I293" s="2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spans="1:37" ht="15.75" customHeight="1" x14ac:dyDescent="0.2">
      <c r="A294"/>
      <c r="B294" s="2"/>
      <c r="C294" s="2"/>
      <c r="D294" s="2"/>
      <c r="E294" s="2"/>
      <c r="F294" s="2"/>
      <c r="G294" s="2"/>
      <c r="H294" s="2"/>
      <c r="I294" s="2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spans="1:37" ht="15.75" customHeight="1" x14ac:dyDescent="0.2">
      <c r="A295"/>
      <c r="B295" s="2"/>
      <c r="C295" s="2"/>
      <c r="D295" s="2"/>
      <c r="E295" s="2"/>
      <c r="F295" s="2"/>
      <c r="G295" s="2"/>
      <c r="H295" s="2"/>
      <c r="I295" s="2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spans="1:37" ht="15.75" customHeight="1" x14ac:dyDescent="0.2">
      <c r="A296"/>
      <c r="B296" s="2"/>
      <c r="C296" s="2"/>
      <c r="D296" s="2"/>
      <c r="E296" s="2"/>
      <c r="F296" s="2"/>
      <c r="G296" s="2"/>
      <c r="H296" s="2"/>
      <c r="I296" s="2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spans="1:37" ht="15.75" customHeight="1" x14ac:dyDescent="0.2">
      <c r="A297"/>
      <c r="B297" s="2"/>
      <c r="C297" s="2"/>
      <c r="D297" s="2"/>
      <c r="E297" s="2"/>
      <c r="F297" s="2"/>
      <c r="G297" s="2"/>
      <c r="H297" s="2"/>
      <c r="I297" s="2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spans="1:37" ht="15.75" customHeight="1" x14ac:dyDescent="0.2">
      <c r="A298"/>
      <c r="B298" s="2"/>
      <c r="C298" s="2"/>
      <c r="D298" s="2"/>
      <c r="E298" s="2"/>
      <c r="F298" s="2"/>
      <c r="G298" s="2"/>
      <c r="H298" s="2"/>
      <c r="I298" s="2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spans="1:37" ht="15.75" customHeight="1" x14ac:dyDescent="0.2">
      <c r="A299"/>
      <c r="B299" s="2"/>
      <c r="C299" s="2"/>
      <c r="D299" s="2"/>
      <c r="E299" s="2"/>
      <c r="F299" s="2"/>
      <c r="G299" s="2"/>
      <c r="H299" s="2"/>
      <c r="I299" s="2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spans="1:37" ht="15.75" customHeight="1" x14ac:dyDescent="0.2">
      <c r="A300"/>
      <c r="B300" s="2"/>
      <c r="C300" s="2"/>
      <c r="D300" s="2"/>
      <c r="E300" s="2"/>
      <c r="F300" s="2"/>
      <c r="G300" s="2"/>
      <c r="H300" s="2"/>
      <c r="I300" s="2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spans="1:37" ht="15.75" customHeight="1" x14ac:dyDescent="0.2">
      <c r="A301"/>
      <c r="B301" s="2"/>
      <c r="C301" s="2"/>
      <c r="D301" s="2"/>
      <c r="E301" s="2"/>
      <c r="F301" s="2"/>
      <c r="G301" s="2"/>
      <c r="H301" s="2"/>
      <c r="I301" s="2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spans="1:37" ht="15.75" customHeight="1" x14ac:dyDescent="0.2">
      <c r="A302"/>
      <c r="B302" s="2"/>
      <c r="C302" s="2"/>
      <c r="D302" s="2"/>
      <c r="E302" s="2"/>
      <c r="F302" s="2"/>
      <c r="G302" s="2"/>
      <c r="H302" s="2"/>
      <c r="I302" s="2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spans="1:37" ht="15.75" customHeight="1" x14ac:dyDescent="0.2">
      <c r="A303"/>
      <c r="B303" s="2"/>
      <c r="C303" s="2"/>
      <c r="D303" s="2"/>
      <c r="E303" s="2"/>
      <c r="F303" s="2"/>
      <c r="G303" s="2"/>
      <c r="H303" s="2"/>
      <c r="I303" s="2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spans="1:37" ht="15.75" customHeight="1" x14ac:dyDescent="0.2">
      <c r="A304"/>
      <c r="B304" s="2"/>
      <c r="C304" s="2"/>
      <c r="D304" s="2"/>
      <c r="E304" s="2"/>
      <c r="F304" s="2"/>
      <c r="G304" s="2"/>
      <c r="H304" s="2"/>
      <c r="I304" s="2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spans="1:37" ht="15.75" customHeight="1" x14ac:dyDescent="0.2">
      <c r="A305"/>
      <c r="B305" s="2"/>
      <c r="C305" s="2"/>
      <c r="D305" s="2"/>
      <c r="E305" s="2"/>
      <c r="F305" s="2"/>
      <c r="G305" s="2"/>
      <c r="H305" s="2"/>
      <c r="I305" s="2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spans="1:37" ht="15.75" customHeight="1" x14ac:dyDescent="0.2">
      <c r="A306"/>
      <c r="B306" s="2"/>
      <c r="C306" s="2"/>
      <c r="D306" s="2"/>
      <c r="E306" s="2"/>
      <c r="F306" s="2"/>
      <c r="G306" s="2"/>
      <c r="H306" s="2"/>
      <c r="I306" s="2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spans="1:37" ht="15.75" customHeight="1" x14ac:dyDescent="0.2">
      <c r="A307"/>
      <c r="B307" s="2"/>
      <c r="C307" s="2"/>
      <c r="D307" s="2"/>
      <c r="E307" s="2"/>
      <c r="F307" s="2"/>
      <c r="G307" s="2"/>
      <c r="H307" s="2"/>
      <c r="I307" s="2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spans="1:37" ht="15.75" customHeight="1" x14ac:dyDescent="0.2">
      <c r="A308"/>
      <c r="B308" s="2"/>
      <c r="C308" s="2"/>
      <c r="D308" s="2"/>
      <c r="E308" s="2"/>
      <c r="F308" s="2"/>
      <c r="G308" s="2"/>
      <c r="H308" s="2"/>
      <c r="I308" s="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spans="1:37" ht="15.75" customHeight="1" x14ac:dyDescent="0.2">
      <c r="A309"/>
      <c r="B309" s="2"/>
      <c r="C309" s="2"/>
      <c r="D309" s="2"/>
      <c r="E309" s="2"/>
      <c r="F309" s="2"/>
      <c r="G309" s="2"/>
      <c r="H309" s="2"/>
      <c r="I309" s="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spans="1:37" ht="15.75" customHeight="1" x14ac:dyDescent="0.2">
      <c r="A310"/>
      <c r="B310" s="2"/>
      <c r="C310" s="2"/>
      <c r="D310" s="2"/>
      <c r="E310" s="2"/>
      <c r="F310" s="2"/>
      <c r="G310" s="2"/>
      <c r="H310" s="2"/>
      <c r="I310" s="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spans="1:37" ht="15.75" customHeight="1" x14ac:dyDescent="0.2">
      <c r="A311"/>
      <c r="B311" s="2"/>
      <c r="C311" s="2"/>
      <c r="D311" s="2"/>
      <c r="E311" s="2"/>
      <c r="F311" s="2"/>
      <c r="G311" s="2"/>
      <c r="H311" s="2"/>
      <c r="I311" s="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spans="1:37" ht="15.75" customHeight="1" x14ac:dyDescent="0.2">
      <c r="A312"/>
      <c r="B312" s="2"/>
      <c r="C312" s="2"/>
      <c r="D312" s="2"/>
      <c r="E312" s="2"/>
      <c r="F312" s="2"/>
      <c r="G312" s="2"/>
      <c r="H312" s="2"/>
      <c r="I312" s="2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spans="1:37" ht="15.75" customHeight="1" x14ac:dyDescent="0.2">
      <c r="A313"/>
      <c r="B313" s="2"/>
      <c r="C313" s="2"/>
      <c r="D313" s="2"/>
      <c r="E313" s="2"/>
      <c r="F313" s="2"/>
      <c r="G313" s="2"/>
      <c r="H313" s="2"/>
      <c r="I313" s="2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spans="1:37" ht="15.75" customHeight="1" x14ac:dyDescent="0.2">
      <c r="A314"/>
      <c r="B314" s="2"/>
      <c r="C314" s="2"/>
      <c r="D314" s="2"/>
      <c r="E314" s="2"/>
      <c r="F314" s="2"/>
      <c r="G314" s="2"/>
      <c r="H314" s="2"/>
      <c r="I314" s="2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spans="1:37" ht="15.75" customHeight="1" x14ac:dyDescent="0.2">
      <c r="A315"/>
      <c r="B315" s="2"/>
      <c r="C315" s="2"/>
      <c r="D315" s="2"/>
      <c r="E315" s="2"/>
      <c r="F315" s="2"/>
      <c r="G315" s="2"/>
      <c r="H315" s="2"/>
      <c r="I315" s="2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spans="1:37" ht="15.75" customHeight="1" x14ac:dyDescent="0.2">
      <c r="A316"/>
      <c r="B316" s="2"/>
      <c r="C316" s="2"/>
      <c r="D316" s="2"/>
      <c r="E316" s="2"/>
      <c r="F316" s="2"/>
      <c r="G316" s="2"/>
      <c r="H316" s="2"/>
      <c r="I316" s="2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spans="1:37" ht="15.75" customHeight="1" x14ac:dyDescent="0.2">
      <c r="A317"/>
      <c r="B317" s="2"/>
      <c r="C317" s="2"/>
      <c r="D317" s="2"/>
      <c r="E317" s="2"/>
      <c r="F317" s="2"/>
      <c r="G317" s="2"/>
      <c r="H317" s="2"/>
      <c r="I317" s="2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spans="1:37" ht="15.75" customHeight="1" x14ac:dyDescent="0.2">
      <c r="A318"/>
      <c r="B318" s="2"/>
      <c r="C318" s="2"/>
      <c r="D318" s="2"/>
      <c r="E318" s="2"/>
      <c r="F318" s="2"/>
      <c r="G318" s="2"/>
      <c r="H318" s="2"/>
      <c r="I318" s="2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spans="1:37" ht="15.75" customHeight="1" x14ac:dyDescent="0.2">
      <c r="A319"/>
      <c r="B319" s="2"/>
      <c r="C319" s="2"/>
      <c r="D319" s="2"/>
      <c r="E319" s="2"/>
      <c r="F319" s="2"/>
      <c r="G319" s="2"/>
      <c r="H319" s="2"/>
      <c r="I319" s="2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spans="1:37" ht="15.75" customHeight="1" x14ac:dyDescent="0.2">
      <c r="A320"/>
      <c r="B320" s="2"/>
      <c r="C320" s="2"/>
      <c r="D320" s="2"/>
      <c r="E320" s="2"/>
      <c r="F320" s="2"/>
      <c r="G320" s="2"/>
      <c r="H320" s="2"/>
      <c r="I320" s="2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spans="1:37" ht="15.75" customHeight="1" x14ac:dyDescent="0.2">
      <c r="A321"/>
      <c r="B321" s="2"/>
      <c r="C321" s="2"/>
      <c r="D321" s="2"/>
      <c r="E321" s="2"/>
      <c r="F321" s="2"/>
      <c r="G321" s="2"/>
      <c r="H321" s="2"/>
      <c r="I321" s="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spans="1:37" ht="15.75" customHeight="1" x14ac:dyDescent="0.2">
      <c r="A322"/>
      <c r="B322" s="2"/>
      <c r="C322" s="2"/>
      <c r="D322" s="2"/>
      <c r="E322" s="2"/>
      <c r="F322" s="2"/>
      <c r="G322" s="2"/>
      <c r="H322" s="2"/>
      <c r="I322" s="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spans="1:37" ht="15.75" customHeight="1" x14ac:dyDescent="0.2">
      <c r="A323"/>
      <c r="B323" s="2"/>
      <c r="C323" s="2"/>
      <c r="D323" s="2"/>
      <c r="E323" s="2"/>
      <c r="F323" s="2"/>
      <c r="G323" s="2"/>
      <c r="H323" s="2"/>
      <c r="I323" s="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spans="1:37" ht="15.75" customHeight="1" x14ac:dyDescent="0.2">
      <c r="A324"/>
      <c r="B324" s="2"/>
      <c r="C324" s="2"/>
      <c r="D324" s="2"/>
      <c r="E324" s="2"/>
      <c r="F324" s="2"/>
      <c r="G324" s="2"/>
      <c r="H324" s="2"/>
      <c r="I324" s="2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spans="1:37" ht="15.75" customHeight="1" x14ac:dyDescent="0.2">
      <c r="A325"/>
      <c r="B325" s="2"/>
      <c r="C325" s="2"/>
      <c r="D325" s="2"/>
      <c r="E325" s="2"/>
      <c r="F325" s="2"/>
      <c r="G325" s="2"/>
      <c r="H325" s="2"/>
      <c r="I325" s="2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spans="1:37" ht="15.75" customHeight="1" x14ac:dyDescent="0.2">
      <c r="A326"/>
      <c r="B326" s="2"/>
      <c r="C326" s="2"/>
      <c r="D326" s="2"/>
      <c r="E326" s="2"/>
      <c r="F326" s="2"/>
      <c r="G326" s="2"/>
      <c r="H326" s="2"/>
      <c r="I326" s="2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spans="1:37" ht="15.75" customHeight="1" x14ac:dyDescent="0.2">
      <c r="A327"/>
      <c r="B327" s="2"/>
      <c r="C327" s="2"/>
      <c r="D327" s="2"/>
      <c r="E327" s="2"/>
      <c r="F327" s="2"/>
      <c r="G327" s="2"/>
      <c r="H327" s="2"/>
      <c r="I327" s="2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spans="1:37" ht="15.75" customHeight="1" x14ac:dyDescent="0.2">
      <c r="A328"/>
      <c r="B328" s="2"/>
      <c r="C328" s="2"/>
      <c r="D328" s="2"/>
      <c r="E328" s="2"/>
      <c r="F328" s="2"/>
      <c r="G328" s="2"/>
      <c r="H328" s="2"/>
      <c r="I328" s="2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spans="1:37" ht="15.75" customHeight="1" x14ac:dyDescent="0.2">
      <c r="A329"/>
      <c r="B329" s="2"/>
      <c r="C329" s="2"/>
      <c r="D329" s="2"/>
      <c r="E329" s="2"/>
      <c r="F329" s="2"/>
      <c r="G329" s="2"/>
      <c r="H329" s="2"/>
      <c r="I329" s="2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spans="1:37" ht="15.75" customHeight="1" x14ac:dyDescent="0.2">
      <c r="A330"/>
      <c r="B330" s="2"/>
      <c r="C330" s="2"/>
      <c r="D330" s="2"/>
      <c r="E330" s="2"/>
      <c r="F330" s="2"/>
      <c r="G330" s="2"/>
      <c r="H330" s="2"/>
      <c r="I330" s="2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spans="1:37" ht="15.75" customHeight="1" x14ac:dyDescent="0.2">
      <c r="A331"/>
      <c r="B331" s="2"/>
      <c r="C331" s="2"/>
      <c r="D331" s="2"/>
      <c r="E331" s="2"/>
      <c r="F331" s="2"/>
      <c r="G331" s="2"/>
      <c r="H331" s="2"/>
      <c r="I331" s="2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spans="1:37" ht="15.75" customHeight="1" x14ac:dyDescent="0.2">
      <c r="A332"/>
      <c r="B332" s="2"/>
      <c r="C332" s="2"/>
      <c r="D332" s="2"/>
      <c r="E332" s="2"/>
      <c r="F332" s="2"/>
      <c r="G332" s="2"/>
      <c r="H332" s="2"/>
      <c r="I332" s="2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spans="1:37" ht="15.75" customHeight="1" x14ac:dyDescent="0.2">
      <c r="A333"/>
      <c r="B333" s="2"/>
      <c r="C333" s="2"/>
      <c r="D333" s="2"/>
      <c r="E333" s="2"/>
      <c r="F333" s="2"/>
      <c r="G333" s="2"/>
      <c r="H333" s="2"/>
      <c r="I333" s="2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spans="1:37" ht="15.75" customHeight="1" x14ac:dyDescent="0.2">
      <c r="A334"/>
      <c r="B334" s="2"/>
      <c r="C334" s="2"/>
      <c r="D334" s="2"/>
      <c r="E334" s="2"/>
      <c r="F334" s="2"/>
      <c r="G334" s="2"/>
      <c r="H334" s="2"/>
      <c r="I334" s="2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spans="1:37" ht="15.75" customHeight="1" x14ac:dyDescent="0.2">
      <c r="A335"/>
      <c r="B335" s="2"/>
      <c r="C335" s="2"/>
      <c r="D335" s="2"/>
      <c r="E335" s="2"/>
      <c r="F335" s="2"/>
      <c r="G335" s="2"/>
      <c r="H335" s="2"/>
      <c r="I335" s="2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spans="1:37" ht="15.75" customHeight="1" x14ac:dyDescent="0.2">
      <c r="A336"/>
      <c r="B336" s="2"/>
      <c r="C336" s="2"/>
      <c r="D336" s="2"/>
      <c r="E336" s="2"/>
      <c r="F336" s="2"/>
      <c r="G336" s="2"/>
      <c r="H336" s="2"/>
      <c r="I336" s="2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spans="1:37" ht="15.75" customHeight="1" x14ac:dyDescent="0.2">
      <c r="A337"/>
      <c r="B337" s="2"/>
      <c r="C337" s="2"/>
      <c r="D337" s="2"/>
      <c r="E337" s="2"/>
      <c r="F337" s="2"/>
      <c r="G337" s="2"/>
      <c r="H337" s="2"/>
      <c r="I337" s="2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spans="1:37" ht="15.75" customHeight="1" x14ac:dyDescent="0.2">
      <c r="A338"/>
      <c r="B338" s="2"/>
      <c r="C338" s="2"/>
      <c r="D338" s="2"/>
      <c r="E338" s="2"/>
      <c r="F338" s="2"/>
      <c r="G338" s="2"/>
      <c r="H338" s="2"/>
      <c r="I338" s="2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spans="1:37" ht="15.75" customHeight="1" x14ac:dyDescent="0.2">
      <c r="A339"/>
      <c r="B339" s="2"/>
      <c r="C339" s="2"/>
      <c r="D339" s="2"/>
      <c r="E339" s="2"/>
      <c r="F339" s="2"/>
      <c r="G339" s="2"/>
      <c r="H339" s="2"/>
      <c r="I339" s="2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1:37" ht="15.75" customHeight="1" x14ac:dyDescent="0.2">
      <c r="A340"/>
      <c r="B340" s="2"/>
      <c r="C340" s="2"/>
      <c r="D340" s="2"/>
      <c r="E340" s="2"/>
      <c r="F340" s="2"/>
      <c r="G340" s="2"/>
      <c r="H340" s="2"/>
      <c r="I340" s="2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spans="1:37" ht="15.75" customHeight="1" x14ac:dyDescent="0.2">
      <c r="A341"/>
      <c r="B341" s="2"/>
      <c r="C341" s="2"/>
      <c r="D341" s="2"/>
      <c r="E341" s="2"/>
      <c r="F341" s="2"/>
      <c r="G341" s="2"/>
      <c r="H341" s="2"/>
      <c r="I341" s="2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spans="1:37" ht="15.75" customHeight="1" x14ac:dyDescent="0.2">
      <c r="A342"/>
      <c r="B342" s="2"/>
      <c r="C342" s="2"/>
      <c r="D342" s="2"/>
      <c r="E342" s="2"/>
      <c r="F342" s="2"/>
      <c r="G342" s="2"/>
      <c r="H342" s="2"/>
      <c r="I342" s="2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spans="1:37" ht="15.75" customHeight="1" x14ac:dyDescent="0.2">
      <c r="A343"/>
      <c r="B343" s="2"/>
      <c r="C343" s="2"/>
      <c r="D343" s="2"/>
      <c r="E343" s="2"/>
      <c r="F343" s="2"/>
      <c r="G343" s="2"/>
      <c r="H343" s="2"/>
      <c r="I343" s="2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spans="1:37" ht="15.75" customHeight="1" x14ac:dyDescent="0.2">
      <c r="A344"/>
      <c r="B344" s="2"/>
      <c r="C344" s="2"/>
      <c r="D344" s="2"/>
      <c r="E344" s="2"/>
      <c r="F344" s="2"/>
      <c r="G344" s="2"/>
      <c r="H344" s="2"/>
      <c r="I344" s="2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spans="1:37" ht="15.75" customHeight="1" x14ac:dyDescent="0.2">
      <c r="A345"/>
      <c r="B345" s="2"/>
      <c r="C345" s="2"/>
      <c r="D345" s="2"/>
      <c r="E345" s="2"/>
      <c r="F345" s="2"/>
      <c r="G345" s="2"/>
      <c r="H345" s="2"/>
      <c r="I345" s="2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spans="1:37" ht="15.75" customHeight="1" x14ac:dyDescent="0.2">
      <c r="A346"/>
      <c r="B346" s="2"/>
      <c r="C346" s="2"/>
      <c r="D346" s="2"/>
      <c r="E346" s="2"/>
      <c r="F346" s="2"/>
      <c r="G346" s="2"/>
      <c r="H346" s="2"/>
      <c r="I346" s="2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spans="1:37" ht="15.75" customHeight="1" x14ac:dyDescent="0.2">
      <c r="A347"/>
      <c r="B347" s="2"/>
      <c r="C347" s="2"/>
      <c r="D347" s="2"/>
      <c r="E347" s="2"/>
      <c r="F347" s="2"/>
      <c r="G347" s="2"/>
      <c r="H347" s="2"/>
      <c r="I347" s="2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spans="1:37" ht="15.75" customHeight="1" x14ac:dyDescent="0.2">
      <c r="A348"/>
      <c r="B348" s="2"/>
      <c r="C348" s="2"/>
      <c r="D348" s="2"/>
      <c r="E348" s="2"/>
      <c r="F348" s="2"/>
      <c r="G348" s="2"/>
      <c r="H348" s="2"/>
      <c r="I348" s="2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spans="1:37" ht="15.75" customHeight="1" x14ac:dyDescent="0.2">
      <c r="A349"/>
      <c r="B349" s="2"/>
      <c r="C349" s="2"/>
      <c r="D349" s="2"/>
      <c r="E349" s="2"/>
      <c r="F349" s="2"/>
      <c r="G349" s="2"/>
      <c r="H349" s="2"/>
      <c r="I349" s="2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spans="1:37" ht="15.75" customHeight="1" x14ac:dyDescent="0.2">
      <c r="A350"/>
      <c r="B350" s="2"/>
      <c r="C350" s="2"/>
      <c r="D350" s="2"/>
      <c r="E350" s="2"/>
      <c r="F350" s="2"/>
      <c r="G350" s="2"/>
      <c r="H350" s="2"/>
      <c r="I350" s="2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spans="1:37" ht="15.75" customHeight="1" x14ac:dyDescent="0.2">
      <c r="A351"/>
      <c r="B351" s="2"/>
      <c r="C351" s="2"/>
      <c r="D351" s="2"/>
      <c r="E351" s="2"/>
      <c r="F351" s="2"/>
      <c r="G351" s="2"/>
      <c r="H351" s="2"/>
      <c r="I351" s="2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spans="1:37" ht="15.75" customHeight="1" x14ac:dyDescent="0.2">
      <c r="A352"/>
      <c r="B352" s="2"/>
      <c r="C352" s="2"/>
      <c r="D352" s="2"/>
      <c r="E352" s="2"/>
      <c r="F352" s="2"/>
      <c r="G352" s="2"/>
      <c r="H352" s="2"/>
      <c r="I352" s="2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1:37" ht="15.75" customHeight="1" x14ac:dyDescent="0.2">
      <c r="A353"/>
      <c r="B353" s="2"/>
      <c r="C353" s="2"/>
      <c r="D353" s="2"/>
      <c r="E353" s="2"/>
      <c r="F353" s="2"/>
      <c r="G353" s="2"/>
      <c r="H353" s="2"/>
      <c r="I353" s="2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1:37" ht="15.75" customHeight="1" x14ac:dyDescent="0.2">
      <c r="A354"/>
      <c r="B354" s="2"/>
      <c r="C354" s="2"/>
      <c r="D354" s="2"/>
      <c r="E354" s="2"/>
      <c r="F354" s="2"/>
      <c r="G354" s="2"/>
      <c r="H354" s="2"/>
      <c r="I354" s="2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spans="1:37" ht="15.75" customHeight="1" x14ac:dyDescent="0.2">
      <c r="A355"/>
      <c r="B355" s="2"/>
      <c r="C355" s="2"/>
      <c r="D355" s="2"/>
      <c r="E355" s="2"/>
      <c r="F355" s="2"/>
      <c r="G355" s="2"/>
      <c r="H355" s="2"/>
      <c r="I355" s="2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spans="1:37" ht="15.75" customHeight="1" x14ac:dyDescent="0.2">
      <c r="A356"/>
      <c r="B356" s="2"/>
      <c r="C356" s="2"/>
      <c r="D356" s="2"/>
      <c r="E356" s="2"/>
      <c r="F356" s="2"/>
      <c r="G356" s="2"/>
      <c r="H356" s="2"/>
      <c r="I356" s="2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spans="1:37" ht="15.75" customHeight="1" x14ac:dyDescent="0.2">
      <c r="A357"/>
      <c r="B357" s="2"/>
      <c r="C357" s="2"/>
      <c r="D357" s="2"/>
      <c r="E357" s="2"/>
      <c r="F357" s="2"/>
      <c r="G357" s="2"/>
      <c r="H357" s="2"/>
      <c r="I357" s="2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spans="1:37" ht="15.75" customHeight="1" x14ac:dyDescent="0.2">
      <c r="A358"/>
      <c r="B358" s="2"/>
      <c r="C358" s="2"/>
      <c r="D358" s="2"/>
      <c r="E358" s="2"/>
      <c r="F358" s="2"/>
      <c r="G358" s="2"/>
      <c r="H358" s="2"/>
      <c r="I358" s="2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spans="1:37" ht="15.75" customHeight="1" x14ac:dyDescent="0.2">
      <c r="A359"/>
      <c r="B359" s="2"/>
      <c r="C359" s="2"/>
      <c r="D359" s="2"/>
      <c r="E359" s="2"/>
      <c r="F359" s="2"/>
      <c r="G359" s="2"/>
      <c r="H359" s="2"/>
      <c r="I359" s="2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spans="1:37" ht="15.75" customHeight="1" x14ac:dyDescent="0.2">
      <c r="A360"/>
      <c r="B360" s="2"/>
      <c r="C360" s="2"/>
      <c r="D360" s="2"/>
      <c r="E360" s="2"/>
      <c r="F360" s="2"/>
      <c r="G360" s="2"/>
      <c r="H360" s="2"/>
      <c r="I360" s="2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spans="1:37" ht="15.75" customHeight="1" x14ac:dyDescent="0.2">
      <c r="A361"/>
      <c r="B361" s="2"/>
      <c r="C361" s="2"/>
      <c r="D361" s="2"/>
      <c r="E361" s="2"/>
      <c r="F361" s="2"/>
      <c r="G361" s="2"/>
      <c r="H361" s="2"/>
      <c r="I361" s="2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spans="1:37" ht="15.75" customHeight="1" x14ac:dyDescent="0.2">
      <c r="A362"/>
      <c r="B362" s="2"/>
      <c r="C362" s="2"/>
      <c r="D362" s="2"/>
      <c r="E362" s="2"/>
      <c r="F362" s="2"/>
      <c r="G362" s="2"/>
      <c r="H362" s="2"/>
      <c r="I362" s="2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spans="1:37" ht="15.75" customHeight="1" x14ac:dyDescent="0.2">
      <c r="A363"/>
      <c r="B363" s="2"/>
      <c r="C363" s="2"/>
      <c r="D363" s="2"/>
      <c r="E363" s="2"/>
      <c r="F363" s="2"/>
      <c r="G363" s="2"/>
      <c r="H363" s="2"/>
      <c r="I363" s="2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spans="1:37" ht="15.75" customHeight="1" x14ac:dyDescent="0.2">
      <c r="A364"/>
      <c r="B364" s="2"/>
      <c r="C364" s="2"/>
      <c r="D364" s="2"/>
      <c r="E364" s="2"/>
      <c r="F364" s="2"/>
      <c r="G364" s="2"/>
      <c r="H364" s="2"/>
      <c r="I364" s="2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spans="1:37" ht="15.75" customHeight="1" x14ac:dyDescent="0.2">
      <c r="A365"/>
      <c r="B365" s="2"/>
      <c r="C365" s="2"/>
      <c r="D365" s="2"/>
      <c r="E365" s="2"/>
      <c r="F365" s="2"/>
      <c r="G365" s="2"/>
      <c r="H365" s="2"/>
      <c r="I365" s="2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spans="1:37" ht="15.75" customHeight="1" x14ac:dyDescent="0.2">
      <c r="A366"/>
      <c r="B366" s="2"/>
      <c r="C366" s="2"/>
      <c r="D366" s="2"/>
      <c r="E366" s="2"/>
      <c r="F366" s="2"/>
      <c r="G366" s="2"/>
      <c r="H366" s="2"/>
      <c r="I366" s="2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spans="1:37" ht="15.75" customHeight="1" x14ac:dyDescent="0.2">
      <c r="A367"/>
      <c r="B367" s="2"/>
      <c r="C367" s="2"/>
      <c r="D367" s="2"/>
      <c r="E367" s="2"/>
      <c r="F367" s="2"/>
      <c r="G367" s="2"/>
      <c r="H367" s="2"/>
      <c r="I367" s="2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spans="1:37" ht="15.75" customHeight="1" x14ac:dyDescent="0.2">
      <c r="A368"/>
      <c r="B368" s="2"/>
      <c r="C368" s="2"/>
      <c r="D368" s="2"/>
      <c r="E368" s="2"/>
      <c r="F368" s="2"/>
      <c r="G368" s="2"/>
      <c r="H368" s="2"/>
      <c r="I368" s="2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spans="1:37" ht="15.75" customHeight="1" x14ac:dyDescent="0.2">
      <c r="A369"/>
      <c r="B369" s="2"/>
      <c r="C369" s="2"/>
      <c r="D369" s="2"/>
      <c r="E369" s="2"/>
      <c r="F369" s="2"/>
      <c r="G369" s="2"/>
      <c r="H369" s="2"/>
      <c r="I369" s="2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spans="1:37" ht="15.75" customHeight="1" x14ac:dyDescent="0.2">
      <c r="A370"/>
      <c r="B370" s="2"/>
      <c r="C370" s="2"/>
      <c r="D370" s="2"/>
      <c r="E370" s="2"/>
      <c r="F370" s="2"/>
      <c r="G370" s="2"/>
      <c r="H370" s="2"/>
      <c r="I370" s="2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spans="1:37" ht="15.75" customHeight="1" x14ac:dyDescent="0.2">
      <c r="A371"/>
      <c r="B371" s="2"/>
      <c r="C371" s="2"/>
      <c r="D371" s="2"/>
      <c r="E371" s="2"/>
      <c r="F371" s="2"/>
      <c r="G371" s="2"/>
      <c r="H371" s="2"/>
      <c r="I371" s="2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spans="1:37" ht="15.75" customHeight="1" x14ac:dyDescent="0.2">
      <c r="A372"/>
      <c r="B372" s="2"/>
      <c r="C372" s="2"/>
      <c r="D372" s="2"/>
      <c r="E372" s="2"/>
      <c r="F372" s="2"/>
      <c r="G372" s="2"/>
      <c r="H372" s="2"/>
      <c r="I372" s="2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spans="1:37" ht="15.75" customHeight="1" x14ac:dyDescent="0.2">
      <c r="A373"/>
      <c r="B373" s="2"/>
      <c r="C373" s="2"/>
      <c r="D373" s="2"/>
      <c r="E373" s="2"/>
      <c r="F373" s="2"/>
      <c r="G373" s="2"/>
      <c r="H373" s="2"/>
      <c r="I373" s="2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spans="1:37" ht="15.75" customHeight="1" x14ac:dyDescent="0.2">
      <c r="A374"/>
      <c r="B374" s="2"/>
      <c r="C374" s="2"/>
      <c r="D374" s="2"/>
      <c r="E374" s="2"/>
      <c r="F374" s="2"/>
      <c r="G374" s="2"/>
      <c r="H374" s="2"/>
      <c r="I374" s="2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spans="1:37" ht="15.75" customHeight="1" x14ac:dyDescent="0.2">
      <c r="A375"/>
      <c r="B375" s="2"/>
      <c r="C375" s="2"/>
      <c r="D375" s="2"/>
      <c r="E375" s="2"/>
      <c r="F375" s="2"/>
      <c r="G375" s="2"/>
      <c r="H375" s="2"/>
      <c r="I375" s="2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spans="1:37" ht="15.75" customHeight="1" x14ac:dyDescent="0.2">
      <c r="A376"/>
      <c r="B376" s="2"/>
      <c r="C376" s="2"/>
      <c r="D376" s="2"/>
      <c r="E376" s="2"/>
      <c r="F376" s="2"/>
      <c r="G376" s="2"/>
      <c r="H376" s="2"/>
      <c r="I376" s="2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spans="1:37" ht="15.75" customHeight="1" x14ac:dyDescent="0.2">
      <c r="A377"/>
      <c r="B377" s="2"/>
      <c r="C377" s="2"/>
      <c r="D377" s="2"/>
      <c r="E377" s="2"/>
      <c r="F377" s="2"/>
      <c r="G377" s="2"/>
      <c r="H377" s="2"/>
      <c r="I377" s="2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spans="1:37" ht="15.75" customHeight="1" x14ac:dyDescent="0.2">
      <c r="A378"/>
      <c r="B378" s="2"/>
      <c r="C378" s="2"/>
      <c r="D378" s="2"/>
      <c r="E378" s="2"/>
      <c r="F378" s="2"/>
      <c r="G378" s="2"/>
      <c r="H378" s="2"/>
      <c r="I378" s="2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spans="1:37" ht="15.75" customHeight="1" x14ac:dyDescent="0.2">
      <c r="A379"/>
      <c r="B379" s="2"/>
      <c r="C379" s="2"/>
      <c r="D379" s="2"/>
      <c r="E379" s="2"/>
      <c r="F379" s="2"/>
      <c r="G379" s="2"/>
      <c r="H379" s="2"/>
      <c r="I379" s="2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spans="1:37" ht="15.75" customHeight="1" x14ac:dyDescent="0.2">
      <c r="A380"/>
      <c r="B380" s="2"/>
      <c r="C380" s="2"/>
      <c r="D380" s="2"/>
      <c r="E380" s="2"/>
      <c r="F380" s="2"/>
      <c r="G380" s="2"/>
      <c r="H380" s="2"/>
      <c r="I380" s="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spans="1:37" ht="15.75" customHeight="1" x14ac:dyDescent="0.2">
      <c r="A381"/>
      <c r="B381" s="2"/>
      <c r="C381" s="2"/>
      <c r="D381" s="2"/>
      <c r="E381" s="2"/>
      <c r="F381" s="2"/>
      <c r="G381" s="2"/>
      <c r="H381" s="2"/>
      <c r="I381" s="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spans="1:37" ht="15.75" customHeight="1" x14ac:dyDescent="0.2">
      <c r="A382"/>
      <c r="B382" s="2"/>
      <c r="C382" s="2"/>
      <c r="D382" s="2"/>
      <c r="E382" s="2"/>
      <c r="F382" s="2"/>
      <c r="G382" s="2"/>
      <c r="H382" s="2"/>
      <c r="I382" s="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spans="1:37" ht="15.75" customHeight="1" x14ac:dyDescent="0.2">
      <c r="A383"/>
      <c r="B383" s="2"/>
      <c r="C383" s="2"/>
      <c r="D383" s="2"/>
      <c r="E383" s="2"/>
      <c r="F383" s="2"/>
      <c r="G383" s="2"/>
      <c r="H383" s="2"/>
      <c r="I383" s="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spans="1:37" ht="15.75" customHeight="1" x14ac:dyDescent="0.2">
      <c r="A384"/>
      <c r="B384" s="2"/>
      <c r="C384" s="2"/>
      <c r="D384" s="2"/>
      <c r="E384" s="2"/>
      <c r="F384" s="2"/>
      <c r="G384" s="2"/>
      <c r="H384" s="2"/>
      <c r="I384" s="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spans="1:37" ht="15.75" customHeight="1" x14ac:dyDescent="0.2">
      <c r="A385"/>
      <c r="B385" s="2"/>
      <c r="C385" s="2"/>
      <c r="D385" s="2"/>
      <c r="E385" s="2"/>
      <c r="F385" s="2"/>
      <c r="G385" s="2"/>
      <c r="H385" s="2"/>
      <c r="I385" s="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spans="1:37" ht="15.75" customHeight="1" x14ac:dyDescent="0.2">
      <c r="A386"/>
      <c r="B386" s="2"/>
      <c r="C386" s="2"/>
      <c r="D386" s="2"/>
      <c r="E386" s="2"/>
      <c r="F386" s="2"/>
      <c r="G386" s="2"/>
      <c r="H386" s="2"/>
      <c r="I386" s="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spans="1:37" ht="15.75" customHeight="1" x14ac:dyDescent="0.2">
      <c r="A387"/>
      <c r="B387" s="2"/>
      <c r="C387" s="2"/>
      <c r="D387" s="2"/>
      <c r="E387" s="2"/>
      <c r="F387" s="2"/>
      <c r="G387" s="2"/>
      <c r="H387" s="2"/>
      <c r="I387" s="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spans="1:37" ht="15.75" customHeight="1" x14ac:dyDescent="0.2">
      <c r="A388"/>
      <c r="B388" s="2"/>
      <c r="C388" s="2"/>
      <c r="D388" s="2"/>
      <c r="E388" s="2"/>
      <c r="F388" s="2"/>
      <c r="G388" s="2"/>
      <c r="H388" s="2"/>
      <c r="I388" s="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spans="1:37" ht="15.75" customHeight="1" x14ac:dyDescent="0.2">
      <c r="A389"/>
      <c r="B389" s="2"/>
      <c r="C389" s="2"/>
      <c r="D389" s="2"/>
      <c r="E389" s="2"/>
      <c r="F389" s="2"/>
      <c r="G389" s="2"/>
      <c r="H389" s="2"/>
      <c r="I389" s="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spans="1:37" ht="15.75" customHeight="1" x14ac:dyDescent="0.2">
      <c r="A390"/>
      <c r="B390" s="2"/>
      <c r="C390" s="2"/>
      <c r="D390" s="2"/>
      <c r="E390" s="2"/>
      <c r="F390" s="2"/>
      <c r="G390" s="2"/>
      <c r="H390" s="2"/>
      <c r="I390" s="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spans="1:37" ht="15.75" customHeight="1" x14ac:dyDescent="0.2">
      <c r="A391"/>
      <c r="B391" s="2"/>
      <c r="C391" s="2"/>
      <c r="D391" s="2"/>
      <c r="E391" s="2"/>
      <c r="F391" s="2"/>
      <c r="G391" s="2"/>
      <c r="H391" s="2"/>
      <c r="I391" s="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spans="1:37" ht="15.75" customHeight="1" x14ac:dyDescent="0.2">
      <c r="A392"/>
      <c r="B392" s="2"/>
      <c r="C392" s="2"/>
      <c r="D392" s="2"/>
      <c r="E392" s="2"/>
      <c r="F392" s="2"/>
      <c r="G392" s="2"/>
      <c r="H392" s="2"/>
      <c r="I392" s="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 ht="15.75" customHeight="1" x14ac:dyDescent="0.2">
      <c r="A393"/>
      <c r="B393" s="2"/>
      <c r="C393" s="2"/>
      <c r="D393" s="2"/>
      <c r="E393" s="2"/>
      <c r="F393" s="2"/>
      <c r="G393" s="2"/>
      <c r="H393" s="2"/>
      <c r="I393" s="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spans="1:37" ht="15.75" customHeight="1" x14ac:dyDescent="0.2">
      <c r="A394"/>
      <c r="B394" s="2"/>
      <c r="C394" s="2"/>
      <c r="D394" s="2"/>
      <c r="E394" s="2"/>
      <c r="F394" s="2"/>
      <c r="G394" s="2"/>
      <c r="H394" s="2"/>
      <c r="I394" s="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spans="1:37" ht="15.75" customHeight="1" x14ac:dyDescent="0.2">
      <c r="A395"/>
      <c r="B395" s="2"/>
      <c r="C395" s="2"/>
      <c r="D395" s="2"/>
      <c r="E395" s="2"/>
      <c r="F395" s="2"/>
      <c r="G395" s="2"/>
      <c r="H395" s="2"/>
      <c r="I395" s="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spans="1:37" ht="15.75" customHeight="1" x14ac:dyDescent="0.2">
      <c r="A396"/>
      <c r="B396" s="2"/>
      <c r="C396" s="2"/>
      <c r="D396" s="2"/>
      <c r="E396" s="2"/>
      <c r="F396" s="2"/>
      <c r="G396" s="2"/>
      <c r="H396" s="2"/>
      <c r="I396" s="2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spans="1:37" ht="15.75" customHeight="1" x14ac:dyDescent="0.2">
      <c r="A397"/>
      <c r="B397" s="2"/>
      <c r="C397" s="2"/>
      <c r="D397" s="2"/>
      <c r="E397" s="2"/>
      <c r="F397" s="2"/>
      <c r="G397" s="2"/>
      <c r="H397" s="2"/>
      <c r="I397" s="2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spans="1:37" ht="15.75" customHeight="1" x14ac:dyDescent="0.2">
      <c r="A398"/>
      <c r="B398" s="2"/>
      <c r="C398" s="2"/>
      <c r="D398" s="2"/>
      <c r="E398" s="2"/>
      <c r="F398" s="2"/>
      <c r="G398" s="2"/>
      <c r="H398" s="2"/>
      <c r="I398" s="2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spans="1:37" ht="15.75" customHeight="1" x14ac:dyDescent="0.2">
      <c r="A399"/>
      <c r="B399" s="2"/>
      <c r="C399" s="2"/>
      <c r="D399" s="2"/>
      <c r="E399" s="2"/>
      <c r="F399" s="2"/>
      <c r="G399" s="2"/>
      <c r="H399" s="2"/>
      <c r="I399" s="2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spans="1:37" ht="15.75" customHeight="1" x14ac:dyDescent="0.2">
      <c r="A400"/>
      <c r="B400" s="2"/>
      <c r="C400" s="2"/>
      <c r="D400" s="2"/>
      <c r="E400" s="2"/>
      <c r="F400" s="2"/>
      <c r="G400" s="2"/>
      <c r="H400" s="2"/>
      <c r="I400" s="2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spans="1:37" ht="15.75" customHeight="1" x14ac:dyDescent="0.2">
      <c r="A401"/>
      <c r="B401" s="2"/>
      <c r="C401" s="2"/>
      <c r="D401" s="2"/>
      <c r="E401" s="2"/>
      <c r="F401" s="2"/>
      <c r="G401" s="2"/>
      <c r="H401" s="2"/>
      <c r="I401" s="2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spans="1:37" ht="15.75" customHeight="1" x14ac:dyDescent="0.2">
      <c r="A402"/>
      <c r="B402" s="2"/>
      <c r="C402" s="2"/>
      <c r="D402" s="2"/>
      <c r="E402" s="2"/>
      <c r="F402" s="2"/>
      <c r="G402" s="2"/>
      <c r="H402" s="2"/>
      <c r="I402" s="2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spans="1:37" ht="15.75" customHeight="1" x14ac:dyDescent="0.2">
      <c r="A403"/>
      <c r="B403" s="2"/>
      <c r="C403" s="2"/>
      <c r="D403" s="2"/>
      <c r="E403" s="2"/>
      <c r="F403" s="2"/>
      <c r="G403" s="2"/>
      <c r="H403" s="2"/>
      <c r="I403" s="2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spans="1:37" ht="15.75" customHeight="1" x14ac:dyDescent="0.2">
      <c r="A404"/>
      <c r="B404" s="2"/>
      <c r="C404" s="2"/>
      <c r="D404" s="2"/>
      <c r="E404" s="2"/>
      <c r="F404" s="2"/>
      <c r="G404" s="2"/>
      <c r="H404" s="2"/>
      <c r="I404" s="2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spans="1:37" ht="15.75" customHeight="1" x14ac:dyDescent="0.2">
      <c r="A405"/>
      <c r="B405" s="2"/>
      <c r="C405" s="2"/>
      <c r="D405" s="2"/>
      <c r="E405" s="2"/>
      <c r="F405" s="2"/>
      <c r="G405" s="2"/>
      <c r="H405" s="2"/>
      <c r="I405" s="2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spans="1:37" ht="15.75" customHeight="1" x14ac:dyDescent="0.2">
      <c r="A406"/>
      <c r="B406" s="2"/>
      <c r="C406" s="2"/>
      <c r="D406" s="2"/>
      <c r="E406" s="2"/>
      <c r="F406" s="2"/>
      <c r="G406" s="2"/>
      <c r="H406" s="2"/>
      <c r="I406" s="2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spans="1:37" ht="15.75" customHeight="1" x14ac:dyDescent="0.2">
      <c r="A407"/>
      <c r="B407" s="2"/>
      <c r="C407" s="2"/>
      <c r="D407" s="2"/>
      <c r="E407" s="2"/>
      <c r="F407" s="2"/>
      <c r="G407" s="2"/>
      <c r="H407" s="2"/>
      <c r="I407" s="2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spans="1:37" ht="15.75" customHeight="1" x14ac:dyDescent="0.2">
      <c r="A408"/>
      <c r="B408" s="2"/>
      <c r="C408" s="2"/>
      <c r="D408" s="2"/>
      <c r="E408" s="2"/>
      <c r="F408" s="2"/>
      <c r="G408" s="2"/>
      <c r="H408" s="2"/>
      <c r="I408" s="2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spans="1:37" ht="15.75" customHeight="1" x14ac:dyDescent="0.2">
      <c r="A409"/>
      <c r="B409" s="2"/>
      <c r="C409" s="2"/>
      <c r="D409" s="2"/>
      <c r="E409" s="2"/>
      <c r="F409" s="2"/>
      <c r="G409" s="2"/>
      <c r="H409" s="2"/>
      <c r="I409" s="2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spans="1:37" ht="15.75" customHeight="1" x14ac:dyDescent="0.2">
      <c r="A410"/>
      <c r="B410" s="2"/>
      <c r="C410" s="2"/>
      <c r="D410" s="2"/>
      <c r="E410" s="2"/>
      <c r="F410" s="2"/>
      <c r="G410" s="2"/>
      <c r="H410" s="2"/>
      <c r="I410" s="2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spans="1:37" ht="15.75" customHeight="1" x14ac:dyDescent="0.2">
      <c r="A411"/>
      <c r="B411" s="2"/>
      <c r="C411" s="2"/>
      <c r="D411" s="2"/>
      <c r="E411" s="2"/>
      <c r="F411" s="2"/>
      <c r="G411" s="2"/>
      <c r="H411" s="2"/>
      <c r="I411" s="2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spans="1:37" ht="15.75" customHeight="1" x14ac:dyDescent="0.2">
      <c r="A412"/>
      <c r="B412" s="2"/>
      <c r="C412" s="2"/>
      <c r="D412" s="2"/>
      <c r="E412" s="2"/>
      <c r="F412" s="2"/>
      <c r="G412" s="2"/>
      <c r="H412" s="2"/>
      <c r="I412" s="2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spans="1:37" ht="15.75" customHeight="1" x14ac:dyDescent="0.2">
      <c r="A413"/>
      <c r="B413" s="2"/>
      <c r="C413" s="2"/>
      <c r="D413" s="2"/>
      <c r="E413" s="2"/>
      <c r="F413" s="2"/>
      <c r="G413" s="2"/>
      <c r="H413" s="2"/>
      <c r="I413" s="2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spans="1:37" ht="15.75" customHeight="1" x14ac:dyDescent="0.2">
      <c r="A414"/>
      <c r="B414" s="2"/>
      <c r="C414" s="2"/>
      <c r="D414" s="2"/>
      <c r="E414" s="2"/>
      <c r="F414" s="2"/>
      <c r="G414" s="2"/>
      <c r="H414" s="2"/>
      <c r="I414" s="2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spans="1:37" ht="15.75" customHeight="1" x14ac:dyDescent="0.2">
      <c r="A415"/>
      <c r="B415" s="2"/>
      <c r="C415" s="2"/>
      <c r="D415" s="2"/>
      <c r="E415" s="2"/>
      <c r="F415" s="2"/>
      <c r="G415" s="2"/>
      <c r="H415" s="2"/>
      <c r="I415" s="2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spans="1:37" ht="15.75" customHeight="1" x14ac:dyDescent="0.2">
      <c r="A416"/>
      <c r="B416" s="2"/>
      <c r="C416" s="2"/>
      <c r="D416" s="2"/>
      <c r="E416" s="2"/>
      <c r="F416" s="2"/>
      <c r="G416" s="2"/>
      <c r="H416" s="2"/>
      <c r="I416" s="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spans="1:37" ht="15.75" customHeight="1" x14ac:dyDescent="0.2">
      <c r="A417"/>
      <c r="B417" s="2"/>
      <c r="C417" s="2"/>
      <c r="D417" s="2"/>
      <c r="E417" s="2"/>
      <c r="F417" s="2"/>
      <c r="G417" s="2"/>
      <c r="H417" s="2"/>
      <c r="I417" s="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spans="1:37" ht="15.75" customHeight="1" x14ac:dyDescent="0.2">
      <c r="A418"/>
      <c r="B418" s="2"/>
      <c r="C418" s="2"/>
      <c r="D418" s="2"/>
      <c r="E418" s="2"/>
      <c r="F418" s="2"/>
      <c r="G418" s="2"/>
      <c r="H418" s="2"/>
      <c r="I418" s="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spans="1:37" ht="15.75" customHeight="1" x14ac:dyDescent="0.2">
      <c r="A419"/>
      <c r="B419" s="2"/>
      <c r="C419" s="2"/>
      <c r="D419" s="2"/>
      <c r="E419" s="2"/>
      <c r="F419" s="2"/>
      <c r="G419" s="2"/>
      <c r="H419" s="2"/>
      <c r="I419" s="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spans="1:37" ht="15.75" customHeight="1" x14ac:dyDescent="0.2">
      <c r="A420"/>
      <c r="B420" s="2"/>
      <c r="C420" s="2"/>
      <c r="D420" s="2"/>
      <c r="E420" s="2"/>
      <c r="F420" s="2"/>
      <c r="G420" s="2"/>
      <c r="H420" s="2"/>
      <c r="I420" s="2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spans="1:37" ht="15.75" customHeight="1" x14ac:dyDescent="0.2">
      <c r="A421"/>
      <c r="B421" s="2"/>
      <c r="C421" s="2"/>
      <c r="D421" s="2"/>
      <c r="E421" s="2"/>
      <c r="F421" s="2"/>
      <c r="G421" s="2"/>
      <c r="H421" s="2"/>
      <c r="I421" s="2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spans="1:37" ht="15.75" customHeight="1" x14ac:dyDescent="0.2">
      <c r="A422"/>
      <c r="B422" s="2"/>
      <c r="C422" s="2"/>
      <c r="D422" s="2"/>
      <c r="E422" s="2"/>
      <c r="F422" s="2"/>
      <c r="G422" s="2"/>
      <c r="H422" s="2"/>
      <c r="I422" s="2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spans="1:37" ht="15.75" customHeight="1" x14ac:dyDescent="0.2">
      <c r="A423"/>
      <c r="B423" s="2"/>
      <c r="C423" s="2"/>
      <c r="D423" s="2"/>
      <c r="E423" s="2"/>
      <c r="F423" s="2"/>
      <c r="G423" s="2"/>
      <c r="H423" s="2"/>
      <c r="I423" s="2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spans="1:37" ht="15.75" customHeight="1" x14ac:dyDescent="0.2">
      <c r="A424"/>
      <c r="B424" s="2"/>
      <c r="C424" s="2"/>
      <c r="D424" s="2"/>
      <c r="E424" s="2"/>
      <c r="F424" s="2"/>
      <c r="G424" s="2"/>
      <c r="H424" s="2"/>
      <c r="I424" s="2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spans="1:37" ht="15.75" customHeight="1" x14ac:dyDescent="0.2">
      <c r="A425"/>
      <c r="B425" s="2"/>
      <c r="C425" s="2"/>
      <c r="D425" s="2"/>
      <c r="E425" s="2"/>
      <c r="F425" s="2"/>
      <c r="G425" s="2"/>
      <c r="H425" s="2"/>
      <c r="I425" s="2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spans="1:37" ht="15.75" customHeight="1" x14ac:dyDescent="0.2">
      <c r="A426"/>
      <c r="B426" s="2"/>
      <c r="C426" s="2"/>
      <c r="D426" s="2"/>
      <c r="E426" s="2"/>
      <c r="F426" s="2"/>
      <c r="G426" s="2"/>
      <c r="H426" s="2"/>
      <c r="I426" s="2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spans="1:37" ht="15.75" customHeight="1" x14ac:dyDescent="0.2">
      <c r="A427"/>
      <c r="B427" s="2"/>
      <c r="C427" s="2"/>
      <c r="D427" s="2"/>
      <c r="E427" s="2"/>
      <c r="F427" s="2"/>
      <c r="G427" s="2"/>
      <c r="H427" s="2"/>
      <c r="I427" s="2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spans="1:37" ht="15.75" customHeight="1" x14ac:dyDescent="0.2">
      <c r="A428"/>
      <c r="B428" s="2"/>
      <c r="C428" s="2"/>
      <c r="D428" s="2"/>
      <c r="E428" s="2"/>
      <c r="F428" s="2"/>
      <c r="G428" s="2"/>
      <c r="H428" s="2"/>
      <c r="I428" s="2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spans="1:37" ht="15.75" customHeight="1" x14ac:dyDescent="0.2">
      <c r="A429"/>
      <c r="B429" s="2"/>
      <c r="C429" s="2"/>
      <c r="D429" s="2"/>
      <c r="E429" s="2"/>
      <c r="F429" s="2"/>
      <c r="G429" s="2"/>
      <c r="H429" s="2"/>
      <c r="I429" s="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spans="1:37" ht="15.75" customHeight="1" x14ac:dyDescent="0.2">
      <c r="A430"/>
      <c r="B430" s="2"/>
      <c r="C430" s="2"/>
      <c r="D430" s="2"/>
      <c r="E430" s="2"/>
      <c r="F430" s="2"/>
      <c r="G430" s="2"/>
      <c r="H430" s="2"/>
      <c r="I430" s="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spans="1:37" ht="15.75" customHeight="1" x14ac:dyDescent="0.2">
      <c r="A431"/>
      <c r="B431" s="2"/>
      <c r="C431" s="2"/>
      <c r="D431" s="2"/>
      <c r="E431" s="2"/>
      <c r="F431" s="2"/>
      <c r="G431" s="2"/>
      <c r="H431" s="2"/>
      <c r="I431" s="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spans="1:37" ht="15.75" customHeight="1" x14ac:dyDescent="0.2">
      <c r="A432"/>
      <c r="B432" s="2"/>
      <c r="C432" s="2"/>
      <c r="D432" s="2"/>
      <c r="E432" s="2"/>
      <c r="F432" s="2"/>
      <c r="G432" s="2"/>
      <c r="H432" s="2"/>
      <c r="I432" s="2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spans="1:37" ht="15.75" customHeight="1" x14ac:dyDescent="0.2">
      <c r="A433"/>
      <c r="B433" s="2"/>
      <c r="C433" s="2"/>
      <c r="D433" s="2"/>
      <c r="E433" s="2"/>
      <c r="F433" s="2"/>
      <c r="G433" s="2"/>
      <c r="H433" s="2"/>
      <c r="I433" s="2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spans="1:37" ht="15.75" customHeight="1" x14ac:dyDescent="0.2">
      <c r="A434"/>
      <c r="B434" s="2"/>
      <c r="C434" s="2"/>
      <c r="D434" s="2"/>
      <c r="E434" s="2"/>
      <c r="F434" s="2"/>
      <c r="G434" s="2"/>
      <c r="H434" s="2"/>
      <c r="I434" s="2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spans="1:37" ht="15.75" customHeight="1" x14ac:dyDescent="0.2">
      <c r="A435"/>
      <c r="B435" s="2"/>
      <c r="C435" s="2"/>
      <c r="D435" s="2"/>
      <c r="E435" s="2"/>
      <c r="F435" s="2"/>
      <c r="G435" s="2"/>
      <c r="H435" s="2"/>
      <c r="I435" s="2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spans="1:37" ht="15.75" customHeight="1" x14ac:dyDescent="0.2">
      <c r="A436"/>
      <c r="B436" s="2"/>
      <c r="C436" s="2"/>
      <c r="D436" s="2"/>
      <c r="E436" s="2"/>
      <c r="F436" s="2"/>
      <c r="G436" s="2"/>
      <c r="H436" s="2"/>
      <c r="I436" s="2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spans="1:37" ht="15.75" customHeight="1" x14ac:dyDescent="0.2">
      <c r="A437"/>
      <c r="B437" s="2"/>
      <c r="C437" s="2"/>
      <c r="D437" s="2"/>
      <c r="E437" s="2"/>
      <c r="F437" s="2"/>
      <c r="G437" s="2"/>
      <c r="H437" s="2"/>
      <c r="I437" s="2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spans="1:37" ht="15.75" customHeight="1" x14ac:dyDescent="0.2">
      <c r="A438"/>
      <c r="B438" s="2"/>
      <c r="C438" s="2"/>
      <c r="D438" s="2"/>
      <c r="E438" s="2"/>
      <c r="F438" s="2"/>
      <c r="G438" s="2"/>
      <c r="H438" s="2"/>
      <c r="I438" s="2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spans="1:37" ht="15.75" customHeight="1" x14ac:dyDescent="0.2">
      <c r="A439"/>
      <c r="B439" s="2"/>
      <c r="C439" s="2"/>
      <c r="D439" s="2"/>
      <c r="E439" s="2"/>
      <c r="F439" s="2"/>
      <c r="G439" s="2"/>
      <c r="H439" s="2"/>
      <c r="I439" s="2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spans="1:37" ht="15.75" customHeight="1" x14ac:dyDescent="0.2">
      <c r="A440"/>
      <c r="B440" s="2"/>
      <c r="C440" s="2"/>
      <c r="D440" s="2"/>
      <c r="E440" s="2"/>
      <c r="F440" s="2"/>
      <c r="G440" s="2"/>
      <c r="H440" s="2"/>
      <c r="I440" s="2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spans="1:37" ht="15.75" customHeight="1" x14ac:dyDescent="0.2">
      <c r="A441"/>
      <c r="B441" s="2"/>
      <c r="C441" s="2"/>
      <c r="D441" s="2"/>
      <c r="E441" s="2"/>
      <c r="F441" s="2"/>
      <c r="G441" s="2"/>
      <c r="H441" s="2"/>
      <c r="I441" s="2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spans="1:37" ht="15.75" customHeight="1" x14ac:dyDescent="0.2">
      <c r="A442"/>
      <c r="B442" s="2"/>
      <c r="C442" s="2"/>
      <c r="D442" s="2"/>
      <c r="E442" s="2"/>
      <c r="F442" s="2"/>
      <c r="G442" s="2"/>
      <c r="H442" s="2"/>
      <c r="I442" s="2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spans="1:37" ht="15.75" customHeight="1" x14ac:dyDescent="0.2">
      <c r="A443"/>
      <c r="B443" s="2"/>
      <c r="C443" s="2"/>
      <c r="D443" s="2"/>
      <c r="E443" s="2"/>
      <c r="F443" s="2"/>
      <c r="G443" s="2"/>
      <c r="H443" s="2"/>
      <c r="I443" s="2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spans="1:37" ht="15.75" customHeight="1" x14ac:dyDescent="0.2">
      <c r="A444"/>
      <c r="B444" s="2"/>
      <c r="C444" s="2"/>
      <c r="D444" s="2"/>
      <c r="E444" s="2"/>
      <c r="F444" s="2"/>
      <c r="G444" s="2"/>
      <c r="H444" s="2"/>
      <c r="I444" s="2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spans="1:37" ht="15.75" customHeight="1" x14ac:dyDescent="0.2">
      <c r="A445"/>
      <c r="B445" s="2"/>
      <c r="C445" s="2"/>
      <c r="D445" s="2"/>
      <c r="E445" s="2"/>
      <c r="F445" s="2"/>
      <c r="G445" s="2"/>
      <c r="H445" s="2"/>
      <c r="I445" s="2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spans="1:37" ht="15.75" customHeight="1" x14ac:dyDescent="0.2">
      <c r="A446"/>
      <c r="B446" s="2"/>
      <c r="C446" s="2"/>
      <c r="D446" s="2"/>
      <c r="E446" s="2"/>
      <c r="F446" s="2"/>
      <c r="G446" s="2"/>
      <c r="H446" s="2"/>
      <c r="I446" s="2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spans="1:37" ht="15.75" customHeight="1" x14ac:dyDescent="0.2">
      <c r="A447"/>
      <c r="B447" s="2"/>
      <c r="C447" s="2"/>
      <c r="D447" s="2"/>
      <c r="E447" s="2"/>
      <c r="F447" s="2"/>
      <c r="G447" s="2"/>
      <c r="H447" s="2"/>
      <c r="I447" s="2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spans="1:37" ht="15.75" customHeight="1" x14ac:dyDescent="0.2">
      <c r="A448"/>
      <c r="B448" s="2"/>
      <c r="C448" s="2"/>
      <c r="D448" s="2"/>
      <c r="E448" s="2"/>
      <c r="F448" s="2"/>
      <c r="G448" s="2"/>
      <c r="H448" s="2"/>
      <c r="I448" s="2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spans="1:37" ht="15.75" customHeight="1" x14ac:dyDescent="0.2">
      <c r="A449"/>
      <c r="B449" s="2"/>
      <c r="C449" s="2"/>
      <c r="D449" s="2"/>
      <c r="E449" s="2"/>
      <c r="F449" s="2"/>
      <c r="G449" s="2"/>
      <c r="H449" s="2"/>
      <c r="I449" s="2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spans="1:37" ht="15.75" customHeight="1" x14ac:dyDescent="0.2">
      <c r="A450"/>
      <c r="B450" s="2"/>
      <c r="C450" s="2"/>
      <c r="D450" s="2"/>
      <c r="E450" s="2"/>
      <c r="F450" s="2"/>
      <c r="G450" s="2"/>
      <c r="H450" s="2"/>
      <c r="I450" s="2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spans="1:37" ht="15.75" customHeight="1" x14ac:dyDescent="0.2">
      <c r="A451"/>
      <c r="B451" s="2"/>
      <c r="C451" s="2"/>
      <c r="D451" s="2"/>
      <c r="E451" s="2"/>
      <c r="F451" s="2"/>
      <c r="G451" s="2"/>
      <c r="H451" s="2"/>
      <c r="I451" s="2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spans="1:37" ht="15.75" customHeight="1" x14ac:dyDescent="0.2">
      <c r="A452"/>
      <c r="B452" s="2"/>
      <c r="C452" s="2"/>
      <c r="D452" s="2"/>
      <c r="E452" s="2"/>
      <c r="F452" s="2"/>
      <c r="G452" s="2"/>
      <c r="H452" s="2"/>
      <c r="I452" s="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spans="1:37" ht="15.75" customHeight="1" x14ac:dyDescent="0.2">
      <c r="A453"/>
      <c r="B453" s="2"/>
      <c r="C453" s="2"/>
      <c r="D453" s="2"/>
      <c r="E453" s="2"/>
      <c r="F453" s="2"/>
      <c r="G453" s="2"/>
      <c r="H453" s="2"/>
      <c r="I453" s="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spans="1:37" ht="15.75" customHeight="1" x14ac:dyDescent="0.2">
      <c r="A454"/>
      <c r="B454" s="2"/>
      <c r="C454" s="2"/>
      <c r="D454" s="2"/>
      <c r="E454" s="2"/>
      <c r="F454" s="2"/>
      <c r="G454" s="2"/>
      <c r="H454" s="2"/>
      <c r="I454" s="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spans="1:37" ht="15.75" customHeight="1" x14ac:dyDescent="0.2">
      <c r="A455"/>
      <c r="B455" s="2"/>
      <c r="C455" s="2"/>
      <c r="D455" s="2"/>
      <c r="E455" s="2"/>
      <c r="F455" s="2"/>
      <c r="G455" s="2"/>
      <c r="H455" s="2"/>
      <c r="I455" s="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spans="1:37" ht="15.75" customHeight="1" x14ac:dyDescent="0.2">
      <c r="A456"/>
      <c r="B456" s="2"/>
      <c r="C456" s="2"/>
      <c r="D456" s="2"/>
      <c r="E456" s="2"/>
      <c r="F456" s="2"/>
      <c r="G456" s="2"/>
      <c r="H456" s="2"/>
      <c r="I456" s="2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spans="1:37" ht="15.75" customHeight="1" x14ac:dyDescent="0.2">
      <c r="A457"/>
      <c r="B457" s="2"/>
      <c r="C457" s="2"/>
      <c r="D457" s="2"/>
      <c r="E457" s="2"/>
      <c r="F457" s="2"/>
      <c r="G457" s="2"/>
      <c r="H457" s="2"/>
      <c r="I457" s="2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spans="1:37" ht="15.75" customHeight="1" x14ac:dyDescent="0.2">
      <c r="A458"/>
      <c r="B458" s="2"/>
      <c r="C458" s="2"/>
      <c r="D458" s="2"/>
      <c r="E458" s="2"/>
      <c r="F458" s="2"/>
      <c r="G458" s="2"/>
      <c r="H458" s="2"/>
      <c r="I458" s="2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spans="1:37" ht="15.75" customHeight="1" x14ac:dyDescent="0.2">
      <c r="A459"/>
      <c r="B459" s="2"/>
      <c r="C459" s="2"/>
      <c r="D459" s="2"/>
      <c r="E459" s="2"/>
      <c r="F459" s="2"/>
      <c r="G459" s="2"/>
      <c r="H459" s="2"/>
      <c r="I459" s="2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spans="1:37" ht="15.75" customHeight="1" x14ac:dyDescent="0.2">
      <c r="A460"/>
      <c r="B460" s="2"/>
      <c r="C460" s="2"/>
      <c r="D460" s="2"/>
      <c r="E460" s="2"/>
      <c r="F460" s="2"/>
      <c r="G460" s="2"/>
      <c r="H460" s="2"/>
      <c r="I460" s="2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spans="1:37" ht="15.75" customHeight="1" x14ac:dyDescent="0.2">
      <c r="A461"/>
      <c r="B461" s="2"/>
      <c r="C461" s="2"/>
      <c r="D461" s="2"/>
      <c r="E461" s="2"/>
      <c r="F461" s="2"/>
      <c r="G461" s="2"/>
      <c r="H461" s="2"/>
      <c r="I461" s="2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spans="1:37" ht="15.75" customHeight="1" x14ac:dyDescent="0.2">
      <c r="A462"/>
      <c r="B462" s="2"/>
      <c r="C462" s="2"/>
      <c r="D462" s="2"/>
      <c r="E462" s="2"/>
      <c r="F462" s="2"/>
      <c r="G462" s="2"/>
      <c r="H462" s="2"/>
      <c r="I462" s="2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spans="1:37" ht="15.75" customHeight="1" x14ac:dyDescent="0.2">
      <c r="A463"/>
      <c r="B463" s="2"/>
      <c r="C463" s="2"/>
      <c r="D463" s="2"/>
      <c r="E463" s="2"/>
      <c r="F463" s="2"/>
      <c r="G463" s="2"/>
      <c r="H463" s="2"/>
      <c r="I463" s="2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spans="1:37" ht="15.75" customHeight="1" x14ac:dyDescent="0.2">
      <c r="A464"/>
      <c r="B464" s="2"/>
      <c r="C464" s="2"/>
      <c r="D464" s="2"/>
      <c r="E464" s="2"/>
      <c r="F464" s="2"/>
      <c r="G464" s="2"/>
      <c r="H464" s="2"/>
      <c r="I464" s="2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spans="1:37" ht="15.75" customHeight="1" x14ac:dyDescent="0.2">
      <c r="A465"/>
      <c r="B465" s="2"/>
      <c r="C465" s="2"/>
      <c r="D465" s="2"/>
      <c r="E465" s="2"/>
      <c r="F465" s="2"/>
      <c r="G465" s="2"/>
      <c r="H465" s="2"/>
      <c r="I465" s="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spans="1:37" ht="15.75" customHeight="1" x14ac:dyDescent="0.2">
      <c r="A466"/>
      <c r="B466" s="2"/>
      <c r="C466" s="2"/>
      <c r="D466" s="2"/>
      <c r="E466" s="2"/>
      <c r="F466" s="2"/>
      <c r="G466" s="2"/>
      <c r="H466" s="2"/>
      <c r="I466" s="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spans="1:37" ht="15.75" customHeight="1" x14ac:dyDescent="0.2">
      <c r="A467"/>
      <c r="B467" s="2"/>
      <c r="C467" s="2"/>
      <c r="D467" s="2"/>
      <c r="E467" s="2"/>
      <c r="F467" s="2"/>
      <c r="G467" s="2"/>
      <c r="H467" s="2"/>
      <c r="I467" s="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spans="1:37" ht="15.75" customHeight="1" x14ac:dyDescent="0.2">
      <c r="A468"/>
      <c r="B468" s="2"/>
      <c r="C468" s="2"/>
      <c r="D468" s="2"/>
      <c r="E468" s="2"/>
      <c r="F468" s="2"/>
      <c r="G468" s="2"/>
      <c r="H468" s="2"/>
      <c r="I468" s="2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spans="1:37" ht="15.75" customHeight="1" x14ac:dyDescent="0.2">
      <c r="A469"/>
      <c r="B469" s="2"/>
      <c r="C469" s="2"/>
      <c r="D469" s="2"/>
      <c r="E469" s="2"/>
      <c r="F469" s="2"/>
      <c r="G469" s="2"/>
      <c r="H469" s="2"/>
      <c r="I469" s="2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spans="1:37" ht="15.75" customHeight="1" x14ac:dyDescent="0.2">
      <c r="A470"/>
      <c r="B470" s="2"/>
      <c r="C470" s="2"/>
      <c r="D470" s="2"/>
      <c r="E470" s="2"/>
      <c r="F470" s="2"/>
      <c r="G470" s="2"/>
      <c r="H470" s="2"/>
      <c r="I470" s="2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spans="1:37" ht="15.75" customHeight="1" x14ac:dyDescent="0.2">
      <c r="A471"/>
      <c r="B471" s="2"/>
      <c r="C471" s="2"/>
      <c r="D471" s="2"/>
      <c r="E471" s="2"/>
      <c r="F471" s="2"/>
      <c r="G471" s="2"/>
      <c r="H471" s="2"/>
      <c r="I471" s="2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spans="1:37" ht="15.75" customHeight="1" x14ac:dyDescent="0.2">
      <c r="A472"/>
      <c r="B472" s="2"/>
      <c r="C472" s="2"/>
      <c r="D472" s="2"/>
      <c r="E472" s="2"/>
      <c r="F472" s="2"/>
      <c r="G472" s="2"/>
      <c r="H472" s="2"/>
      <c r="I472" s="2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spans="1:37" ht="15.75" customHeight="1" x14ac:dyDescent="0.2">
      <c r="A473"/>
      <c r="B473" s="2"/>
      <c r="C473" s="2"/>
      <c r="D473" s="2"/>
      <c r="E473" s="2"/>
      <c r="F473" s="2"/>
      <c r="G473" s="2"/>
      <c r="H473" s="2"/>
      <c r="I473" s="2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spans="1:37" ht="15.75" customHeight="1" x14ac:dyDescent="0.2">
      <c r="A474"/>
      <c r="B474" s="2"/>
      <c r="C474" s="2"/>
      <c r="D474" s="2"/>
      <c r="E474" s="2"/>
      <c r="F474" s="2"/>
      <c r="G474" s="2"/>
      <c r="H474" s="2"/>
      <c r="I474" s="2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spans="1:37" ht="15.75" customHeight="1" x14ac:dyDescent="0.2">
      <c r="A475"/>
      <c r="B475" s="2"/>
      <c r="C475" s="2"/>
      <c r="D475" s="2"/>
      <c r="E475" s="2"/>
      <c r="F475" s="2"/>
      <c r="G475" s="2"/>
      <c r="H475" s="2"/>
      <c r="I475" s="2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spans="1:37" ht="15.75" customHeight="1" x14ac:dyDescent="0.2">
      <c r="A476"/>
      <c r="B476" s="2"/>
      <c r="C476" s="2"/>
      <c r="D476" s="2"/>
      <c r="E476" s="2"/>
      <c r="F476" s="2"/>
      <c r="G476" s="2"/>
      <c r="H476" s="2"/>
      <c r="I476" s="2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spans="1:37" ht="15.75" customHeight="1" x14ac:dyDescent="0.2">
      <c r="A477"/>
      <c r="B477" s="2"/>
      <c r="C477" s="2"/>
      <c r="D477" s="2"/>
      <c r="E477" s="2"/>
      <c r="F477" s="2"/>
      <c r="G477" s="2"/>
      <c r="H477" s="2"/>
      <c r="I477" s="2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spans="1:37" ht="15.75" customHeight="1" x14ac:dyDescent="0.2">
      <c r="A478"/>
      <c r="B478" s="2"/>
      <c r="C478" s="2"/>
      <c r="D478" s="2"/>
      <c r="E478" s="2"/>
      <c r="F478" s="2"/>
      <c r="G478" s="2"/>
      <c r="H478" s="2"/>
      <c r="I478" s="2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spans="1:37" ht="15.75" customHeight="1" x14ac:dyDescent="0.2">
      <c r="A479"/>
      <c r="B479" s="2"/>
      <c r="C479" s="2"/>
      <c r="D479" s="2"/>
      <c r="E479" s="2"/>
      <c r="F479" s="2"/>
      <c r="G479" s="2"/>
      <c r="H479" s="2"/>
      <c r="I479" s="2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spans="1:37" ht="15.75" customHeight="1" x14ac:dyDescent="0.2">
      <c r="A480"/>
      <c r="B480" s="2"/>
      <c r="C480" s="2"/>
      <c r="D480" s="2"/>
      <c r="E480" s="2"/>
      <c r="F480" s="2"/>
      <c r="G480" s="2"/>
      <c r="H480" s="2"/>
      <c r="I480" s="2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spans="1:37" ht="15.75" customHeight="1" x14ac:dyDescent="0.2">
      <c r="A481"/>
      <c r="B481" s="2"/>
      <c r="C481" s="2"/>
      <c r="D481" s="2"/>
      <c r="E481" s="2"/>
      <c r="F481" s="2"/>
      <c r="G481" s="2"/>
      <c r="H481" s="2"/>
      <c r="I481" s="2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spans="1:37" ht="15.75" customHeight="1" x14ac:dyDescent="0.2">
      <c r="A482"/>
      <c r="B482" s="2"/>
      <c r="C482" s="2"/>
      <c r="D482" s="2"/>
      <c r="E482" s="2"/>
      <c r="F482" s="2"/>
      <c r="G482" s="2"/>
      <c r="H482" s="2"/>
      <c r="I482" s="2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spans="1:37" ht="15.75" customHeight="1" x14ac:dyDescent="0.2">
      <c r="A483"/>
      <c r="B483" s="2"/>
      <c r="C483" s="2"/>
      <c r="D483" s="2"/>
      <c r="E483" s="2"/>
      <c r="F483" s="2"/>
      <c r="G483" s="2"/>
      <c r="H483" s="2"/>
      <c r="I483" s="2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spans="1:37" ht="15.75" customHeight="1" x14ac:dyDescent="0.2">
      <c r="A484"/>
      <c r="B484" s="2"/>
      <c r="C484" s="2"/>
      <c r="D484" s="2"/>
      <c r="E484" s="2"/>
      <c r="F484" s="2"/>
      <c r="G484" s="2"/>
      <c r="H484" s="2"/>
      <c r="I484" s="2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spans="1:37" ht="15.75" customHeight="1" x14ac:dyDescent="0.2">
      <c r="A485"/>
      <c r="B485" s="2"/>
      <c r="C485" s="2"/>
      <c r="D485" s="2"/>
      <c r="E485" s="2"/>
      <c r="F485" s="2"/>
      <c r="G485" s="2"/>
      <c r="H485" s="2"/>
      <c r="I485" s="2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spans="1:37" ht="15.75" customHeight="1" x14ac:dyDescent="0.2">
      <c r="A486"/>
      <c r="B486" s="2"/>
      <c r="C486" s="2"/>
      <c r="D486" s="2"/>
      <c r="E486" s="2"/>
      <c r="F486" s="2"/>
      <c r="G486" s="2"/>
      <c r="H486" s="2"/>
      <c r="I486" s="2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spans="1:37" ht="15.75" customHeight="1" x14ac:dyDescent="0.2">
      <c r="A487"/>
      <c r="B487" s="2"/>
      <c r="C487" s="2"/>
      <c r="D487" s="2"/>
      <c r="E487" s="2"/>
      <c r="F487" s="2"/>
      <c r="G487" s="2"/>
      <c r="H487" s="2"/>
      <c r="I487" s="2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 ht="15.75" customHeight="1" x14ac:dyDescent="0.2">
      <c r="A488"/>
      <c r="B488" s="2"/>
      <c r="C488" s="2"/>
      <c r="D488" s="2"/>
      <c r="E488" s="2"/>
      <c r="F488" s="2"/>
      <c r="G488" s="2"/>
      <c r="H488" s="2"/>
      <c r="I488" s="2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 ht="15.75" customHeight="1" x14ac:dyDescent="0.2">
      <c r="A489"/>
      <c r="B489" s="2"/>
      <c r="C489" s="2"/>
      <c r="D489" s="2"/>
      <c r="E489" s="2"/>
      <c r="F489" s="2"/>
      <c r="G489" s="2"/>
      <c r="H489" s="2"/>
      <c r="I489" s="2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 ht="15.75" customHeight="1" x14ac:dyDescent="0.2">
      <c r="A490"/>
      <c r="B490" s="2"/>
      <c r="C490" s="2"/>
      <c r="D490" s="2"/>
      <c r="E490" s="2"/>
      <c r="F490" s="2"/>
      <c r="G490" s="2"/>
      <c r="H490" s="2"/>
      <c r="I490" s="2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 ht="15.75" customHeight="1" x14ac:dyDescent="0.2">
      <c r="A491"/>
      <c r="B491" s="2"/>
      <c r="C491" s="2"/>
      <c r="D491" s="2"/>
      <c r="E491" s="2"/>
      <c r="F491" s="2"/>
      <c r="G491" s="2"/>
      <c r="H491" s="2"/>
      <c r="I491" s="2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 ht="15.75" customHeight="1" x14ac:dyDescent="0.2">
      <c r="A492"/>
      <c r="B492" s="2"/>
      <c r="C492" s="2"/>
      <c r="D492" s="2"/>
      <c r="E492" s="2"/>
      <c r="F492" s="2"/>
      <c r="G492" s="2"/>
      <c r="H492" s="2"/>
      <c r="I492" s="2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 ht="15.75" customHeight="1" x14ac:dyDescent="0.2">
      <c r="A493"/>
      <c r="B493" s="2"/>
      <c r="C493" s="2"/>
      <c r="D493" s="2"/>
      <c r="E493" s="2"/>
      <c r="F493" s="2"/>
      <c r="G493" s="2"/>
      <c r="H493" s="2"/>
      <c r="I493" s="2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 ht="15.75" customHeight="1" x14ac:dyDescent="0.2">
      <c r="A494"/>
      <c r="B494" s="2"/>
      <c r="C494" s="2"/>
      <c r="D494" s="2"/>
      <c r="E494" s="2"/>
      <c r="F494" s="2"/>
      <c r="G494" s="2"/>
      <c r="H494" s="2"/>
      <c r="I494" s="2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 ht="15.75" customHeight="1" x14ac:dyDescent="0.2">
      <c r="A495"/>
      <c r="B495" s="2"/>
      <c r="C495" s="2"/>
      <c r="D495" s="2"/>
      <c r="E495" s="2"/>
      <c r="F495" s="2"/>
      <c r="G495" s="2"/>
      <c r="H495" s="2"/>
      <c r="I495" s="2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 ht="15.75" customHeight="1" x14ac:dyDescent="0.2">
      <c r="A496"/>
      <c r="B496" s="2"/>
      <c r="C496" s="2"/>
      <c r="D496" s="2"/>
      <c r="E496" s="2"/>
      <c r="F496" s="2"/>
      <c r="G496" s="2"/>
      <c r="H496" s="2"/>
      <c r="I496" s="2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 ht="15.75" customHeight="1" x14ac:dyDescent="0.2">
      <c r="A497"/>
      <c r="B497" s="2"/>
      <c r="C497" s="2"/>
      <c r="D497" s="2"/>
      <c r="E497" s="2"/>
      <c r="F497" s="2"/>
      <c r="G497" s="2"/>
      <c r="H497" s="2"/>
      <c r="I497" s="2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 ht="15.75" customHeight="1" x14ac:dyDescent="0.2">
      <c r="A498"/>
      <c r="B498" s="2"/>
      <c r="C498" s="2"/>
      <c r="D498" s="2"/>
      <c r="E498" s="2"/>
      <c r="F498" s="2"/>
      <c r="G498" s="2"/>
      <c r="H498" s="2"/>
      <c r="I498" s="2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 ht="15.75" customHeight="1" x14ac:dyDescent="0.2">
      <c r="A499"/>
      <c r="B499" s="2"/>
      <c r="C499" s="2"/>
      <c r="D499" s="2"/>
      <c r="E499" s="2"/>
      <c r="F499" s="2"/>
      <c r="G499" s="2"/>
      <c r="H499" s="2"/>
      <c r="I499" s="2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 ht="15.75" customHeight="1" x14ac:dyDescent="0.2">
      <c r="A500"/>
      <c r="B500" s="2"/>
      <c r="C500" s="2"/>
      <c r="D500" s="2"/>
      <c r="E500" s="2"/>
      <c r="F500" s="2"/>
      <c r="G500" s="2"/>
      <c r="H500" s="2"/>
      <c r="I500" s="2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 ht="15.75" customHeight="1" x14ac:dyDescent="0.2">
      <c r="A501"/>
      <c r="B501" s="2"/>
      <c r="C501" s="2"/>
      <c r="D501" s="2"/>
      <c r="E501" s="2"/>
      <c r="F501" s="2"/>
      <c r="G501" s="2"/>
      <c r="H501" s="2"/>
      <c r="I501" s="2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 ht="15.75" customHeight="1" x14ac:dyDescent="0.2">
      <c r="A502"/>
      <c r="B502" s="2"/>
      <c r="C502" s="2"/>
      <c r="D502" s="2"/>
      <c r="E502" s="2"/>
      <c r="F502" s="2"/>
      <c r="G502" s="2"/>
      <c r="H502" s="2"/>
      <c r="I502" s="2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 ht="15.75" customHeight="1" x14ac:dyDescent="0.2">
      <c r="A503"/>
      <c r="B503" s="2"/>
      <c r="C503" s="2"/>
      <c r="D503" s="2"/>
      <c r="E503" s="2"/>
      <c r="F503" s="2"/>
      <c r="G503" s="2"/>
      <c r="H503" s="2"/>
      <c r="I503" s="2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 ht="15.75" customHeight="1" x14ac:dyDescent="0.2">
      <c r="A504"/>
      <c r="B504" s="2"/>
      <c r="C504" s="2"/>
      <c r="D504" s="2"/>
      <c r="E504" s="2"/>
      <c r="F504" s="2"/>
      <c r="G504" s="2"/>
      <c r="H504" s="2"/>
      <c r="I504" s="2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 ht="15.75" customHeight="1" x14ac:dyDescent="0.2">
      <c r="A505"/>
      <c r="B505" s="2"/>
      <c r="C505" s="2"/>
      <c r="D505" s="2"/>
      <c r="E505" s="2"/>
      <c r="F505" s="2"/>
      <c r="G505" s="2"/>
      <c r="H505" s="2"/>
      <c r="I505" s="2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 ht="15.75" customHeight="1" x14ac:dyDescent="0.2">
      <c r="A506"/>
      <c r="B506" s="2"/>
      <c r="C506" s="2"/>
      <c r="D506" s="2"/>
      <c r="E506" s="2"/>
      <c r="F506" s="2"/>
      <c r="G506" s="2"/>
      <c r="H506" s="2"/>
      <c r="I506" s="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 ht="15.75" customHeight="1" x14ac:dyDescent="0.2">
      <c r="A507"/>
      <c r="B507" s="2"/>
      <c r="C507" s="2"/>
      <c r="D507" s="2"/>
      <c r="E507" s="2"/>
      <c r="F507" s="2"/>
      <c r="G507" s="2"/>
      <c r="H507" s="2"/>
      <c r="I507" s="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 ht="15.75" customHeight="1" x14ac:dyDescent="0.2">
      <c r="A508"/>
      <c r="B508" s="2"/>
      <c r="C508" s="2"/>
      <c r="D508" s="2"/>
      <c r="E508" s="2"/>
      <c r="F508" s="2"/>
      <c r="G508" s="2"/>
      <c r="H508" s="2"/>
      <c r="I508" s="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 ht="15.75" customHeight="1" x14ac:dyDescent="0.2">
      <c r="A509"/>
      <c r="B509" s="2"/>
      <c r="C509" s="2"/>
      <c r="D509" s="2"/>
      <c r="E509" s="2"/>
      <c r="F509" s="2"/>
      <c r="G509" s="2"/>
      <c r="H509" s="2"/>
      <c r="I509" s="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 ht="15.75" customHeight="1" x14ac:dyDescent="0.2">
      <c r="A510"/>
      <c r="B510" s="2"/>
      <c r="C510" s="2"/>
      <c r="D510" s="2"/>
      <c r="E510" s="2"/>
      <c r="F510" s="2"/>
      <c r="G510" s="2"/>
      <c r="H510" s="2"/>
      <c r="I510" s="2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 ht="15.75" customHeight="1" x14ac:dyDescent="0.2">
      <c r="A511"/>
      <c r="B511" s="2"/>
      <c r="C511" s="2"/>
      <c r="D511" s="2"/>
      <c r="E511" s="2"/>
      <c r="F511" s="2"/>
      <c r="G511" s="2"/>
      <c r="H511" s="2"/>
      <c r="I511" s="2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 ht="15.75" customHeight="1" x14ac:dyDescent="0.2">
      <c r="A512"/>
      <c r="B512" s="2"/>
      <c r="C512" s="2"/>
      <c r="D512" s="2"/>
      <c r="E512" s="2"/>
      <c r="F512" s="2"/>
      <c r="G512" s="2"/>
      <c r="H512" s="2"/>
      <c r="I512" s="2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 ht="15.75" customHeight="1" x14ac:dyDescent="0.2">
      <c r="A513"/>
      <c r="B513" s="2"/>
      <c r="C513" s="2"/>
      <c r="D513" s="2"/>
      <c r="E513" s="2"/>
      <c r="F513" s="2"/>
      <c r="G513" s="2"/>
      <c r="H513" s="2"/>
      <c r="I513" s="2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 ht="15.75" customHeight="1" x14ac:dyDescent="0.2">
      <c r="A514"/>
      <c r="B514" s="2"/>
      <c r="C514" s="2"/>
      <c r="D514" s="2"/>
      <c r="E514" s="2"/>
      <c r="F514" s="2"/>
      <c r="G514" s="2"/>
      <c r="H514" s="2"/>
      <c r="I514" s="2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 ht="15.75" customHeight="1" x14ac:dyDescent="0.2">
      <c r="A515"/>
      <c r="B515" s="2"/>
      <c r="C515" s="2"/>
      <c r="D515" s="2"/>
      <c r="E515" s="2"/>
      <c r="F515" s="2"/>
      <c r="G515" s="2"/>
      <c r="H515" s="2"/>
      <c r="I515" s="2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 ht="15.75" customHeight="1" x14ac:dyDescent="0.2">
      <c r="A516"/>
      <c r="B516" s="2"/>
      <c r="C516" s="2"/>
      <c r="D516" s="2"/>
      <c r="E516" s="2"/>
      <c r="F516" s="2"/>
      <c r="G516" s="2"/>
      <c r="H516" s="2"/>
      <c r="I516" s="2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 ht="15.75" customHeight="1" x14ac:dyDescent="0.2">
      <c r="A517"/>
      <c r="B517" s="2"/>
      <c r="C517" s="2"/>
      <c r="D517" s="2"/>
      <c r="E517" s="2"/>
      <c r="F517" s="2"/>
      <c r="G517" s="2"/>
      <c r="H517" s="2"/>
      <c r="I517" s="2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 ht="15.75" customHeight="1" x14ac:dyDescent="0.2">
      <c r="A518"/>
      <c r="B518" s="2"/>
      <c r="C518" s="2"/>
      <c r="D518" s="2"/>
      <c r="E518" s="2"/>
      <c r="F518" s="2"/>
      <c r="G518" s="2"/>
      <c r="H518" s="2"/>
      <c r="I518" s="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 ht="15.75" customHeight="1" x14ac:dyDescent="0.2">
      <c r="A519"/>
      <c r="B519" s="2"/>
      <c r="C519" s="2"/>
      <c r="D519" s="2"/>
      <c r="E519" s="2"/>
      <c r="F519" s="2"/>
      <c r="G519" s="2"/>
      <c r="H519" s="2"/>
      <c r="I519" s="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 ht="15.75" customHeight="1" x14ac:dyDescent="0.2">
      <c r="A520"/>
      <c r="B520" s="2"/>
      <c r="C520" s="2"/>
      <c r="D520" s="2"/>
      <c r="E520" s="2"/>
      <c r="F520" s="2"/>
      <c r="G520" s="2"/>
      <c r="H520" s="2"/>
      <c r="I520" s="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 ht="15.75" customHeight="1" x14ac:dyDescent="0.2">
      <c r="A521"/>
      <c r="B521" s="2"/>
      <c r="C521" s="2"/>
      <c r="D521" s="2"/>
      <c r="E521" s="2"/>
      <c r="F521" s="2"/>
      <c r="G521" s="2"/>
      <c r="H521" s="2"/>
      <c r="I521" s="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 ht="15.75" customHeight="1" x14ac:dyDescent="0.2">
      <c r="A522"/>
      <c r="B522" s="2"/>
      <c r="C522" s="2"/>
      <c r="D522" s="2"/>
      <c r="E522" s="2"/>
      <c r="F522" s="2"/>
      <c r="G522" s="2"/>
      <c r="H522" s="2"/>
      <c r="I522" s="2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 ht="15.75" customHeight="1" x14ac:dyDescent="0.2">
      <c r="A523"/>
      <c r="B523" s="2"/>
      <c r="C523" s="2"/>
      <c r="D523" s="2"/>
      <c r="E523" s="2"/>
      <c r="F523" s="2"/>
      <c r="G523" s="2"/>
      <c r="H523" s="2"/>
      <c r="I523" s="2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 ht="15.75" customHeight="1" x14ac:dyDescent="0.2">
      <c r="A524"/>
      <c r="B524" s="2"/>
      <c r="C524" s="2"/>
      <c r="D524" s="2"/>
      <c r="E524" s="2"/>
      <c r="F524" s="2"/>
      <c r="G524" s="2"/>
      <c r="H524" s="2"/>
      <c r="I524" s="2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 ht="15.75" customHeight="1" x14ac:dyDescent="0.2">
      <c r="A525"/>
      <c r="B525" s="2"/>
      <c r="C525" s="2"/>
      <c r="D525" s="2"/>
      <c r="E525" s="2"/>
      <c r="F525" s="2"/>
      <c r="G525" s="2"/>
      <c r="H525" s="2"/>
      <c r="I525" s="2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 ht="15.75" customHeight="1" x14ac:dyDescent="0.2">
      <c r="A526"/>
      <c r="B526" s="2"/>
      <c r="C526" s="2"/>
      <c r="D526" s="2"/>
      <c r="E526" s="2"/>
      <c r="F526" s="2"/>
      <c r="G526" s="2"/>
      <c r="H526" s="2"/>
      <c r="I526" s="2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 ht="15.75" customHeight="1" x14ac:dyDescent="0.2">
      <c r="A527"/>
      <c r="B527" s="2"/>
      <c r="C527" s="2"/>
      <c r="D527" s="2"/>
      <c r="E527" s="2"/>
      <c r="F527" s="2"/>
      <c r="G527" s="2"/>
      <c r="H527" s="2"/>
      <c r="I527" s="2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 ht="15.75" customHeight="1" x14ac:dyDescent="0.2">
      <c r="A528"/>
      <c r="B528" s="2"/>
      <c r="C528" s="2"/>
      <c r="D528" s="2"/>
      <c r="E528" s="2"/>
      <c r="F528" s="2"/>
      <c r="G528" s="2"/>
      <c r="H528" s="2"/>
      <c r="I528" s="2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 ht="15.75" customHeight="1" x14ac:dyDescent="0.2">
      <c r="A529"/>
      <c r="B529" s="2"/>
      <c r="C529" s="2"/>
      <c r="D529" s="2"/>
      <c r="E529" s="2"/>
      <c r="F529" s="2"/>
      <c r="G529" s="2"/>
      <c r="H529" s="2"/>
      <c r="I529" s="2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 ht="15.75" customHeight="1" x14ac:dyDescent="0.2">
      <c r="A530"/>
      <c r="B530" s="2"/>
      <c r="C530" s="2"/>
      <c r="D530" s="2"/>
      <c r="E530" s="2"/>
      <c r="F530" s="2"/>
      <c r="G530" s="2"/>
      <c r="H530" s="2"/>
      <c r="I530" s="2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 ht="15.75" customHeight="1" x14ac:dyDescent="0.2">
      <c r="A531"/>
      <c r="B531" s="2"/>
      <c r="C531" s="2"/>
      <c r="D531" s="2"/>
      <c r="E531" s="2"/>
      <c r="F531" s="2"/>
      <c r="G531" s="2"/>
      <c r="H531" s="2"/>
      <c r="I531" s="2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 ht="15.75" customHeight="1" x14ac:dyDescent="0.2">
      <c r="A532"/>
      <c r="B532" s="2"/>
      <c r="C532" s="2"/>
      <c r="D532" s="2"/>
      <c r="E532" s="2"/>
      <c r="F532" s="2"/>
      <c r="G532" s="2"/>
      <c r="H532" s="2"/>
      <c r="I532" s="2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 ht="15.75" customHeight="1" x14ac:dyDescent="0.2">
      <c r="A533"/>
      <c r="B533" s="2"/>
      <c r="C533" s="2"/>
      <c r="D533" s="2"/>
      <c r="E533" s="2"/>
      <c r="F533" s="2"/>
      <c r="G533" s="2"/>
      <c r="H533" s="2"/>
      <c r="I533" s="2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 ht="15.75" customHeight="1" x14ac:dyDescent="0.2">
      <c r="A534"/>
      <c r="B534" s="2"/>
      <c r="C534" s="2"/>
      <c r="D534" s="2"/>
      <c r="E534" s="2"/>
      <c r="F534" s="2"/>
      <c r="G534" s="2"/>
      <c r="H534" s="2"/>
      <c r="I534" s="2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 ht="15.75" customHeight="1" x14ac:dyDescent="0.2">
      <c r="A535"/>
      <c r="B535" s="2"/>
      <c r="C535" s="2"/>
      <c r="D535" s="2"/>
      <c r="E535" s="2"/>
      <c r="F535" s="2"/>
      <c r="G535" s="2"/>
      <c r="H535" s="2"/>
      <c r="I535" s="2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 ht="15.75" customHeight="1" x14ac:dyDescent="0.2">
      <c r="A536"/>
      <c r="B536" s="2"/>
      <c r="C536" s="2"/>
      <c r="D536" s="2"/>
      <c r="E536" s="2"/>
      <c r="F536" s="2"/>
      <c r="G536" s="2"/>
      <c r="H536" s="2"/>
      <c r="I536" s="2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 ht="15.75" customHeight="1" x14ac:dyDescent="0.2">
      <c r="A537"/>
      <c r="B537" s="2"/>
      <c r="C537" s="2"/>
      <c r="D537" s="2"/>
      <c r="E537" s="2"/>
      <c r="F537" s="2"/>
      <c r="G537" s="2"/>
      <c r="H537" s="2"/>
      <c r="I537" s="2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 ht="15.75" customHeight="1" x14ac:dyDescent="0.2">
      <c r="A538"/>
      <c r="B538" s="2"/>
      <c r="C538" s="2"/>
      <c r="D538" s="2"/>
      <c r="E538" s="2"/>
      <c r="F538" s="2"/>
      <c r="G538" s="2"/>
      <c r="H538" s="2"/>
      <c r="I538" s="2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 ht="15.75" customHeight="1" x14ac:dyDescent="0.2">
      <c r="A539"/>
      <c r="B539" s="2"/>
      <c r="C539" s="2"/>
      <c r="D539" s="2"/>
      <c r="E539" s="2"/>
      <c r="F539" s="2"/>
      <c r="G539" s="2"/>
      <c r="H539" s="2"/>
      <c r="I539" s="2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 ht="15.75" customHeight="1" x14ac:dyDescent="0.2">
      <c r="A540"/>
      <c r="B540" s="2"/>
      <c r="C540" s="2"/>
      <c r="D540" s="2"/>
      <c r="E540" s="2"/>
      <c r="F540" s="2"/>
      <c r="G540" s="2"/>
      <c r="H540" s="2"/>
      <c r="I540" s="2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 ht="15.75" customHeight="1" x14ac:dyDescent="0.2">
      <c r="A541"/>
      <c r="B541" s="2"/>
      <c r="C541" s="2"/>
      <c r="D541" s="2"/>
      <c r="E541" s="2"/>
      <c r="F541" s="2"/>
      <c r="G541" s="2"/>
      <c r="H541" s="2"/>
      <c r="I541" s="2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 ht="15.75" customHeight="1" x14ac:dyDescent="0.2">
      <c r="A542"/>
      <c r="B542" s="2"/>
      <c r="C542" s="2"/>
      <c r="D542" s="2"/>
      <c r="E542" s="2"/>
      <c r="F542" s="2"/>
      <c r="G542" s="2"/>
      <c r="H542" s="2"/>
      <c r="I542" s="2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 ht="15.75" customHeight="1" x14ac:dyDescent="0.2">
      <c r="A543"/>
      <c r="B543" s="2"/>
      <c r="C543" s="2"/>
      <c r="D543" s="2"/>
      <c r="E543" s="2"/>
      <c r="F543" s="2"/>
      <c r="G543" s="2"/>
      <c r="H543" s="2"/>
      <c r="I543" s="2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 ht="15.75" customHeight="1" x14ac:dyDescent="0.2">
      <c r="A544"/>
      <c r="B544" s="2"/>
      <c r="C544" s="2"/>
      <c r="D544" s="2"/>
      <c r="E544" s="2"/>
      <c r="F544" s="2"/>
      <c r="G544" s="2"/>
      <c r="H544" s="2"/>
      <c r="I544" s="2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 ht="15.75" customHeight="1" x14ac:dyDescent="0.2">
      <c r="A545"/>
      <c r="B545" s="2"/>
      <c r="C545" s="2"/>
      <c r="D545" s="2"/>
      <c r="E545" s="2"/>
      <c r="F545" s="2"/>
      <c r="G545" s="2"/>
      <c r="H545" s="2"/>
      <c r="I545" s="2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 ht="15.75" customHeight="1" x14ac:dyDescent="0.2">
      <c r="A546"/>
      <c r="B546" s="2"/>
      <c r="C546" s="2"/>
      <c r="D546" s="2"/>
      <c r="E546" s="2"/>
      <c r="F546" s="2"/>
      <c r="G546" s="2"/>
      <c r="H546" s="2"/>
      <c r="I546" s="2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 ht="15.75" customHeight="1" x14ac:dyDescent="0.2">
      <c r="A547"/>
      <c r="B547" s="2"/>
      <c r="C547" s="2"/>
      <c r="D547" s="2"/>
      <c r="E547" s="2"/>
      <c r="F547" s="2"/>
      <c r="G547" s="2"/>
      <c r="H547" s="2"/>
      <c r="I547" s="2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 ht="15.75" customHeight="1" x14ac:dyDescent="0.2">
      <c r="A548"/>
      <c r="B548" s="2"/>
      <c r="C548" s="2"/>
      <c r="D548" s="2"/>
      <c r="E548" s="2"/>
      <c r="F548" s="2"/>
      <c r="G548" s="2"/>
      <c r="H548" s="2"/>
      <c r="I548" s="2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 ht="15.75" customHeight="1" x14ac:dyDescent="0.2">
      <c r="A549"/>
      <c r="B549" s="2"/>
      <c r="C549" s="2"/>
      <c r="D549" s="2"/>
      <c r="E549" s="2"/>
      <c r="F549" s="2"/>
      <c r="G549" s="2"/>
      <c r="H549" s="2"/>
      <c r="I549" s="2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 ht="15.75" customHeight="1" x14ac:dyDescent="0.2">
      <c r="A550"/>
      <c r="B550" s="2"/>
      <c r="C550" s="2"/>
      <c r="D550" s="2"/>
      <c r="E550" s="2"/>
      <c r="F550" s="2"/>
      <c r="G550" s="2"/>
      <c r="H550" s="2"/>
      <c r="I550" s="2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 ht="15.75" customHeight="1" x14ac:dyDescent="0.2">
      <c r="A551"/>
      <c r="B551" s="2"/>
      <c r="C551" s="2"/>
      <c r="D551" s="2"/>
      <c r="E551" s="2"/>
      <c r="F551" s="2"/>
      <c r="G551" s="2"/>
      <c r="H551" s="2"/>
      <c r="I551" s="2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 ht="15.75" customHeight="1" x14ac:dyDescent="0.2">
      <c r="A552"/>
      <c r="B552" s="2"/>
      <c r="C552" s="2"/>
      <c r="D552" s="2"/>
      <c r="E552" s="2"/>
      <c r="F552" s="2"/>
      <c r="G552" s="2"/>
      <c r="H552" s="2"/>
      <c r="I552" s="2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 ht="15.75" customHeight="1" x14ac:dyDescent="0.2">
      <c r="A553"/>
      <c r="B553" s="2"/>
      <c r="C553" s="2"/>
      <c r="D553" s="2"/>
      <c r="E553" s="2"/>
      <c r="F553" s="2"/>
      <c r="G553" s="2"/>
      <c r="H553" s="2"/>
      <c r="I553" s="2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 ht="15.75" customHeight="1" x14ac:dyDescent="0.2">
      <c r="A554"/>
      <c r="B554" s="2"/>
      <c r="C554" s="2"/>
      <c r="D554" s="2"/>
      <c r="E554" s="2"/>
      <c r="F554" s="2"/>
      <c r="G554" s="2"/>
      <c r="H554" s="2"/>
      <c r="I554" s="2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 ht="15.75" customHeight="1" x14ac:dyDescent="0.2">
      <c r="A555"/>
      <c r="B555" s="2"/>
      <c r="C555" s="2"/>
      <c r="D555" s="2"/>
      <c r="E555" s="2"/>
      <c r="F555" s="2"/>
      <c r="G555" s="2"/>
      <c r="H555" s="2"/>
      <c r="I555" s="2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 ht="15.75" customHeight="1" x14ac:dyDescent="0.2">
      <c r="A556"/>
      <c r="B556" s="2"/>
      <c r="C556" s="2"/>
      <c r="D556" s="2"/>
      <c r="E556" s="2"/>
      <c r="F556" s="2"/>
      <c r="G556" s="2"/>
      <c r="H556" s="2"/>
      <c r="I556" s="2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 ht="15.75" customHeight="1" x14ac:dyDescent="0.2">
      <c r="A557"/>
      <c r="B557" s="2"/>
      <c r="C557" s="2"/>
      <c r="D557" s="2"/>
      <c r="E557" s="2"/>
      <c r="F557" s="2"/>
      <c r="G557" s="2"/>
      <c r="H557" s="2"/>
      <c r="I557" s="2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 ht="15.75" customHeight="1" x14ac:dyDescent="0.2">
      <c r="A558"/>
      <c r="B558" s="2"/>
      <c r="C558" s="2"/>
      <c r="D558" s="2"/>
      <c r="E558" s="2"/>
      <c r="F558" s="2"/>
      <c r="G558" s="2"/>
      <c r="H558" s="2"/>
      <c r="I558" s="2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 ht="15.75" customHeight="1" x14ac:dyDescent="0.2">
      <c r="A559"/>
      <c r="B559" s="2"/>
      <c r="C559" s="2"/>
      <c r="D559" s="2"/>
      <c r="E559" s="2"/>
      <c r="F559" s="2"/>
      <c r="G559" s="2"/>
      <c r="H559" s="2"/>
      <c r="I559" s="2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 ht="15.75" customHeight="1" x14ac:dyDescent="0.2">
      <c r="A560"/>
      <c r="B560" s="2"/>
      <c r="C560" s="2"/>
      <c r="D560" s="2"/>
      <c r="E560" s="2"/>
      <c r="F560" s="2"/>
      <c r="G560" s="2"/>
      <c r="H560" s="2"/>
      <c r="I560" s="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 ht="15.75" customHeight="1" x14ac:dyDescent="0.2">
      <c r="A561"/>
      <c r="B561" s="2"/>
      <c r="C561" s="2"/>
      <c r="D561" s="2"/>
      <c r="E561" s="2"/>
      <c r="F561" s="2"/>
      <c r="G561" s="2"/>
      <c r="H561" s="2"/>
      <c r="I561" s="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 ht="15.75" customHeight="1" x14ac:dyDescent="0.2">
      <c r="A562"/>
      <c r="B562" s="2"/>
      <c r="C562" s="2"/>
      <c r="D562" s="2"/>
      <c r="E562" s="2"/>
      <c r="F562" s="2"/>
      <c r="G562" s="2"/>
      <c r="H562" s="2"/>
      <c r="I562" s="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 ht="15.75" customHeight="1" x14ac:dyDescent="0.2">
      <c r="A563"/>
      <c r="B563" s="2"/>
      <c r="C563" s="2"/>
      <c r="D563" s="2"/>
      <c r="E563" s="2"/>
      <c r="F563" s="2"/>
      <c r="G563" s="2"/>
      <c r="H563" s="2"/>
      <c r="I563" s="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 ht="15.75" customHeight="1" x14ac:dyDescent="0.2">
      <c r="A564"/>
      <c r="B564" s="2"/>
      <c r="C564" s="2"/>
      <c r="D564" s="2"/>
      <c r="E564" s="2"/>
      <c r="F564" s="2"/>
      <c r="G564" s="2"/>
      <c r="H564" s="2"/>
      <c r="I564" s="2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 ht="15.75" customHeight="1" x14ac:dyDescent="0.2">
      <c r="A565"/>
      <c r="B565" s="2"/>
      <c r="C565" s="2"/>
      <c r="D565" s="2"/>
      <c r="E565" s="2"/>
      <c r="F565" s="2"/>
      <c r="G565" s="2"/>
      <c r="H565" s="2"/>
      <c r="I565" s="2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 ht="15.75" customHeight="1" x14ac:dyDescent="0.2">
      <c r="A566"/>
      <c r="B566" s="2"/>
      <c r="C566" s="2"/>
      <c r="D566" s="2"/>
      <c r="E566" s="2"/>
      <c r="F566" s="2"/>
      <c r="G566" s="2"/>
      <c r="H566" s="2"/>
      <c r="I566" s="2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 ht="15.75" customHeight="1" x14ac:dyDescent="0.2">
      <c r="A567"/>
      <c r="B567" s="2"/>
      <c r="C567" s="2"/>
      <c r="D567" s="2"/>
      <c r="E567" s="2"/>
      <c r="F567" s="2"/>
      <c r="G567" s="2"/>
      <c r="H567" s="2"/>
      <c r="I567" s="2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 ht="15.75" customHeight="1" x14ac:dyDescent="0.2">
      <c r="A568"/>
      <c r="B568" s="2"/>
      <c r="C568" s="2"/>
      <c r="D568" s="2"/>
      <c r="E568" s="2"/>
      <c r="F568" s="2"/>
      <c r="G568" s="2"/>
      <c r="H568" s="2"/>
      <c r="I568" s="2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 ht="15.75" customHeight="1" x14ac:dyDescent="0.2">
      <c r="A569"/>
      <c r="B569" s="2"/>
      <c r="C569" s="2"/>
      <c r="D569" s="2"/>
      <c r="E569" s="2"/>
      <c r="F569" s="2"/>
      <c r="G569" s="2"/>
      <c r="H569" s="2"/>
      <c r="I569" s="2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 ht="15.75" customHeight="1" x14ac:dyDescent="0.2">
      <c r="A570"/>
      <c r="B570" s="2"/>
      <c r="C570" s="2"/>
      <c r="D570" s="2"/>
      <c r="E570" s="2"/>
      <c r="F570" s="2"/>
      <c r="G570" s="2"/>
      <c r="H570" s="2"/>
      <c r="I570" s="2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 ht="15.75" customHeight="1" x14ac:dyDescent="0.2">
      <c r="A571"/>
      <c r="B571" s="2"/>
      <c r="C571" s="2"/>
      <c r="D571" s="2"/>
      <c r="E571" s="2"/>
      <c r="F571" s="2"/>
      <c r="G571" s="2"/>
      <c r="H571" s="2"/>
      <c r="I571" s="2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 ht="15.75" customHeight="1" x14ac:dyDescent="0.2">
      <c r="A572"/>
      <c r="B572" s="2"/>
      <c r="C572" s="2"/>
      <c r="D572" s="2"/>
      <c r="E572" s="2"/>
      <c r="F572" s="2"/>
      <c r="G572" s="2"/>
      <c r="H572" s="2"/>
      <c r="I572" s="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 ht="15.75" customHeight="1" x14ac:dyDescent="0.2">
      <c r="A573"/>
      <c r="B573" s="2"/>
      <c r="C573" s="2"/>
      <c r="D573" s="2"/>
      <c r="E573" s="2"/>
      <c r="F573" s="2"/>
      <c r="G573" s="2"/>
      <c r="H573" s="2"/>
      <c r="I573" s="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 ht="15.75" customHeight="1" x14ac:dyDescent="0.2">
      <c r="A574"/>
      <c r="B574" s="2"/>
      <c r="C574" s="2"/>
      <c r="D574" s="2"/>
      <c r="E574" s="2"/>
      <c r="F574" s="2"/>
      <c r="G574" s="2"/>
      <c r="H574" s="2"/>
      <c r="I574" s="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 ht="15.75" customHeight="1" x14ac:dyDescent="0.2">
      <c r="A575"/>
      <c r="B575" s="2"/>
      <c r="C575" s="2"/>
      <c r="D575" s="2"/>
      <c r="E575" s="2"/>
      <c r="F575" s="2"/>
      <c r="G575" s="2"/>
      <c r="H575" s="2"/>
      <c r="I575" s="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 ht="15.75" customHeight="1" x14ac:dyDescent="0.2">
      <c r="A576"/>
      <c r="B576" s="2"/>
      <c r="C576" s="2"/>
      <c r="D576" s="2"/>
      <c r="E576" s="2"/>
      <c r="F576" s="2"/>
      <c r="G576" s="2"/>
      <c r="H576" s="2"/>
      <c r="I576" s="2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37" ht="15.75" customHeight="1" x14ac:dyDescent="0.2">
      <c r="A577"/>
      <c r="B577" s="2"/>
      <c r="C577" s="2"/>
      <c r="D577" s="2"/>
      <c r="E577" s="2"/>
      <c r="F577" s="2"/>
      <c r="G577" s="2"/>
      <c r="H577" s="2"/>
      <c r="I577" s="2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spans="1:37" ht="15.75" customHeight="1" x14ac:dyDescent="0.2">
      <c r="A578"/>
      <c r="B578" s="2"/>
      <c r="C578" s="2"/>
      <c r="D578" s="2"/>
      <c r="E578" s="2"/>
      <c r="F578" s="2"/>
      <c r="G578" s="2"/>
      <c r="H578" s="2"/>
      <c r="I578" s="2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spans="1:37" ht="15.75" customHeight="1" x14ac:dyDescent="0.2">
      <c r="A579"/>
      <c r="B579" s="2"/>
      <c r="C579" s="2"/>
      <c r="D579" s="2"/>
      <c r="E579" s="2"/>
      <c r="F579" s="2"/>
      <c r="G579" s="2"/>
      <c r="H579" s="2"/>
      <c r="I579" s="2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spans="1:37" ht="15.75" customHeight="1" x14ac:dyDescent="0.2">
      <c r="A580"/>
      <c r="B580" s="2"/>
      <c r="C580" s="2"/>
      <c r="D580" s="2"/>
      <c r="E580" s="2"/>
      <c r="F580" s="2"/>
      <c r="G580" s="2"/>
      <c r="H580" s="2"/>
      <c r="I580" s="2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spans="1:37" ht="15.75" customHeight="1" x14ac:dyDescent="0.2">
      <c r="A581"/>
      <c r="B581" s="2"/>
      <c r="C581" s="2"/>
      <c r="D581" s="2"/>
      <c r="E581" s="2"/>
      <c r="F581" s="2"/>
      <c r="G581" s="2"/>
      <c r="H581" s="2"/>
      <c r="I581" s="2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spans="1:37" ht="15.75" customHeight="1" x14ac:dyDescent="0.2">
      <c r="A582"/>
      <c r="B582" s="2"/>
      <c r="C582" s="2"/>
      <c r="D582" s="2"/>
      <c r="E582" s="2"/>
      <c r="F582" s="2"/>
      <c r="G582" s="2"/>
      <c r="H582" s="2"/>
      <c r="I582" s="2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spans="1:37" ht="15.75" customHeight="1" x14ac:dyDescent="0.2">
      <c r="A583"/>
      <c r="B583" s="2"/>
      <c r="C583" s="2"/>
      <c r="D583" s="2"/>
      <c r="E583" s="2"/>
      <c r="F583" s="2"/>
      <c r="G583" s="2"/>
      <c r="H583" s="2"/>
      <c r="I583" s="2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spans="1:37" ht="15.75" customHeight="1" x14ac:dyDescent="0.2">
      <c r="A584"/>
      <c r="B584" s="2"/>
      <c r="C584" s="2"/>
      <c r="D584" s="2"/>
      <c r="E584" s="2"/>
      <c r="F584" s="2"/>
      <c r="G584" s="2"/>
      <c r="H584" s="2"/>
      <c r="I584" s="2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spans="1:37" ht="15.75" customHeight="1" x14ac:dyDescent="0.2">
      <c r="A585"/>
      <c r="B585" s="2"/>
      <c r="C585" s="2"/>
      <c r="D585" s="2"/>
      <c r="E585" s="2"/>
      <c r="F585" s="2"/>
      <c r="G585" s="2"/>
      <c r="H585" s="2"/>
      <c r="I585" s="2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spans="1:37" ht="15.75" customHeight="1" x14ac:dyDescent="0.2">
      <c r="A586"/>
      <c r="B586" s="2"/>
      <c r="C586" s="2"/>
      <c r="D586" s="2"/>
      <c r="E586" s="2"/>
      <c r="F586" s="2"/>
      <c r="G586" s="2"/>
      <c r="H586" s="2"/>
      <c r="I586" s="2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spans="1:37" ht="15.75" customHeight="1" x14ac:dyDescent="0.2">
      <c r="A587"/>
      <c r="B587" s="2"/>
      <c r="C587" s="2"/>
      <c r="D587" s="2"/>
      <c r="E587" s="2"/>
      <c r="F587" s="2"/>
      <c r="G587" s="2"/>
      <c r="H587" s="2"/>
      <c r="I587" s="2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spans="1:37" ht="15.75" customHeight="1" x14ac:dyDescent="0.2">
      <c r="A588"/>
      <c r="B588" s="2"/>
      <c r="C588" s="2"/>
      <c r="D588" s="2"/>
      <c r="E588" s="2"/>
      <c r="F588" s="2"/>
      <c r="G588" s="2"/>
      <c r="H588" s="2"/>
      <c r="I588" s="2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spans="1:37" ht="15.75" customHeight="1" x14ac:dyDescent="0.2">
      <c r="A589"/>
      <c r="B589" s="2"/>
      <c r="C589" s="2"/>
      <c r="D589" s="2"/>
      <c r="E589" s="2"/>
      <c r="F589" s="2"/>
      <c r="G589" s="2"/>
      <c r="H589" s="2"/>
      <c r="I589" s="2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spans="1:37" ht="15.75" customHeight="1" x14ac:dyDescent="0.2">
      <c r="A590"/>
      <c r="B590" s="2"/>
      <c r="C590" s="2"/>
      <c r="D590" s="2"/>
      <c r="E590" s="2"/>
      <c r="F590" s="2"/>
      <c r="G590" s="2"/>
      <c r="H590" s="2"/>
      <c r="I590" s="2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spans="1:37" ht="15.75" customHeight="1" x14ac:dyDescent="0.2">
      <c r="A591"/>
      <c r="B591" s="2"/>
      <c r="C591" s="2"/>
      <c r="D591" s="2"/>
      <c r="E591" s="2"/>
      <c r="F591" s="2"/>
      <c r="G591" s="2"/>
      <c r="H591" s="2"/>
      <c r="I591" s="2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spans="1:37" ht="15.75" customHeight="1" x14ac:dyDescent="0.2">
      <c r="A592"/>
      <c r="B592" s="2"/>
      <c r="C592" s="2"/>
      <c r="D592" s="2"/>
      <c r="E592" s="2"/>
      <c r="F592" s="2"/>
      <c r="G592" s="2"/>
      <c r="H592" s="2"/>
      <c r="I592" s="2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spans="1:37" ht="15.75" customHeight="1" x14ac:dyDescent="0.2">
      <c r="A593"/>
      <c r="B593" s="2"/>
      <c r="C593" s="2"/>
      <c r="D593" s="2"/>
      <c r="E593" s="2"/>
      <c r="F593" s="2"/>
      <c r="G593" s="2"/>
      <c r="H593" s="2"/>
      <c r="I593" s="2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spans="1:37" ht="15.75" customHeight="1" x14ac:dyDescent="0.2">
      <c r="A594"/>
      <c r="B594" s="2"/>
      <c r="C594" s="2"/>
      <c r="D594" s="2"/>
      <c r="E594" s="2"/>
      <c r="F594" s="2"/>
      <c r="G594" s="2"/>
      <c r="H594" s="2"/>
      <c r="I594" s="2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spans="1:37" ht="15.75" customHeight="1" x14ac:dyDescent="0.2">
      <c r="A595"/>
      <c r="B595" s="2"/>
      <c r="C595" s="2"/>
      <c r="D595" s="2"/>
      <c r="E595" s="2"/>
      <c r="F595" s="2"/>
      <c r="G595" s="2"/>
      <c r="H595" s="2"/>
      <c r="I595" s="2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spans="1:37" ht="15.75" customHeight="1" x14ac:dyDescent="0.2">
      <c r="A596"/>
      <c r="B596" s="2"/>
      <c r="C596" s="2"/>
      <c r="D596" s="2"/>
      <c r="E596" s="2"/>
      <c r="F596" s="2"/>
      <c r="G596" s="2"/>
      <c r="H596" s="2"/>
      <c r="I596" s="2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spans="1:37" ht="15.75" customHeight="1" x14ac:dyDescent="0.2">
      <c r="A597"/>
      <c r="B597" s="2"/>
      <c r="C597" s="2"/>
      <c r="D597" s="2"/>
      <c r="E597" s="2"/>
      <c r="F597" s="2"/>
      <c r="G597" s="2"/>
      <c r="H597" s="2"/>
      <c r="I597" s="2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spans="1:37" ht="15.75" customHeight="1" x14ac:dyDescent="0.2">
      <c r="A598"/>
      <c r="B598" s="2"/>
      <c r="C598" s="2"/>
      <c r="D598" s="2"/>
      <c r="E598" s="2"/>
      <c r="F598" s="2"/>
      <c r="G598" s="2"/>
      <c r="H598" s="2"/>
      <c r="I598" s="2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spans="1:37" ht="15.75" customHeight="1" x14ac:dyDescent="0.2">
      <c r="A599"/>
      <c r="B599" s="2"/>
      <c r="C599" s="2"/>
      <c r="D599" s="2"/>
      <c r="E599" s="2"/>
      <c r="F599" s="2"/>
      <c r="G599" s="2"/>
      <c r="H599" s="2"/>
      <c r="I599" s="2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spans="1:37" ht="15.75" customHeight="1" x14ac:dyDescent="0.2">
      <c r="A600"/>
      <c r="B600" s="2"/>
      <c r="C600" s="2"/>
      <c r="D600" s="2"/>
      <c r="E600" s="2"/>
      <c r="F600" s="2"/>
      <c r="G600" s="2"/>
      <c r="H600" s="2"/>
      <c r="I600" s="2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spans="1:37" ht="15.75" customHeight="1" x14ac:dyDescent="0.2">
      <c r="A601"/>
      <c r="B601" s="2"/>
      <c r="C601" s="2"/>
      <c r="D601" s="2"/>
      <c r="E601" s="2"/>
      <c r="F601" s="2"/>
      <c r="G601" s="2"/>
      <c r="H601" s="2"/>
      <c r="I601" s="2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spans="1:37" ht="15.75" customHeight="1" x14ac:dyDescent="0.2">
      <c r="A602"/>
      <c r="B602" s="2"/>
      <c r="C602" s="2"/>
      <c r="D602" s="2"/>
      <c r="E602" s="2"/>
      <c r="F602" s="2"/>
      <c r="G602" s="2"/>
      <c r="H602" s="2"/>
      <c r="I602" s="2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spans="1:37" ht="15.75" customHeight="1" x14ac:dyDescent="0.2">
      <c r="A603"/>
      <c r="B603" s="2"/>
      <c r="C603" s="2"/>
      <c r="D603" s="2"/>
      <c r="E603" s="2"/>
      <c r="F603" s="2"/>
      <c r="G603" s="2"/>
      <c r="H603" s="2"/>
      <c r="I603" s="2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spans="1:37" ht="15.75" customHeight="1" x14ac:dyDescent="0.2">
      <c r="A604"/>
      <c r="B604" s="2"/>
      <c r="C604" s="2"/>
      <c r="D604" s="2"/>
      <c r="E604" s="2"/>
      <c r="F604" s="2"/>
      <c r="G604" s="2"/>
      <c r="H604" s="2"/>
      <c r="I604" s="2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spans="1:37" ht="15.75" customHeight="1" x14ac:dyDescent="0.2">
      <c r="A605"/>
      <c r="B605" s="2"/>
      <c r="C605" s="2"/>
      <c r="D605" s="2"/>
      <c r="E605" s="2"/>
      <c r="F605" s="2"/>
      <c r="G605" s="2"/>
      <c r="H605" s="2"/>
      <c r="I605" s="2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spans="1:37" ht="15.75" customHeight="1" x14ac:dyDescent="0.2">
      <c r="A606"/>
      <c r="I606"/>
      <c r="J606" s="2"/>
    </row>
    <row r="607" spans="1:37" ht="15.75" customHeight="1" x14ac:dyDescent="0.2">
      <c r="A607"/>
      <c r="I607"/>
      <c r="J607" s="2"/>
    </row>
    <row r="608" spans="1:37" ht="15.75" customHeight="1" x14ac:dyDescent="0.2">
      <c r="A608"/>
      <c r="I608"/>
      <c r="J608" s="2"/>
    </row>
    <row r="609" spans="1:10" ht="15.75" customHeight="1" x14ac:dyDescent="0.2">
      <c r="A609"/>
      <c r="I609"/>
      <c r="J609" s="2"/>
    </row>
    <row r="610" spans="1:10" ht="15.75" customHeight="1" x14ac:dyDescent="0.2">
      <c r="A610"/>
      <c r="I610"/>
      <c r="J610" s="2"/>
    </row>
    <row r="611" spans="1:10" ht="15.75" customHeight="1" x14ac:dyDescent="0.2">
      <c r="A611"/>
      <c r="I611"/>
      <c r="J611" s="2"/>
    </row>
    <row r="612" spans="1:10" ht="15.75" customHeight="1" x14ac:dyDescent="0.2">
      <c r="A612"/>
      <c r="I612"/>
      <c r="J612" s="2"/>
    </row>
    <row r="613" spans="1:10" ht="15.75" customHeight="1" x14ac:dyDescent="0.2">
      <c r="A613"/>
      <c r="I613"/>
      <c r="J613" s="2"/>
    </row>
    <row r="614" spans="1:10" ht="15.75" customHeight="1" x14ac:dyDescent="0.2">
      <c r="A614"/>
      <c r="I614"/>
      <c r="J614" s="2"/>
    </row>
    <row r="615" spans="1:10" ht="15.75" customHeight="1" x14ac:dyDescent="0.2">
      <c r="A615"/>
      <c r="I615"/>
      <c r="J615" s="2"/>
    </row>
    <row r="616" spans="1:10" ht="15.75" customHeight="1" x14ac:dyDescent="0.2">
      <c r="A616"/>
      <c r="I616"/>
      <c r="J616" s="2"/>
    </row>
    <row r="617" spans="1:10" ht="15.75" customHeight="1" x14ac:dyDescent="0.2">
      <c r="A617"/>
      <c r="I617"/>
      <c r="J617" s="2"/>
    </row>
    <row r="618" spans="1:10" ht="15.75" customHeight="1" x14ac:dyDescent="0.2">
      <c r="A618"/>
      <c r="I618"/>
      <c r="J618" s="2"/>
    </row>
    <row r="619" spans="1:10" ht="15.75" customHeight="1" x14ac:dyDescent="0.2">
      <c r="A619"/>
      <c r="I619"/>
      <c r="J619" s="2"/>
    </row>
    <row r="620" spans="1:10" ht="15.75" customHeight="1" x14ac:dyDescent="0.2">
      <c r="A620"/>
      <c r="I620"/>
      <c r="J620" s="2"/>
    </row>
    <row r="621" spans="1:10" ht="15.75" customHeight="1" x14ac:dyDescent="0.2">
      <c r="A621"/>
      <c r="I621"/>
      <c r="J621" s="2"/>
    </row>
    <row r="622" spans="1:10" ht="15.75" customHeight="1" x14ac:dyDescent="0.2">
      <c r="A622"/>
      <c r="I622"/>
      <c r="J622" s="2"/>
    </row>
    <row r="623" spans="1:10" ht="15.75" customHeight="1" x14ac:dyDescent="0.2">
      <c r="A623"/>
      <c r="I623"/>
      <c r="J623" s="2"/>
    </row>
    <row r="624" spans="1:10" ht="15.75" customHeight="1" x14ac:dyDescent="0.2">
      <c r="A624"/>
      <c r="I624"/>
      <c r="J624" s="2"/>
    </row>
    <row r="625" spans="1:10" ht="15.75" customHeight="1" x14ac:dyDescent="0.2">
      <c r="A625"/>
      <c r="I625"/>
      <c r="J625" s="2"/>
    </row>
    <row r="626" spans="1:10" ht="15.75" customHeight="1" x14ac:dyDescent="0.2">
      <c r="A626"/>
      <c r="I626"/>
      <c r="J626" s="2"/>
    </row>
    <row r="627" spans="1:10" ht="15.75" customHeight="1" x14ac:dyDescent="0.2">
      <c r="A627"/>
      <c r="I627"/>
      <c r="J627" s="2"/>
    </row>
    <row r="628" spans="1:10" ht="15.75" customHeight="1" x14ac:dyDescent="0.2">
      <c r="A628"/>
      <c r="I628"/>
      <c r="J628" s="2"/>
    </row>
    <row r="629" spans="1:10" ht="15.75" customHeight="1" x14ac:dyDescent="0.2">
      <c r="A629"/>
      <c r="I629"/>
      <c r="J629" s="2"/>
    </row>
    <row r="630" spans="1:10" ht="15.75" customHeight="1" x14ac:dyDescent="0.2">
      <c r="A630"/>
      <c r="I630"/>
      <c r="J630" s="2"/>
    </row>
    <row r="631" spans="1:10" ht="15.75" customHeight="1" x14ac:dyDescent="0.2">
      <c r="A631"/>
      <c r="I631"/>
      <c r="J631" s="2"/>
    </row>
    <row r="632" spans="1:10" ht="15.75" customHeight="1" x14ac:dyDescent="0.2">
      <c r="A632"/>
      <c r="I632"/>
      <c r="J632" s="2"/>
    </row>
    <row r="633" spans="1:10" ht="15.75" customHeight="1" x14ac:dyDescent="0.2">
      <c r="A633"/>
      <c r="I633"/>
      <c r="J633" s="2"/>
    </row>
    <row r="634" spans="1:10" ht="15.75" customHeight="1" x14ac:dyDescent="0.2">
      <c r="A634"/>
      <c r="I634"/>
      <c r="J634" s="2"/>
    </row>
    <row r="635" spans="1:10" ht="15.75" customHeight="1" x14ac:dyDescent="0.2">
      <c r="A635"/>
      <c r="I635"/>
      <c r="J635" s="2"/>
    </row>
    <row r="636" spans="1:10" ht="15.75" customHeight="1" x14ac:dyDescent="0.2">
      <c r="A636"/>
      <c r="I636"/>
      <c r="J636" s="2"/>
    </row>
    <row r="637" spans="1:10" ht="15.75" customHeight="1" x14ac:dyDescent="0.2">
      <c r="A637"/>
      <c r="I637"/>
      <c r="J637" s="2"/>
    </row>
    <row r="638" spans="1:10" ht="15.75" customHeight="1" x14ac:dyDescent="0.2">
      <c r="A638"/>
      <c r="I638"/>
      <c r="J638" s="2"/>
    </row>
    <row r="639" spans="1:10" ht="15.75" customHeight="1" x14ac:dyDescent="0.2">
      <c r="A639"/>
      <c r="I639"/>
      <c r="J639" s="2"/>
    </row>
    <row r="640" spans="1:10" ht="15.75" customHeight="1" x14ac:dyDescent="0.2">
      <c r="A640"/>
      <c r="I640"/>
      <c r="J640" s="2"/>
    </row>
    <row r="641" spans="1:10" ht="15.75" customHeight="1" x14ac:dyDescent="0.2">
      <c r="A641"/>
      <c r="I641"/>
      <c r="J641" s="2"/>
    </row>
    <row r="642" spans="1:10" ht="15.75" customHeight="1" x14ac:dyDescent="0.2">
      <c r="A642"/>
      <c r="I642"/>
      <c r="J642" s="2"/>
    </row>
    <row r="643" spans="1:10" ht="15.75" customHeight="1" x14ac:dyDescent="0.2">
      <c r="A643"/>
      <c r="I643"/>
      <c r="J643" s="2"/>
    </row>
    <row r="644" spans="1:10" ht="15.75" customHeight="1" x14ac:dyDescent="0.2">
      <c r="A644"/>
      <c r="I644"/>
      <c r="J644" s="2"/>
    </row>
    <row r="645" spans="1:10" ht="15.75" customHeight="1" x14ac:dyDescent="0.2">
      <c r="A645"/>
      <c r="I645"/>
      <c r="J645" s="2"/>
    </row>
    <row r="646" spans="1:10" ht="15.75" customHeight="1" x14ac:dyDescent="0.2">
      <c r="A646"/>
      <c r="I646"/>
      <c r="J646" s="2"/>
    </row>
    <row r="647" spans="1:10" ht="15.75" customHeight="1" x14ac:dyDescent="0.2">
      <c r="A647"/>
      <c r="I647"/>
      <c r="J647" s="2"/>
    </row>
    <row r="648" spans="1:10" ht="15.75" customHeight="1" x14ac:dyDescent="0.2">
      <c r="A648"/>
      <c r="I648"/>
      <c r="J648" s="2"/>
    </row>
    <row r="649" spans="1:10" ht="15.75" customHeight="1" x14ac:dyDescent="0.2">
      <c r="A649"/>
      <c r="I649"/>
      <c r="J649" s="2"/>
    </row>
    <row r="650" spans="1:10" ht="15.75" customHeight="1" x14ac:dyDescent="0.2">
      <c r="A650"/>
      <c r="I650"/>
      <c r="J650" s="2"/>
    </row>
    <row r="651" spans="1:10" ht="15.75" customHeight="1" x14ac:dyDescent="0.2">
      <c r="A651"/>
      <c r="I651"/>
      <c r="J651" s="2"/>
    </row>
    <row r="652" spans="1:10" ht="15.75" customHeight="1" x14ac:dyDescent="0.2">
      <c r="A652"/>
      <c r="I652"/>
      <c r="J652" s="2"/>
    </row>
    <row r="653" spans="1:10" ht="15.75" customHeight="1" x14ac:dyDescent="0.2">
      <c r="A653"/>
      <c r="I653"/>
      <c r="J653" s="2"/>
    </row>
    <row r="654" spans="1:10" ht="15.75" customHeight="1" x14ac:dyDescent="0.2">
      <c r="A654"/>
      <c r="I654"/>
      <c r="J654" s="2"/>
    </row>
    <row r="655" spans="1:10" ht="15.75" customHeight="1" x14ac:dyDescent="0.2">
      <c r="A655"/>
      <c r="I655"/>
      <c r="J655" s="2"/>
    </row>
    <row r="656" spans="1:10" ht="15.75" customHeight="1" x14ac:dyDescent="0.2">
      <c r="A656"/>
      <c r="I656"/>
      <c r="J656" s="2"/>
    </row>
    <row r="657" spans="1:10" ht="15.75" customHeight="1" x14ac:dyDescent="0.2">
      <c r="A657"/>
      <c r="I657"/>
      <c r="J657" s="2"/>
    </row>
    <row r="658" spans="1:10" ht="15.75" customHeight="1" x14ac:dyDescent="0.2">
      <c r="A658"/>
      <c r="I658"/>
      <c r="J658" s="2"/>
    </row>
    <row r="659" spans="1:10" ht="15.75" customHeight="1" x14ac:dyDescent="0.2">
      <c r="A659"/>
      <c r="I659"/>
      <c r="J659" s="2"/>
    </row>
    <row r="660" spans="1:10" ht="15.75" customHeight="1" x14ac:dyDescent="0.2">
      <c r="A660"/>
      <c r="I660"/>
      <c r="J660" s="2"/>
    </row>
    <row r="661" spans="1:10" ht="15.75" customHeight="1" x14ac:dyDescent="0.2">
      <c r="A661"/>
      <c r="I661"/>
      <c r="J661" s="2"/>
    </row>
    <row r="662" spans="1:10" ht="15.75" customHeight="1" x14ac:dyDescent="0.2">
      <c r="A662"/>
      <c r="I662"/>
      <c r="J662" s="2"/>
    </row>
    <row r="663" spans="1:10" ht="15.75" customHeight="1" x14ac:dyDescent="0.2">
      <c r="A663"/>
      <c r="I663"/>
      <c r="J663" s="2"/>
    </row>
    <row r="664" spans="1:10" ht="15.75" customHeight="1" x14ac:dyDescent="0.2">
      <c r="A664"/>
      <c r="I664"/>
      <c r="J664" s="2"/>
    </row>
    <row r="665" spans="1:10" ht="15.75" customHeight="1" x14ac:dyDescent="0.2">
      <c r="A665"/>
      <c r="I665"/>
      <c r="J665" s="2"/>
    </row>
    <row r="666" spans="1:10" ht="15.75" customHeight="1" x14ac:dyDescent="0.2">
      <c r="A666"/>
      <c r="I666"/>
      <c r="J666" s="2"/>
    </row>
    <row r="667" spans="1:10" ht="15.75" customHeight="1" x14ac:dyDescent="0.2">
      <c r="A667"/>
      <c r="I667"/>
      <c r="J667" s="2"/>
    </row>
    <row r="668" spans="1:10" ht="15.75" customHeight="1" x14ac:dyDescent="0.2">
      <c r="A668"/>
      <c r="I668"/>
      <c r="J668" s="2"/>
    </row>
    <row r="669" spans="1:10" ht="15.75" customHeight="1" x14ac:dyDescent="0.2">
      <c r="A669"/>
      <c r="I669"/>
      <c r="J669" s="2"/>
    </row>
    <row r="670" spans="1:10" ht="15.75" customHeight="1" x14ac:dyDescent="0.2">
      <c r="A670"/>
      <c r="I670"/>
      <c r="J670" s="2"/>
    </row>
    <row r="671" spans="1:10" ht="15.75" customHeight="1" x14ac:dyDescent="0.2">
      <c r="A671"/>
      <c r="I671"/>
      <c r="J671" s="2"/>
    </row>
    <row r="672" spans="1:10" ht="15.75" customHeight="1" x14ac:dyDescent="0.2">
      <c r="A672"/>
      <c r="I672"/>
      <c r="J672" s="2"/>
    </row>
    <row r="673" spans="1:10" ht="15.75" customHeight="1" x14ac:dyDescent="0.2">
      <c r="A673"/>
      <c r="I673"/>
      <c r="J673" s="2"/>
    </row>
    <row r="674" spans="1:10" ht="15.75" customHeight="1" x14ac:dyDescent="0.2">
      <c r="A674"/>
      <c r="I674"/>
      <c r="J674" s="2"/>
    </row>
    <row r="675" spans="1:10" ht="15.75" customHeight="1" x14ac:dyDescent="0.2">
      <c r="A675"/>
      <c r="I675"/>
      <c r="J675" s="2"/>
    </row>
    <row r="676" spans="1:10" ht="15.75" customHeight="1" x14ac:dyDescent="0.2">
      <c r="A676"/>
      <c r="I676"/>
      <c r="J676" s="2"/>
    </row>
    <row r="677" spans="1:10" ht="15.75" customHeight="1" x14ac:dyDescent="0.2">
      <c r="A677"/>
      <c r="I677"/>
      <c r="J677" s="2"/>
    </row>
    <row r="678" spans="1:10" ht="15.75" customHeight="1" x14ac:dyDescent="0.2">
      <c r="A678"/>
      <c r="I678"/>
      <c r="J678" s="2"/>
    </row>
    <row r="679" spans="1:10" ht="15.75" customHeight="1" x14ac:dyDescent="0.2">
      <c r="A679"/>
      <c r="I679"/>
      <c r="J679" s="2"/>
    </row>
    <row r="680" spans="1:10" ht="15.75" customHeight="1" x14ac:dyDescent="0.2">
      <c r="A680"/>
      <c r="I680"/>
    </row>
    <row r="681" spans="1:10" ht="15.75" customHeight="1" x14ac:dyDescent="0.2">
      <c r="A681"/>
      <c r="I681"/>
    </row>
    <row r="682" spans="1:10" ht="15.75" customHeight="1" x14ac:dyDescent="0.2">
      <c r="A682"/>
      <c r="I682"/>
    </row>
    <row r="683" spans="1:10" ht="15.75" customHeight="1" x14ac:dyDescent="0.2">
      <c r="A683"/>
      <c r="I683"/>
    </row>
    <row r="684" spans="1:10" ht="15.75" customHeight="1" x14ac:dyDescent="0.2">
      <c r="A684"/>
      <c r="I684"/>
    </row>
    <row r="685" spans="1:10" ht="15.75" customHeight="1" x14ac:dyDescent="0.2">
      <c r="A685"/>
      <c r="I685"/>
    </row>
    <row r="686" spans="1:10" ht="15.75" customHeight="1" x14ac:dyDescent="0.2">
      <c r="A686"/>
      <c r="I686"/>
    </row>
    <row r="687" spans="1:10" ht="15.75" customHeight="1" x14ac:dyDescent="0.2">
      <c r="A687"/>
      <c r="I687"/>
    </row>
    <row r="688" spans="1:10" ht="15.75" customHeight="1" x14ac:dyDescent="0.2">
      <c r="A688"/>
      <c r="I688"/>
    </row>
    <row r="689" spans="1:9" ht="15.75" customHeight="1" x14ac:dyDescent="0.2">
      <c r="A689"/>
      <c r="I689"/>
    </row>
    <row r="690" spans="1:9" ht="15.75" customHeight="1" x14ac:dyDescent="0.2">
      <c r="A690"/>
      <c r="I690"/>
    </row>
    <row r="691" spans="1:9" ht="15.75" customHeight="1" x14ac:dyDescent="0.2">
      <c r="A691"/>
      <c r="I691"/>
    </row>
    <row r="692" spans="1:9" ht="15.75" customHeight="1" x14ac:dyDescent="0.2">
      <c r="A692"/>
      <c r="I692"/>
    </row>
    <row r="693" spans="1:9" ht="15.75" customHeight="1" x14ac:dyDescent="0.2">
      <c r="A693"/>
      <c r="I693"/>
    </row>
    <row r="694" spans="1:9" ht="15.75" customHeight="1" x14ac:dyDescent="0.2">
      <c r="A694"/>
      <c r="I694"/>
    </row>
    <row r="695" spans="1:9" ht="15.75" customHeight="1" x14ac:dyDescent="0.2">
      <c r="A695"/>
      <c r="I695"/>
    </row>
    <row r="696" spans="1:9" ht="15.75" customHeight="1" x14ac:dyDescent="0.2">
      <c r="A696"/>
      <c r="I696"/>
    </row>
    <row r="697" spans="1:9" ht="15.75" customHeight="1" x14ac:dyDescent="0.2">
      <c r="A697"/>
      <c r="I697"/>
    </row>
    <row r="698" spans="1:9" ht="15.75" customHeight="1" x14ac:dyDescent="0.2">
      <c r="A698"/>
      <c r="I698"/>
    </row>
    <row r="699" spans="1:9" ht="15.75" customHeight="1" x14ac:dyDescent="0.2">
      <c r="A699"/>
      <c r="I699"/>
    </row>
    <row r="700" spans="1:9" ht="15.75" customHeight="1" x14ac:dyDescent="0.2">
      <c r="A700"/>
      <c r="I700"/>
    </row>
    <row r="701" spans="1:9" ht="15.75" customHeight="1" x14ac:dyDescent="0.2">
      <c r="A701"/>
      <c r="I701"/>
    </row>
    <row r="702" spans="1:9" ht="15.75" customHeight="1" x14ac:dyDescent="0.2">
      <c r="A702"/>
      <c r="I702"/>
    </row>
    <row r="703" spans="1:9" ht="15.75" customHeight="1" x14ac:dyDescent="0.2">
      <c r="A703"/>
      <c r="I703"/>
    </row>
    <row r="704" spans="1:9" ht="15.75" customHeight="1" x14ac:dyDescent="0.2">
      <c r="A704"/>
      <c r="I704"/>
    </row>
    <row r="705" spans="1:9" ht="15.75" customHeight="1" x14ac:dyDescent="0.2">
      <c r="A705"/>
      <c r="I705"/>
    </row>
    <row r="706" spans="1:9" ht="15.75" customHeight="1" x14ac:dyDescent="0.2">
      <c r="A706"/>
      <c r="I706"/>
    </row>
    <row r="707" spans="1:9" ht="15.75" customHeight="1" x14ac:dyDescent="0.2">
      <c r="A707"/>
      <c r="I707"/>
    </row>
    <row r="708" spans="1:9" ht="15.75" customHeight="1" x14ac:dyDescent="0.2">
      <c r="A708"/>
      <c r="I708"/>
    </row>
    <row r="709" spans="1:9" ht="15.75" customHeight="1" x14ac:dyDescent="0.2">
      <c r="A709"/>
      <c r="I709"/>
    </row>
  </sheetData>
  <mergeCells count="2">
    <mergeCell ref="A5:I5"/>
    <mergeCell ref="A6:I6"/>
  </mergeCells>
  <pageMargins left="0.48" right="0.15748031496062992" top="0.15748031496062992" bottom="0.15748031496062992" header="0.15748031496062992" footer="0.15748031496062992"/>
  <pageSetup paperSize="9" scale="75" orientation="portrait" r:id="rId1"/>
  <headerFooter alignWithMargins="0"/>
  <rowBreaks count="1" manualBreakCount="1">
    <brk id="71" min="1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31"/>
  <sheetViews>
    <sheetView zoomScaleNormal="100" workbookViewId="0">
      <selection activeCell="F10" sqref="F10"/>
    </sheetView>
  </sheetViews>
  <sheetFormatPr defaultColWidth="0" defaultRowHeight="12.75" x14ac:dyDescent="0.2"/>
  <cols>
    <col min="1" max="1" width="67.85546875" customWidth="1"/>
    <col min="2" max="2" width="8.5703125" customWidth="1"/>
    <col min="3" max="3" width="13.85546875" customWidth="1"/>
    <col min="4" max="4" width="9.5703125" hidden="1" customWidth="1"/>
    <col min="5" max="5" width="14.42578125" customWidth="1"/>
    <col min="6" max="6" width="6.7109375" customWidth="1"/>
    <col min="7" max="7" width="14.140625" customWidth="1"/>
    <col min="8" max="8" width="14.140625" hidden="1" customWidth="1"/>
    <col min="9" max="18" width="14.140625" customWidth="1"/>
    <col min="19" max="228" width="9.140625" customWidth="1"/>
  </cols>
  <sheetData>
    <row r="1" spans="1:10" ht="15.75" customHeight="1" x14ac:dyDescent="0.2">
      <c r="A1" s="15"/>
      <c r="G1" s="53" t="s">
        <v>440</v>
      </c>
      <c r="I1" s="2"/>
    </row>
    <row r="2" spans="1:10" ht="15.75" customHeight="1" x14ac:dyDescent="0.2">
      <c r="A2" s="15"/>
      <c r="G2" s="55" t="str">
        <f>'1.Bev-kiad.'!H2</f>
        <v>az 1/2026.(II.26.) önkormányzati rendelethez</v>
      </c>
      <c r="I2" s="2"/>
    </row>
    <row r="3" spans="1:10" ht="15.75" customHeight="1" x14ac:dyDescent="0.2">
      <c r="A3" s="15"/>
      <c r="C3" s="55"/>
      <c r="D3" s="55"/>
      <c r="G3" s="55" t="s">
        <v>671</v>
      </c>
      <c r="I3" s="2"/>
    </row>
    <row r="4" spans="1:10" ht="15.75" customHeight="1" x14ac:dyDescent="0.2">
      <c r="A4" s="15"/>
      <c r="B4" s="55"/>
      <c r="E4" s="55"/>
      <c r="F4" s="55"/>
      <c r="I4" s="2"/>
    </row>
    <row r="5" spans="1:10" ht="19.5" x14ac:dyDescent="0.2">
      <c r="A5" s="523" t="s">
        <v>403</v>
      </c>
      <c r="B5" s="524"/>
      <c r="C5" s="524"/>
      <c r="D5" s="524"/>
      <c r="E5" s="524"/>
      <c r="F5" s="524"/>
      <c r="G5" s="524"/>
      <c r="H5" s="524"/>
      <c r="I5" s="2"/>
    </row>
    <row r="6" spans="1:10" ht="19.5" x14ac:dyDescent="0.35">
      <c r="A6" s="525" t="s">
        <v>613</v>
      </c>
      <c r="B6" s="525"/>
      <c r="C6" s="525"/>
      <c r="D6" s="525"/>
      <c r="E6" s="525"/>
      <c r="F6" s="525"/>
      <c r="G6" s="525"/>
      <c r="H6" s="526"/>
      <c r="I6" s="2"/>
    </row>
    <row r="7" spans="1:10" x14ac:dyDescent="0.2">
      <c r="A7" s="51"/>
      <c r="B7" s="51"/>
      <c r="C7" s="51"/>
      <c r="D7" s="51"/>
      <c r="G7" s="51"/>
      <c r="H7" s="52"/>
      <c r="I7" s="2"/>
    </row>
    <row r="8" spans="1:10" ht="13.5" thickBot="1" x14ac:dyDescent="0.25">
      <c r="A8" s="51"/>
      <c r="G8" s="183" t="s">
        <v>0</v>
      </c>
    </row>
    <row r="9" spans="1:10" s="4" customFormat="1" ht="54.75" customHeight="1" thickBot="1" x14ac:dyDescent="0.3">
      <c r="A9" s="48" t="s">
        <v>15</v>
      </c>
      <c r="B9" s="517" t="str">
        <f>'1.Bev-kiad.'!C8</f>
        <v>Teljesítés 2024.12.31.</v>
      </c>
      <c r="C9" s="223" t="str">
        <f>'1.Bev-kiad.'!D8</f>
        <v>2025. évi eredeti előirányzat</v>
      </c>
      <c r="D9" s="470" t="s">
        <v>675</v>
      </c>
      <c r="E9" s="223" t="str">
        <f>'1.Bev-kiad.'!F8</f>
        <v>Módosított előirányzat 2025.10.havi</v>
      </c>
      <c r="F9" s="470" t="s">
        <v>922</v>
      </c>
      <c r="G9" s="223" t="str">
        <f>'1.Bev-kiad.'!H8</f>
        <v>Módosított előirányzat 2025.12.31.</v>
      </c>
      <c r="H9" s="220" t="str">
        <f>'3.felh'!I8</f>
        <v>Teljesítés 2025.12.31.</v>
      </c>
      <c r="I9" s="228"/>
    </row>
    <row r="10" spans="1:10" s="4" customFormat="1" ht="18" customHeight="1" thickBot="1" x14ac:dyDescent="0.3">
      <c r="A10" s="26" t="s">
        <v>587</v>
      </c>
      <c r="B10" s="406">
        <f>SUM(B11+B25)</f>
        <v>7726</v>
      </c>
      <c r="C10" s="224">
        <f>SUM(C11+C25)</f>
        <v>7915</v>
      </c>
      <c r="D10" s="224">
        <f>E10-C10</f>
        <v>371</v>
      </c>
      <c r="E10" s="224">
        <f>SUM(E11+E25)</f>
        <v>8286</v>
      </c>
      <c r="F10" s="224">
        <f>G10-E10</f>
        <v>0</v>
      </c>
      <c r="G10" s="224">
        <f>SUM(G11+G25)</f>
        <v>8286</v>
      </c>
      <c r="H10" s="224">
        <f>SUM(H11+H25)</f>
        <v>8285</v>
      </c>
      <c r="I10" s="7"/>
    </row>
    <row r="11" spans="1:10" s="4" customFormat="1" ht="14.25" customHeight="1" x14ac:dyDescent="0.25">
      <c r="A11" s="17" t="s">
        <v>308</v>
      </c>
      <c r="B11" s="407">
        <f>SUM(B12+B23)</f>
        <v>2057</v>
      </c>
      <c r="C11" s="50">
        <f>SUM(C12+C23)</f>
        <v>1774</v>
      </c>
      <c r="D11" s="469">
        <f t="shared" ref="D11:F45" si="0">E11-C11</f>
        <v>371</v>
      </c>
      <c r="E11" s="50">
        <f>SUM(E12+E23)</f>
        <v>2145</v>
      </c>
      <c r="F11" s="469">
        <f t="shared" si="0"/>
        <v>0</v>
      </c>
      <c r="G11" s="50">
        <f>SUM(G12+G23)</f>
        <v>2145</v>
      </c>
      <c r="H11" s="50">
        <f>SUM(H12+H23)</f>
        <v>2145</v>
      </c>
      <c r="I11" s="7"/>
    </row>
    <row r="12" spans="1:10" s="4" customFormat="1" ht="14.25" customHeight="1" x14ac:dyDescent="0.25">
      <c r="A12" s="16" t="s">
        <v>16</v>
      </c>
      <c r="B12" s="530">
        <v>2057</v>
      </c>
      <c r="C12" s="527">
        <v>1774</v>
      </c>
      <c r="D12" s="533">
        <f t="shared" si="0"/>
        <v>371</v>
      </c>
      <c r="E12" s="527">
        <f>1774+371</f>
        <v>2145</v>
      </c>
      <c r="F12" s="533">
        <f t="shared" si="0"/>
        <v>0</v>
      </c>
      <c r="G12" s="527">
        <f>1774+371</f>
        <v>2145</v>
      </c>
      <c r="H12" s="527">
        <v>2145</v>
      </c>
      <c r="I12" s="7"/>
    </row>
    <row r="13" spans="1:10" s="4" customFormat="1" ht="14.25" customHeight="1" x14ac:dyDescent="0.25">
      <c r="A13" s="16" t="s">
        <v>17</v>
      </c>
      <c r="B13" s="531"/>
      <c r="C13" s="528"/>
      <c r="D13" s="534">
        <f t="shared" si="0"/>
        <v>0</v>
      </c>
      <c r="E13" s="528"/>
      <c r="F13" s="534">
        <f t="shared" si="0"/>
        <v>0</v>
      </c>
      <c r="G13" s="528"/>
      <c r="H13" s="528"/>
      <c r="I13" s="7"/>
    </row>
    <row r="14" spans="1:10" s="4" customFormat="1" ht="14.25" hidden="1" customHeight="1" x14ac:dyDescent="0.25">
      <c r="A14" s="21" t="s">
        <v>18</v>
      </c>
      <c r="B14" s="531"/>
      <c r="C14" s="528"/>
      <c r="D14" s="534">
        <f t="shared" si="0"/>
        <v>0</v>
      </c>
      <c r="E14" s="528"/>
      <c r="F14" s="534">
        <f t="shared" si="0"/>
        <v>0</v>
      </c>
      <c r="G14" s="528"/>
      <c r="H14" s="528"/>
      <c r="I14" s="7"/>
    </row>
    <row r="15" spans="1:10" s="4" customFormat="1" ht="14.25" hidden="1" customHeight="1" x14ac:dyDescent="0.25">
      <c r="A15" s="16" t="s">
        <v>19</v>
      </c>
      <c r="B15" s="531"/>
      <c r="C15" s="528"/>
      <c r="D15" s="534">
        <f t="shared" si="0"/>
        <v>0</v>
      </c>
      <c r="E15" s="528"/>
      <c r="F15" s="534">
        <f t="shared" si="0"/>
        <v>0</v>
      </c>
      <c r="G15" s="528"/>
      <c r="H15" s="528"/>
      <c r="I15" s="7"/>
    </row>
    <row r="16" spans="1:10" s="4" customFormat="1" ht="14.25" customHeight="1" x14ac:dyDescent="0.25">
      <c r="A16" s="16" t="s">
        <v>362</v>
      </c>
      <c r="B16" s="531"/>
      <c r="C16" s="528"/>
      <c r="D16" s="534">
        <f t="shared" si="0"/>
        <v>0</v>
      </c>
      <c r="E16" s="528"/>
      <c r="F16" s="534">
        <f t="shared" si="0"/>
        <v>0</v>
      </c>
      <c r="G16" s="528"/>
      <c r="H16" s="528"/>
      <c r="I16" s="7"/>
      <c r="J16"/>
    </row>
    <row r="17" spans="1:10" s="4" customFormat="1" ht="14.25" customHeight="1" x14ac:dyDescent="0.25">
      <c r="A17" s="16" t="s">
        <v>76</v>
      </c>
      <c r="B17" s="531"/>
      <c r="C17" s="528"/>
      <c r="D17" s="534">
        <f t="shared" si="0"/>
        <v>0</v>
      </c>
      <c r="E17" s="528"/>
      <c r="F17" s="534">
        <f t="shared" si="0"/>
        <v>0</v>
      </c>
      <c r="G17" s="528"/>
      <c r="H17" s="528"/>
      <c r="I17" s="7"/>
      <c r="J17"/>
    </row>
    <row r="18" spans="1:10" s="4" customFormat="1" ht="14.25" customHeight="1" x14ac:dyDescent="0.25">
      <c r="A18" s="16" t="s">
        <v>20</v>
      </c>
      <c r="B18" s="531"/>
      <c r="C18" s="528"/>
      <c r="D18" s="534">
        <f t="shared" si="0"/>
        <v>0</v>
      </c>
      <c r="E18" s="528"/>
      <c r="F18" s="534">
        <f t="shared" si="0"/>
        <v>0</v>
      </c>
      <c r="G18" s="528"/>
      <c r="H18" s="528"/>
      <c r="I18" s="7"/>
      <c r="J18"/>
    </row>
    <row r="19" spans="1:10" s="4" customFormat="1" ht="14.25" hidden="1" customHeight="1" x14ac:dyDescent="0.25">
      <c r="A19" s="16" t="s">
        <v>21</v>
      </c>
      <c r="B19" s="531"/>
      <c r="C19" s="528"/>
      <c r="D19" s="534">
        <f t="shared" si="0"/>
        <v>0</v>
      </c>
      <c r="E19" s="528"/>
      <c r="F19" s="534">
        <f t="shared" si="0"/>
        <v>0</v>
      </c>
      <c r="G19" s="528"/>
      <c r="H19" s="528"/>
      <c r="I19" s="7"/>
      <c r="J19"/>
    </row>
    <row r="20" spans="1:10" s="4" customFormat="1" ht="14.25" customHeight="1" x14ac:dyDescent="0.25">
      <c r="A20" s="10" t="s">
        <v>22</v>
      </c>
      <c r="B20" s="531"/>
      <c r="C20" s="528"/>
      <c r="D20" s="534">
        <f t="shared" si="0"/>
        <v>0</v>
      </c>
      <c r="E20" s="528"/>
      <c r="F20" s="534">
        <f t="shared" si="0"/>
        <v>0</v>
      </c>
      <c r="G20" s="528"/>
      <c r="H20" s="528"/>
      <c r="I20" s="7"/>
      <c r="J20"/>
    </row>
    <row r="21" spans="1:10" s="4" customFormat="1" ht="14.25" customHeight="1" x14ac:dyDescent="0.25">
      <c r="A21" s="16" t="s">
        <v>23</v>
      </c>
      <c r="B21" s="531"/>
      <c r="C21" s="528"/>
      <c r="D21" s="534">
        <f t="shared" si="0"/>
        <v>0</v>
      </c>
      <c r="E21" s="528"/>
      <c r="F21" s="534">
        <f t="shared" si="0"/>
        <v>0</v>
      </c>
      <c r="G21" s="528"/>
      <c r="H21" s="528"/>
      <c r="I21" s="7"/>
      <c r="J21"/>
    </row>
    <row r="22" spans="1:10" s="4" customFormat="1" ht="14.25" customHeight="1" x14ac:dyDescent="0.25">
      <c r="A22" s="16" t="s">
        <v>24</v>
      </c>
      <c r="B22" s="532"/>
      <c r="C22" s="529"/>
      <c r="D22" s="535">
        <f t="shared" si="0"/>
        <v>0</v>
      </c>
      <c r="E22" s="529"/>
      <c r="F22" s="535">
        <f t="shared" si="0"/>
        <v>0</v>
      </c>
      <c r="G22" s="529"/>
      <c r="H22" s="529"/>
      <c r="I22" s="7"/>
      <c r="J22" s="9"/>
    </row>
    <row r="23" spans="1:10" s="4" customFormat="1" ht="14.25" hidden="1" customHeight="1" x14ac:dyDescent="0.25">
      <c r="A23" s="16" t="s">
        <v>530</v>
      </c>
      <c r="B23" s="409">
        <v>0</v>
      </c>
      <c r="C23" s="339">
        <v>0</v>
      </c>
      <c r="D23" s="468">
        <f t="shared" si="0"/>
        <v>0</v>
      </c>
      <c r="E23" s="339">
        <v>0</v>
      </c>
      <c r="F23" s="468">
        <f t="shared" si="0"/>
        <v>0</v>
      </c>
      <c r="G23" s="339">
        <v>0</v>
      </c>
      <c r="H23" s="339">
        <v>0</v>
      </c>
      <c r="I23" s="7"/>
      <c r="J23" s="9"/>
    </row>
    <row r="24" spans="1:10" s="4" customFormat="1" ht="14.25" hidden="1" customHeight="1" x14ac:dyDescent="0.25">
      <c r="A24" s="193"/>
      <c r="B24" s="408"/>
      <c r="C24" s="272"/>
      <c r="D24" s="471">
        <f t="shared" si="0"/>
        <v>0</v>
      </c>
      <c r="E24" s="272"/>
      <c r="F24" s="471">
        <f t="shared" si="0"/>
        <v>0</v>
      </c>
      <c r="G24" s="272"/>
      <c r="H24" s="272"/>
      <c r="I24" s="7"/>
      <c r="J24" s="9"/>
    </row>
    <row r="25" spans="1:10" s="4" customFormat="1" ht="14.25" customHeight="1" x14ac:dyDescent="0.25">
      <c r="A25" s="18" t="s">
        <v>329</v>
      </c>
      <c r="B25" s="410">
        <f>SUM(B26:B29)</f>
        <v>5669</v>
      </c>
      <c r="C25" s="273">
        <f>SUM(C26:C29)</f>
        <v>6141</v>
      </c>
      <c r="D25" s="472">
        <f t="shared" si="0"/>
        <v>0</v>
      </c>
      <c r="E25" s="273">
        <f>SUM(E26:E29)</f>
        <v>6141</v>
      </c>
      <c r="F25" s="472">
        <f t="shared" si="0"/>
        <v>0</v>
      </c>
      <c r="G25" s="273">
        <f>SUM(G26:G29)</f>
        <v>6141</v>
      </c>
      <c r="H25" s="273">
        <f>SUM(H26:H29)</f>
        <v>6140</v>
      </c>
      <c r="I25" s="7"/>
      <c r="J25" s="9"/>
    </row>
    <row r="26" spans="1:10" s="4" customFormat="1" ht="14.25" customHeight="1" x14ac:dyDescent="0.25">
      <c r="A26" s="193" t="s">
        <v>507</v>
      </c>
      <c r="B26" s="408">
        <v>0</v>
      </c>
      <c r="C26" s="274">
        <v>0</v>
      </c>
      <c r="D26" s="467">
        <f t="shared" si="0"/>
        <v>0</v>
      </c>
      <c r="E26" s="274">
        <v>0</v>
      </c>
      <c r="F26" s="467">
        <f t="shared" si="0"/>
        <v>0</v>
      </c>
      <c r="G26" s="274">
        <v>0</v>
      </c>
      <c r="H26" s="274">
        <v>0</v>
      </c>
      <c r="I26" s="7"/>
      <c r="J26" s="9"/>
    </row>
    <row r="27" spans="1:10" s="4" customFormat="1" ht="25.5" customHeight="1" x14ac:dyDescent="0.25">
      <c r="A27" s="196" t="s">
        <v>647</v>
      </c>
      <c r="B27" s="408">
        <v>169</v>
      </c>
      <c r="C27" s="274">
        <v>141</v>
      </c>
      <c r="D27" s="467">
        <f t="shared" si="0"/>
        <v>0</v>
      </c>
      <c r="E27" s="274">
        <v>141</v>
      </c>
      <c r="F27" s="467">
        <f t="shared" si="0"/>
        <v>0</v>
      </c>
      <c r="G27" s="274">
        <v>141</v>
      </c>
      <c r="H27" s="274">
        <v>140</v>
      </c>
      <c r="I27" s="7"/>
      <c r="J27" s="9"/>
    </row>
    <row r="28" spans="1:10" s="4" customFormat="1" ht="14.25" customHeight="1" thickBot="1" x14ac:dyDescent="0.3">
      <c r="A28" s="193" t="s">
        <v>648</v>
      </c>
      <c r="B28" s="408">
        <v>5500</v>
      </c>
      <c r="C28" s="274">
        <v>6000</v>
      </c>
      <c r="D28" s="467">
        <f t="shared" si="0"/>
        <v>0</v>
      </c>
      <c r="E28" s="274">
        <v>6000</v>
      </c>
      <c r="F28" s="467">
        <f t="shared" si="0"/>
        <v>0</v>
      </c>
      <c r="G28" s="274">
        <v>6000</v>
      </c>
      <c r="H28" s="274">
        <v>6000</v>
      </c>
      <c r="I28" s="7"/>
      <c r="J28" s="9"/>
    </row>
    <row r="29" spans="1:10" s="4" customFormat="1" ht="14.25" hidden="1" customHeight="1" thickBot="1" x14ac:dyDescent="0.3">
      <c r="A29" s="193"/>
      <c r="B29" s="408">
        <v>0</v>
      </c>
      <c r="C29" s="274">
        <v>0</v>
      </c>
      <c r="D29" s="467">
        <f t="shared" si="0"/>
        <v>0</v>
      </c>
      <c r="E29" s="274">
        <v>0</v>
      </c>
      <c r="F29" s="467">
        <f t="shared" si="0"/>
        <v>0</v>
      </c>
      <c r="G29" s="274">
        <v>0</v>
      </c>
      <c r="H29" s="274">
        <v>0</v>
      </c>
      <c r="I29" s="7"/>
      <c r="J29" s="9"/>
    </row>
    <row r="30" spans="1:10" s="4" customFormat="1" ht="18.75" customHeight="1" thickBot="1" x14ac:dyDescent="0.3">
      <c r="A30" s="26" t="s">
        <v>588</v>
      </c>
      <c r="B30" s="411">
        <f>SUM(B31:B33)</f>
        <v>2158</v>
      </c>
      <c r="C30" s="225">
        <f>SUM(C31:C33)</f>
        <v>1600</v>
      </c>
      <c r="D30" s="225">
        <f t="shared" si="0"/>
        <v>-116</v>
      </c>
      <c r="E30" s="225">
        <f>SUM(E31:E33)</f>
        <v>1484</v>
      </c>
      <c r="F30" s="225">
        <f t="shared" si="0"/>
        <v>0</v>
      </c>
      <c r="G30" s="225">
        <f>SUM(G31:G33)</f>
        <v>1484</v>
      </c>
      <c r="H30" s="225">
        <f>SUM(H31:H33)</f>
        <v>1484</v>
      </c>
      <c r="I30" s="7"/>
      <c r="J30" s="9"/>
    </row>
    <row r="31" spans="1:10" s="4" customFormat="1" ht="14.25" customHeight="1" x14ac:dyDescent="0.25">
      <c r="A31" s="18" t="s">
        <v>360</v>
      </c>
      <c r="B31" s="412">
        <v>0</v>
      </c>
      <c r="C31" s="5">
        <v>0</v>
      </c>
      <c r="D31" s="179">
        <f t="shared" si="0"/>
        <v>0</v>
      </c>
      <c r="E31" s="5">
        <v>0</v>
      </c>
      <c r="F31" s="179">
        <f t="shared" si="0"/>
        <v>0</v>
      </c>
      <c r="G31" s="5">
        <v>0</v>
      </c>
      <c r="H31" s="5">
        <v>0</v>
      </c>
      <c r="I31" s="7"/>
      <c r="J31" s="9"/>
    </row>
    <row r="32" spans="1:10" s="4" customFormat="1" ht="14.25" customHeight="1" x14ac:dyDescent="0.25">
      <c r="A32" s="18" t="s">
        <v>654</v>
      </c>
      <c r="B32" s="412">
        <v>300</v>
      </c>
      <c r="C32" s="5">
        <v>0</v>
      </c>
      <c r="D32" s="179">
        <f t="shared" si="0"/>
        <v>0</v>
      </c>
      <c r="E32" s="5">
        <v>0</v>
      </c>
      <c r="F32" s="179">
        <f t="shared" si="0"/>
        <v>0</v>
      </c>
      <c r="G32" s="5">
        <v>0</v>
      </c>
      <c r="H32" s="5">
        <v>0</v>
      </c>
      <c r="I32" s="7"/>
      <c r="J32" s="9"/>
    </row>
    <row r="33" spans="1:10" ht="13.5" x14ac:dyDescent="0.25">
      <c r="A33" s="8" t="s">
        <v>423</v>
      </c>
      <c r="B33" s="412">
        <f>SUM(B34)+B35</f>
        <v>1858</v>
      </c>
      <c r="C33" s="5">
        <f>SUM(C34)+C35</f>
        <v>1600</v>
      </c>
      <c r="D33" s="179">
        <f t="shared" si="0"/>
        <v>-116</v>
      </c>
      <c r="E33" s="5">
        <f>SUM(E34)+E35</f>
        <v>1484</v>
      </c>
      <c r="F33" s="179">
        <f t="shared" si="0"/>
        <v>0</v>
      </c>
      <c r="G33" s="5">
        <f>SUM(G34)+G35</f>
        <v>1484</v>
      </c>
      <c r="H33" s="5">
        <f>SUM(H34)+H35</f>
        <v>1484</v>
      </c>
      <c r="I33" s="7"/>
      <c r="J33" s="9"/>
    </row>
    <row r="34" spans="1:10" ht="13.5" customHeight="1" x14ac:dyDescent="0.2">
      <c r="A34" s="19" t="s">
        <v>431</v>
      </c>
      <c r="B34" s="413">
        <v>635</v>
      </c>
      <c r="C34" s="12">
        <v>0</v>
      </c>
      <c r="D34" s="456">
        <f t="shared" si="0"/>
        <v>0</v>
      </c>
      <c r="E34" s="12">
        <v>0</v>
      </c>
      <c r="F34" s="456">
        <f t="shared" si="0"/>
        <v>0</v>
      </c>
      <c r="G34" s="12">
        <v>0</v>
      </c>
      <c r="H34" s="12">
        <v>0</v>
      </c>
      <c r="I34" s="7"/>
      <c r="J34" s="9"/>
    </row>
    <row r="35" spans="1:10" ht="12.75" customHeight="1" thickBot="1" x14ac:dyDescent="0.25">
      <c r="A35" s="19" t="s">
        <v>646</v>
      </c>
      <c r="B35" s="413">
        <v>1223</v>
      </c>
      <c r="C35" s="12">
        <v>1600</v>
      </c>
      <c r="D35" s="456">
        <f t="shared" si="0"/>
        <v>-116</v>
      </c>
      <c r="E35" s="12">
        <f>1600-116</f>
        <v>1484</v>
      </c>
      <c r="F35" s="456">
        <f t="shared" si="0"/>
        <v>0</v>
      </c>
      <c r="G35" s="12">
        <f>1600-116</f>
        <v>1484</v>
      </c>
      <c r="H35" s="12">
        <v>1484</v>
      </c>
      <c r="I35" s="7"/>
      <c r="J35" s="9"/>
    </row>
    <row r="36" spans="1:10" ht="12.75" hidden="1" customHeight="1" x14ac:dyDescent="0.2">
      <c r="A36" s="8"/>
      <c r="B36" s="413"/>
      <c r="C36" s="12"/>
      <c r="D36" s="456">
        <f t="shared" si="0"/>
        <v>0</v>
      </c>
      <c r="E36" s="12"/>
      <c r="F36" s="456">
        <f t="shared" si="0"/>
        <v>0</v>
      </c>
      <c r="G36" s="12"/>
      <c r="H36" s="12"/>
      <c r="I36" s="7"/>
      <c r="J36" s="9"/>
    </row>
    <row r="37" spans="1:10" ht="12.75" hidden="1" customHeight="1" x14ac:dyDescent="0.2">
      <c r="A37" s="8"/>
      <c r="B37" s="413"/>
      <c r="C37" s="12"/>
      <c r="D37" s="456">
        <f t="shared" si="0"/>
        <v>0</v>
      </c>
      <c r="E37" s="12"/>
      <c r="F37" s="456">
        <f t="shared" si="0"/>
        <v>0</v>
      </c>
      <c r="G37" s="12"/>
      <c r="H37" s="12"/>
      <c r="I37" s="7"/>
      <c r="J37" s="9"/>
    </row>
    <row r="38" spans="1:10" ht="12.75" hidden="1" customHeight="1" x14ac:dyDescent="0.2">
      <c r="A38" s="8"/>
      <c r="B38" s="413"/>
      <c r="C38" s="12"/>
      <c r="D38" s="456">
        <f t="shared" si="0"/>
        <v>0</v>
      </c>
      <c r="E38" s="12"/>
      <c r="F38" s="456">
        <f t="shared" si="0"/>
        <v>0</v>
      </c>
      <c r="G38" s="12"/>
      <c r="H38" s="12"/>
      <c r="I38" s="7"/>
      <c r="J38" s="9"/>
    </row>
    <row r="39" spans="1:10" ht="13.5" hidden="1" customHeight="1" thickBot="1" x14ac:dyDescent="0.25">
      <c r="A39" s="8"/>
      <c r="B39" s="413"/>
      <c r="C39" s="12"/>
      <c r="D39" s="456">
        <f t="shared" si="0"/>
        <v>0</v>
      </c>
      <c r="E39" s="12"/>
      <c r="F39" s="456">
        <f t="shared" si="0"/>
        <v>0</v>
      </c>
      <c r="G39" s="12"/>
      <c r="H39" s="12"/>
      <c r="I39" s="7"/>
      <c r="J39" s="9"/>
    </row>
    <row r="40" spans="1:10" ht="19.5" hidden="1" customHeight="1" thickBot="1" x14ac:dyDescent="0.25">
      <c r="A40" s="226"/>
      <c r="B40" s="414"/>
      <c r="C40" s="340"/>
      <c r="D40" s="340">
        <f t="shared" si="0"/>
        <v>0</v>
      </c>
      <c r="E40" s="340"/>
      <c r="F40" s="340">
        <f t="shared" si="0"/>
        <v>0</v>
      </c>
      <c r="G40" s="340"/>
      <c r="H40" s="340"/>
      <c r="I40" s="7"/>
      <c r="J40" s="35"/>
    </row>
    <row r="41" spans="1:10" ht="12.75" hidden="1" customHeight="1" x14ac:dyDescent="0.2">
      <c r="A41" s="19"/>
      <c r="B41" s="413"/>
      <c r="C41" s="12"/>
      <c r="D41" s="456">
        <f t="shared" si="0"/>
        <v>0</v>
      </c>
      <c r="E41" s="12"/>
      <c r="F41" s="456">
        <f t="shared" si="0"/>
        <v>0</v>
      </c>
      <c r="G41" s="12"/>
      <c r="H41" s="12"/>
      <c r="I41" s="7"/>
      <c r="J41" s="390"/>
    </row>
    <row r="42" spans="1:10" ht="12.75" hidden="1" customHeight="1" thickBot="1" x14ac:dyDescent="0.25">
      <c r="A42" s="19"/>
      <c r="B42" s="413"/>
      <c r="C42" s="12"/>
      <c r="D42" s="456">
        <f t="shared" si="0"/>
        <v>0</v>
      </c>
      <c r="E42" s="12"/>
      <c r="F42" s="456">
        <f t="shared" si="0"/>
        <v>0</v>
      </c>
      <c r="G42" s="12"/>
      <c r="H42" s="12"/>
      <c r="I42" s="7"/>
      <c r="J42" s="35"/>
    </row>
    <row r="43" spans="1:10" ht="12.75" hidden="1" customHeight="1" x14ac:dyDescent="0.2">
      <c r="A43" s="19"/>
      <c r="B43" s="413"/>
      <c r="C43" s="12"/>
      <c r="D43" s="456">
        <f t="shared" si="0"/>
        <v>0</v>
      </c>
      <c r="E43" s="12"/>
      <c r="F43" s="456">
        <f t="shared" si="0"/>
        <v>0</v>
      </c>
      <c r="G43" s="12"/>
      <c r="H43" s="12"/>
      <c r="I43" s="7"/>
      <c r="J43" s="35"/>
    </row>
    <row r="44" spans="1:10" ht="13.5" hidden="1" customHeight="1" thickBot="1" x14ac:dyDescent="0.25">
      <c r="A44" s="19"/>
      <c r="B44" s="415"/>
      <c r="C44" s="31"/>
      <c r="D44" s="465">
        <f t="shared" si="0"/>
        <v>0</v>
      </c>
      <c r="E44" s="31"/>
      <c r="F44" s="465">
        <f t="shared" si="0"/>
        <v>0</v>
      </c>
      <c r="G44" s="31"/>
      <c r="H44" s="31"/>
      <c r="I44" s="7"/>
      <c r="J44" s="9"/>
    </row>
    <row r="45" spans="1:10" ht="18.75" customHeight="1" thickBot="1" x14ac:dyDescent="0.3">
      <c r="A45" s="39" t="s">
        <v>592</v>
      </c>
      <c r="B45" s="411">
        <f>SUM(B10+B30+B40)</f>
        <v>9884</v>
      </c>
      <c r="C45" s="225">
        <f>SUM(C10+C30+C40)</f>
        <v>9515</v>
      </c>
      <c r="D45" s="225">
        <f t="shared" si="0"/>
        <v>255</v>
      </c>
      <c r="E45" s="225">
        <f>SUM(E10+E30+E40)</f>
        <v>9770</v>
      </c>
      <c r="F45" s="225">
        <f t="shared" si="0"/>
        <v>0</v>
      </c>
      <c r="G45" s="225">
        <f>SUM(G10+G30+G40)</f>
        <v>9770</v>
      </c>
      <c r="H45" s="225">
        <f>SUM(H10+H30+H40)</f>
        <v>9769</v>
      </c>
      <c r="I45" s="7"/>
      <c r="J45" s="9"/>
    </row>
    <row r="46" spans="1:10" x14ac:dyDescent="0.2">
      <c r="A46" s="1"/>
      <c r="B46" s="416"/>
      <c r="C46" s="1"/>
      <c r="D46" s="1"/>
      <c r="E46" s="1"/>
      <c r="F46" s="1"/>
      <c r="G46" s="1"/>
      <c r="H46" s="1"/>
      <c r="I46" s="7"/>
      <c r="J46" s="9"/>
    </row>
    <row r="47" spans="1:10" x14ac:dyDescent="0.2">
      <c r="A47" s="1"/>
      <c r="B47" s="416"/>
      <c r="C47" s="1"/>
      <c r="D47" s="1"/>
      <c r="E47" s="1"/>
      <c r="F47" s="1"/>
      <c r="G47" s="1"/>
      <c r="H47" s="1"/>
      <c r="I47" s="7"/>
      <c r="J47" s="9"/>
    </row>
    <row r="48" spans="1:10" ht="15.75" x14ac:dyDescent="0.25">
      <c r="A48" s="181" t="s">
        <v>78</v>
      </c>
      <c r="B48" s="417">
        <v>0</v>
      </c>
      <c r="C48" s="336">
        <v>0</v>
      </c>
      <c r="D48" s="336">
        <v>0</v>
      </c>
      <c r="E48" s="336">
        <v>0</v>
      </c>
      <c r="F48" s="336">
        <v>0</v>
      </c>
      <c r="G48" s="336">
        <v>0</v>
      </c>
      <c r="H48" s="336">
        <v>0</v>
      </c>
      <c r="I48" s="7"/>
    </row>
    <row r="49" spans="1:9" x14ac:dyDescent="0.2">
      <c r="A49" s="62" t="s">
        <v>79</v>
      </c>
      <c r="B49" s="418"/>
      <c r="C49" s="60"/>
      <c r="D49" s="473"/>
      <c r="E49" s="60"/>
      <c r="F49" s="473"/>
      <c r="G49" s="60"/>
      <c r="H49" s="60"/>
      <c r="I49" s="7"/>
    </row>
    <row r="50" spans="1:9" x14ac:dyDescent="0.2">
      <c r="A50" s="62" t="s">
        <v>80</v>
      </c>
      <c r="B50" s="418"/>
      <c r="C50" s="60"/>
      <c r="D50" s="473"/>
      <c r="E50" s="60"/>
      <c r="F50" s="473"/>
      <c r="G50" s="60"/>
      <c r="H50" s="60"/>
      <c r="I50" s="7"/>
    </row>
    <row r="51" spans="1:9" x14ac:dyDescent="0.2">
      <c r="A51" s="62" t="s">
        <v>456</v>
      </c>
      <c r="B51" s="32">
        <f>B52+B53+B54+B55+B56</f>
        <v>0</v>
      </c>
      <c r="C51" s="58">
        <f>C52+C53+C54+C55+C56</f>
        <v>0</v>
      </c>
      <c r="D51" s="474">
        <v>0</v>
      </c>
      <c r="E51" s="58">
        <f>E52+E53+E54+E55+E56</f>
        <v>0</v>
      </c>
      <c r="F51" s="474">
        <v>0</v>
      </c>
      <c r="G51" s="58">
        <f>G52+G53+G54+G55+G56</f>
        <v>0</v>
      </c>
      <c r="H51" s="58">
        <f>H52+H53+H54+H55+H56</f>
        <v>0</v>
      </c>
      <c r="I51" s="7"/>
    </row>
    <row r="52" spans="1:9" x14ac:dyDescent="0.2">
      <c r="A52" s="62" t="s">
        <v>457</v>
      </c>
      <c r="B52" s="32"/>
      <c r="C52" s="58"/>
      <c r="D52" s="58"/>
      <c r="E52" s="58"/>
      <c r="F52" s="58"/>
      <c r="G52" s="58"/>
      <c r="H52" s="58"/>
      <c r="I52" s="7"/>
    </row>
    <row r="53" spans="1:9" x14ac:dyDescent="0.2">
      <c r="A53" s="62" t="s">
        <v>458</v>
      </c>
      <c r="B53" s="418"/>
      <c r="C53" s="60"/>
      <c r="D53" s="60"/>
      <c r="E53" s="60"/>
      <c r="F53" s="60"/>
      <c r="G53" s="60"/>
      <c r="H53" s="60"/>
      <c r="I53" s="7"/>
    </row>
    <row r="54" spans="1:9" x14ac:dyDescent="0.2">
      <c r="A54" s="62" t="s">
        <v>459</v>
      </c>
      <c r="B54" s="32"/>
      <c r="C54" s="58"/>
      <c r="D54" s="58"/>
      <c r="E54" s="58"/>
      <c r="F54" s="58"/>
      <c r="G54" s="58"/>
      <c r="H54" s="58"/>
      <c r="I54" s="7"/>
    </row>
    <row r="55" spans="1:9" x14ac:dyDescent="0.2">
      <c r="A55" s="60" t="s">
        <v>460</v>
      </c>
      <c r="B55" s="418"/>
      <c r="C55" s="60"/>
      <c r="D55" s="60"/>
      <c r="E55" s="60"/>
      <c r="F55" s="60"/>
      <c r="G55" s="60"/>
      <c r="H55" s="60"/>
      <c r="I55" s="7"/>
    </row>
    <row r="56" spans="1:9" x14ac:dyDescent="0.2">
      <c r="A56" s="60" t="s">
        <v>461</v>
      </c>
      <c r="B56" s="418"/>
      <c r="C56" s="60"/>
      <c r="D56" s="60"/>
      <c r="E56" s="60"/>
      <c r="F56" s="60"/>
      <c r="G56" s="60"/>
      <c r="H56" s="60"/>
      <c r="I56" s="7"/>
    </row>
    <row r="57" spans="1:9" ht="25.5" x14ac:dyDescent="0.2">
      <c r="A57" s="337" t="s">
        <v>462</v>
      </c>
      <c r="B57" s="418"/>
      <c r="C57" s="60"/>
      <c r="D57" s="60"/>
      <c r="E57" s="60"/>
      <c r="F57" s="60"/>
      <c r="G57" s="60"/>
      <c r="H57" s="60"/>
      <c r="I57" s="7"/>
    </row>
    <row r="58" spans="1:9" x14ac:dyDescent="0.2">
      <c r="A58" s="60" t="s">
        <v>81</v>
      </c>
      <c r="B58" s="418"/>
      <c r="C58" s="60"/>
      <c r="D58" s="60"/>
      <c r="E58" s="60"/>
      <c r="F58" s="60"/>
      <c r="G58" s="60"/>
      <c r="H58" s="60"/>
      <c r="I58" s="7"/>
    </row>
    <row r="59" spans="1:9" x14ac:dyDescent="0.2">
      <c r="I59" s="7"/>
    </row>
    <row r="60" spans="1:9" x14ac:dyDescent="0.2">
      <c r="I60" s="7"/>
    </row>
    <row r="61" spans="1:9" x14ac:dyDescent="0.2">
      <c r="I61" s="7"/>
    </row>
    <row r="62" spans="1:9" x14ac:dyDescent="0.2">
      <c r="I62" s="7"/>
    </row>
    <row r="63" spans="1:9" x14ac:dyDescent="0.2">
      <c r="I63" s="7"/>
    </row>
    <row r="64" spans="1:9" x14ac:dyDescent="0.2">
      <c r="I64" s="7"/>
    </row>
    <row r="65" spans="9:9" x14ac:dyDescent="0.2">
      <c r="I65" s="7"/>
    </row>
    <row r="66" spans="9:9" x14ac:dyDescent="0.2">
      <c r="I66" s="7"/>
    </row>
    <row r="67" spans="9:9" x14ac:dyDescent="0.2">
      <c r="I67" s="7"/>
    </row>
    <row r="68" spans="9:9" x14ac:dyDescent="0.2">
      <c r="I68" s="7"/>
    </row>
    <row r="69" spans="9:9" x14ac:dyDescent="0.2">
      <c r="I69" s="7"/>
    </row>
    <row r="70" spans="9:9" x14ac:dyDescent="0.2">
      <c r="I70" s="7"/>
    </row>
    <row r="71" spans="9:9" x14ac:dyDescent="0.2">
      <c r="I71" s="7"/>
    </row>
    <row r="72" spans="9:9" x14ac:dyDescent="0.2">
      <c r="I72" s="7"/>
    </row>
    <row r="73" spans="9:9" x14ac:dyDescent="0.2">
      <c r="I73" s="7"/>
    </row>
    <row r="74" spans="9:9" x14ac:dyDescent="0.2">
      <c r="I74" s="7"/>
    </row>
    <row r="75" spans="9:9" x14ac:dyDescent="0.2">
      <c r="I75" s="7"/>
    </row>
    <row r="76" spans="9:9" x14ac:dyDescent="0.2">
      <c r="I76" s="7"/>
    </row>
    <row r="77" spans="9:9" x14ac:dyDescent="0.2">
      <c r="I77" s="2"/>
    </row>
    <row r="78" spans="9:9" x14ac:dyDescent="0.2">
      <c r="I78" s="7"/>
    </row>
    <row r="79" spans="9:9" x14ac:dyDescent="0.2">
      <c r="I79" s="2"/>
    </row>
    <row r="80" spans="9:9" x14ac:dyDescent="0.2">
      <c r="I80" s="2"/>
    </row>
    <row r="81" spans="9:9" x14ac:dyDescent="0.2">
      <c r="I81" s="2"/>
    </row>
    <row r="82" spans="9:9" x14ac:dyDescent="0.2">
      <c r="I82" s="2"/>
    </row>
    <row r="83" spans="9:9" x14ac:dyDescent="0.2">
      <c r="I83" s="2"/>
    </row>
    <row r="84" spans="9:9" x14ac:dyDescent="0.2">
      <c r="I84" s="2"/>
    </row>
    <row r="85" spans="9:9" x14ac:dyDescent="0.2">
      <c r="I85" s="2"/>
    </row>
    <row r="86" spans="9:9" x14ac:dyDescent="0.2">
      <c r="I86" s="2"/>
    </row>
    <row r="87" spans="9:9" x14ac:dyDescent="0.2">
      <c r="I87" s="2"/>
    </row>
    <row r="88" spans="9:9" x14ac:dyDescent="0.2">
      <c r="I88" s="2"/>
    </row>
    <row r="89" spans="9:9" x14ac:dyDescent="0.2">
      <c r="I89" s="2"/>
    </row>
    <row r="90" spans="9:9" x14ac:dyDescent="0.2">
      <c r="I90" s="2"/>
    </row>
    <row r="91" spans="9:9" x14ac:dyDescent="0.2">
      <c r="I91" s="2"/>
    </row>
    <row r="92" spans="9:9" x14ac:dyDescent="0.2">
      <c r="I92" s="2"/>
    </row>
    <row r="93" spans="9:9" x14ac:dyDescent="0.2">
      <c r="I93" s="2"/>
    </row>
    <row r="94" spans="9:9" x14ac:dyDescent="0.2">
      <c r="I94" s="2"/>
    </row>
    <row r="95" spans="9:9" x14ac:dyDescent="0.2">
      <c r="I95" s="2"/>
    </row>
    <row r="96" spans="9:9" x14ac:dyDescent="0.2">
      <c r="I96" s="2"/>
    </row>
    <row r="97" spans="9:9" x14ac:dyDescent="0.2">
      <c r="I97" s="2"/>
    </row>
    <row r="98" spans="9:9" x14ac:dyDescent="0.2">
      <c r="I98" s="2"/>
    </row>
    <row r="99" spans="9:9" x14ac:dyDescent="0.2">
      <c r="I99" s="2"/>
    </row>
    <row r="100" spans="9:9" x14ac:dyDescent="0.2">
      <c r="I100" s="2"/>
    </row>
    <row r="101" spans="9:9" x14ac:dyDescent="0.2">
      <c r="I101" s="2"/>
    </row>
    <row r="102" spans="9:9" x14ac:dyDescent="0.2">
      <c r="I102" s="2"/>
    </row>
    <row r="103" spans="9:9" x14ac:dyDescent="0.2">
      <c r="I103" s="2"/>
    </row>
    <row r="104" spans="9:9" x14ac:dyDescent="0.2">
      <c r="I104" s="2"/>
    </row>
    <row r="105" spans="9:9" x14ac:dyDescent="0.2">
      <c r="I105" s="2"/>
    </row>
    <row r="106" spans="9:9" x14ac:dyDescent="0.2">
      <c r="I106" s="2"/>
    </row>
    <row r="107" spans="9:9" x14ac:dyDescent="0.2">
      <c r="I107" s="2"/>
    </row>
    <row r="108" spans="9:9" x14ac:dyDescent="0.2">
      <c r="I108" s="2"/>
    </row>
    <row r="109" spans="9:9" x14ac:dyDescent="0.2">
      <c r="I109" s="2"/>
    </row>
    <row r="110" spans="9:9" x14ac:dyDescent="0.2">
      <c r="I110" s="2"/>
    </row>
    <row r="111" spans="9:9" x14ac:dyDescent="0.2">
      <c r="I111" s="2"/>
    </row>
    <row r="112" spans="9:9" x14ac:dyDescent="0.2">
      <c r="I112" s="2"/>
    </row>
    <row r="113" spans="9:9" x14ac:dyDescent="0.2">
      <c r="I113" s="2"/>
    </row>
    <row r="114" spans="9:9" x14ac:dyDescent="0.2">
      <c r="I114" s="2"/>
    </row>
    <row r="115" spans="9:9" x14ac:dyDescent="0.2">
      <c r="I115" s="2"/>
    </row>
    <row r="116" spans="9:9" x14ac:dyDescent="0.2">
      <c r="I116" s="2"/>
    </row>
    <row r="117" spans="9:9" x14ac:dyDescent="0.2">
      <c r="I117" s="2"/>
    </row>
    <row r="118" spans="9:9" x14ac:dyDescent="0.2">
      <c r="I118" s="2"/>
    </row>
    <row r="119" spans="9:9" x14ac:dyDescent="0.2">
      <c r="I119" s="2"/>
    </row>
    <row r="120" spans="9:9" x14ac:dyDescent="0.2">
      <c r="I120" s="2"/>
    </row>
    <row r="121" spans="9:9" x14ac:dyDescent="0.2">
      <c r="I121" s="2"/>
    </row>
    <row r="122" spans="9:9" x14ac:dyDescent="0.2">
      <c r="I122" s="2"/>
    </row>
    <row r="123" spans="9:9" x14ac:dyDescent="0.2">
      <c r="I123" s="2"/>
    </row>
    <row r="124" spans="9:9" x14ac:dyDescent="0.2">
      <c r="I124" s="2"/>
    </row>
    <row r="125" spans="9:9" x14ac:dyDescent="0.2">
      <c r="I125" s="2"/>
    </row>
    <row r="126" spans="9:9" x14ac:dyDescent="0.2">
      <c r="I126" s="2"/>
    </row>
    <row r="127" spans="9:9" x14ac:dyDescent="0.2">
      <c r="I127" s="2"/>
    </row>
    <row r="128" spans="9:9" x14ac:dyDescent="0.2">
      <c r="I128" s="2"/>
    </row>
    <row r="129" spans="9:9" x14ac:dyDescent="0.2">
      <c r="I129" s="2"/>
    </row>
    <row r="130" spans="9:9" x14ac:dyDescent="0.2">
      <c r="I130" s="2"/>
    </row>
    <row r="131" spans="9:9" x14ac:dyDescent="0.2">
      <c r="I131" s="2"/>
    </row>
    <row r="132" spans="9:9" x14ac:dyDescent="0.2">
      <c r="I132" s="2"/>
    </row>
    <row r="133" spans="9:9" x14ac:dyDescent="0.2">
      <c r="I133" s="2"/>
    </row>
    <row r="134" spans="9:9" x14ac:dyDescent="0.2">
      <c r="I134" s="2"/>
    </row>
    <row r="135" spans="9:9" x14ac:dyDescent="0.2">
      <c r="I135" s="2"/>
    </row>
    <row r="136" spans="9:9" x14ac:dyDescent="0.2">
      <c r="I136" s="2"/>
    </row>
    <row r="137" spans="9:9" x14ac:dyDescent="0.2">
      <c r="I137" s="2"/>
    </row>
    <row r="138" spans="9:9" x14ac:dyDescent="0.2">
      <c r="I138" s="2"/>
    </row>
    <row r="139" spans="9:9" x14ac:dyDescent="0.2">
      <c r="I139" s="2"/>
    </row>
    <row r="140" spans="9:9" x14ac:dyDescent="0.2">
      <c r="I140" s="2"/>
    </row>
    <row r="141" spans="9:9" x14ac:dyDescent="0.2">
      <c r="I141" s="2"/>
    </row>
    <row r="142" spans="9:9" x14ac:dyDescent="0.2">
      <c r="I142" s="2"/>
    </row>
    <row r="143" spans="9:9" x14ac:dyDescent="0.2">
      <c r="I143" s="2"/>
    </row>
    <row r="144" spans="9:9" x14ac:dyDescent="0.2">
      <c r="I144" s="2"/>
    </row>
    <row r="145" spans="9:9" x14ac:dyDescent="0.2">
      <c r="I145" s="2"/>
    </row>
    <row r="146" spans="9:9" x14ac:dyDescent="0.2">
      <c r="I146" s="2"/>
    </row>
    <row r="147" spans="9:9" x14ac:dyDescent="0.2">
      <c r="I147" s="2"/>
    </row>
    <row r="148" spans="9:9" x14ac:dyDescent="0.2">
      <c r="I148" s="2"/>
    </row>
    <row r="149" spans="9:9" x14ac:dyDescent="0.2">
      <c r="I149" s="2"/>
    </row>
    <row r="150" spans="9:9" x14ac:dyDescent="0.2">
      <c r="I150" s="2"/>
    </row>
    <row r="151" spans="9:9" x14ac:dyDescent="0.2">
      <c r="I151" s="2"/>
    </row>
    <row r="152" spans="9:9" x14ac:dyDescent="0.2">
      <c r="I152" s="2"/>
    </row>
    <row r="153" spans="9:9" x14ac:dyDescent="0.2">
      <c r="I153" s="2"/>
    </row>
    <row r="154" spans="9:9" x14ac:dyDescent="0.2">
      <c r="I154" s="2"/>
    </row>
    <row r="155" spans="9:9" x14ac:dyDescent="0.2">
      <c r="I155" s="2"/>
    </row>
    <row r="156" spans="9:9" x14ac:dyDescent="0.2">
      <c r="I156" s="2"/>
    </row>
    <row r="157" spans="9:9" x14ac:dyDescent="0.2">
      <c r="I157" s="2"/>
    </row>
    <row r="158" spans="9:9" x14ac:dyDescent="0.2">
      <c r="I158" s="2"/>
    </row>
    <row r="159" spans="9:9" x14ac:dyDescent="0.2">
      <c r="I159" s="2"/>
    </row>
    <row r="160" spans="9:9" x14ac:dyDescent="0.2">
      <c r="I160" s="2"/>
    </row>
    <row r="161" spans="9:9" x14ac:dyDescent="0.2">
      <c r="I161" s="2"/>
    </row>
    <row r="162" spans="9:9" x14ac:dyDescent="0.2">
      <c r="I162" s="2"/>
    </row>
    <row r="163" spans="9:9" x14ac:dyDescent="0.2">
      <c r="I163" s="2"/>
    </row>
    <row r="164" spans="9:9" x14ac:dyDescent="0.2">
      <c r="I164" s="2"/>
    </row>
    <row r="165" spans="9:9" x14ac:dyDescent="0.2">
      <c r="I165" s="2"/>
    </row>
    <row r="166" spans="9:9" x14ac:dyDescent="0.2">
      <c r="I166" s="2"/>
    </row>
    <row r="167" spans="9:9" x14ac:dyDescent="0.2">
      <c r="I167" s="2"/>
    </row>
    <row r="168" spans="9:9" x14ac:dyDescent="0.2">
      <c r="I168" s="2"/>
    </row>
    <row r="169" spans="9:9" x14ac:dyDescent="0.2">
      <c r="I169" s="2"/>
    </row>
    <row r="170" spans="9:9" x14ac:dyDescent="0.2">
      <c r="I170" s="2"/>
    </row>
    <row r="171" spans="9:9" x14ac:dyDescent="0.2">
      <c r="I171" s="2"/>
    </row>
    <row r="172" spans="9:9" x14ac:dyDescent="0.2">
      <c r="I172" s="2"/>
    </row>
    <row r="173" spans="9:9" x14ac:dyDescent="0.2">
      <c r="I173" s="2"/>
    </row>
    <row r="174" spans="9:9" x14ac:dyDescent="0.2">
      <c r="I174" s="2"/>
    </row>
    <row r="175" spans="9:9" x14ac:dyDescent="0.2">
      <c r="I175" s="2"/>
    </row>
    <row r="176" spans="9:9" x14ac:dyDescent="0.2">
      <c r="I176" s="2"/>
    </row>
    <row r="177" spans="9:9" x14ac:dyDescent="0.2">
      <c r="I177" s="2"/>
    </row>
    <row r="178" spans="9:9" x14ac:dyDescent="0.2">
      <c r="I178" s="2"/>
    </row>
    <row r="179" spans="9:9" x14ac:dyDescent="0.2">
      <c r="I179" s="2"/>
    </row>
    <row r="180" spans="9:9" x14ac:dyDescent="0.2">
      <c r="I180" s="2"/>
    </row>
    <row r="181" spans="9:9" x14ac:dyDescent="0.2">
      <c r="I181" s="2"/>
    </row>
    <row r="182" spans="9:9" x14ac:dyDescent="0.2">
      <c r="I182" s="2"/>
    </row>
    <row r="183" spans="9:9" x14ac:dyDescent="0.2">
      <c r="I183" s="2"/>
    </row>
    <row r="184" spans="9:9" x14ac:dyDescent="0.2">
      <c r="I184" s="2"/>
    </row>
    <row r="185" spans="9:9" x14ac:dyDescent="0.2">
      <c r="I185" s="2"/>
    </row>
    <row r="186" spans="9:9" x14ac:dyDescent="0.2">
      <c r="I186" s="2"/>
    </row>
    <row r="187" spans="9:9" x14ac:dyDescent="0.2">
      <c r="I187" s="2"/>
    </row>
    <row r="188" spans="9:9" x14ac:dyDescent="0.2">
      <c r="I188" s="2"/>
    </row>
    <row r="189" spans="9:9" x14ac:dyDescent="0.2">
      <c r="I189" s="2"/>
    </row>
    <row r="190" spans="9:9" x14ac:dyDescent="0.2">
      <c r="I190" s="2"/>
    </row>
    <row r="191" spans="9:9" x14ac:dyDescent="0.2">
      <c r="I191" s="2"/>
    </row>
    <row r="192" spans="9:9" x14ac:dyDescent="0.2">
      <c r="I192" s="2"/>
    </row>
    <row r="193" spans="9:9" x14ac:dyDescent="0.2">
      <c r="I193" s="2"/>
    </row>
    <row r="194" spans="9:9" x14ac:dyDescent="0.2">
      <c r="I194" s="2"/>
    </row>
    <row r="195" spans="9:9" x14ac:dyDescent="0.2">
      <c r="I195" s="2"/>
    </row>
    <row r="196" spans="9:9" x14ac:dyDescent="0.2">
      <c r="I196" s="2"/>
    </row>
    <row r="197" spans="9:9" x14ac:dyDescent="0.2">
      <c r="I197" s="2"/>
    </row>
    <row r="198" spans="9:9" x14ac:dyDescent="0.2">
      <c r="I198" s="2"/>
    </row>
    <row r="199" spans="9:9" x14ac:dyDescent="0.2">
      <c r="I199" s="2"/>
    </row>
    <row r="200" spans="9:9" x14ac:dyDescent="0.2">
      <c r="I200" s="2"/>
    </row>
    <row r="201" spans="9:9" x14ac:dyDescent="0.2">
      <c r="I201" s="2"/>
    </row>
    <row r="202" spans="9:9" x14ac:dyDescent="0.2">
      <c r="I202" s="2"/>
    </row>
    <row r="203" spans="9:9" x14ac:dyDescent="0.2">
      <c r="I203" s="2"/>
    </row>
    <row r="204" spans="9:9" x14ac:dyDescent="0.2">
      <c r="I204" s="2"/>
    </row>
    <row r="205" spans="9:9" x14ac:dyDescent="0.2">
      <c r="I205" s="2"/>
    </row>
    <row r="206" spans="9:9" x14ac:dyDescent="0.2">
      <c r="I206" s="2"/>
    </row>
    <row r="207" spans="9:9" x14ac:dyDescent="0.2">
      <c r="I207" s="2"/>
    </row>
    <row r="208" spans="9:9" x14ac:dyDescent="0.2">
      <c r="I208" s="2"/>
    </row>
    <row r="209" spans="9:9" x14ac:dyDescent="0.2">
      <c r="I209" s="2"/>
    </row>
    <row r="210" spans="9:9" x14ac:dyDescent="0.2">
      <c r="I210" s="2"/>
    </row>
    <row r="211" spans="9:9" x14ac:dyDescent="0.2">
      <c r="I211" s="2"/>
    </row>
    <row r="212" spans="9:9" x14ac:dyDescent="0.2">
      <c r="I212" s="2"/>
    </row>
    <row r="213" spans="9:9" x14ac:dyDescent="0.2">
      <c r="I213" s="2"/>
    </row>
    <row r="214" spans="9:9" x14ac:dyDescent="0.2">
      <c r="I214" s="2"/>
    </row>
    <row r="215" spans="9:9" x14ac:dyDescent="0.2">
      <c r="I215" s="2"/>
    </row>
    <row r="216" spans="9:9" x14ac:dyDescent="0.2">
      <c r="I216" s="2"/>
    </row>
    <row r="217" spans="9:9" x14ac:dyDescent="0.2">
      <c r="I217" s="2"/>
    </row>
    <row r="218" spans="9:9" x14ac:dyDescent="0.2">
      <c r="I218" s="2"/>
    </row>
    <row r="219" spans="9:9" x14ac:dyDescent="0.2">
      <c r="I219" s="2"/>
    </row>
    <row r="220" spans="9:9" x14ac:dyDescent="0.2">
      <c r="I220" s="2"/>
    </row>
    <row r="221" spans="9:9" x14ac:dyDescent="0.2">
      <c r="I221" s="2"/>
    </row>
    <row r="222" spans="9:9" x14ac:dyDescent="0.2">
      <c r="I222" s="2"/>
    </row>
    <row r="223" spans="9:9" x14ac:dyDescent="0.2">
      <c r="I223" s="2"/>
    </row>
    <row r="224" spans="9:9" x14ac:dyDescent="0.2">
      <c r="I224" s="2"/>
    </row>
    <row r="225" spans="9:9" x14ac:dyDescent="0.2">
      <c r="I225" s="2"/>
    </row>
    <row r="226" spans="9:9" x14ac:dyDescent="0.2">
      <c r="I226" s="2"/>
    </row>
    <row r="227" spans="9:9" x14ac:dyDescent="0.2">
      <c r="I227" s="2"/>
    </row>
    <row r="228" spans="9:9" x14ac:dyDescent="0.2">
      <c r="I228" s="2"/>
    </row>
    <row r="229" spans="9:9" x14ac:dyDescent="0.2">
      <c r="I229" s="2"/>
    </row>
    <row r="230" spans="9:9" x14ac:dyDescent="0.2">
      <c r="I230" s="2"/>
    </row>
    <row r="231" spans="9:9" x14ac:dyDescent="0.2">
      <c r="I231" s="2"/>
    </row>
    <row r="232" spans="9:9" x14ac:dyDescent="0.2">
      <c r="I232" s="2"/>
    </row>
    <row r="233" spans="9:9" x14ac:dyDescent="0.2">
      <c r="I233" s="2"/>
    </row>
    <row r="234" spans="9:9" x14ac:dyDescent="0.2">
      <c r="I234" s="2"/>
    </row>
    <row r="235" spans="9:9" x14ac:dyDescent="0.2">
      <c r="I235" s="2"/>
    </row>
    <row r="236" spans="9:9" x14ac:dyDescent="0.2">
      <c r="I236" s="2"/>
    </row>
    <row r="237" spans="9:9" x14ac:dyDescent="0.2">
      <c r="I237" s="2"/>
    </row>
    <row r="238" spans="9:9" x14ac:dyDescent="0.2">
      <c r="I238" s="2"/>
    </row>
    <row r="239" spans="9:9" x14ac:dyDescent="0.2">
      <c r="I239" s="2"/>
    </row>
    <row r="240" spans="9:9" x14ac:dyDescent="0.2">
      <c r="I240" s="2"/>
    </row>
    <row r="241" spans="9:9" x14ac:dyDescent="0.2">
      <c r="I241" s="2"/>
    </row>
    <row r="242" spans="9:9" x14ac:dyDescent="0.2">
      <c r="I242" s="2"/>
    </row>
    <row r="243" spans="9:9" x14ac:dyDescent="0.2">
      <c r="I243" s="2"/>
    </row>
    <row r="244" spans="9:9" x14ac:dyDescent="0.2">
      <c r="I244" s="2"/>
    </row>
    <row r="245" spans="9:9" x14ac:dyDescent="0.2">
      <c r="I245" s="2"/>
    </row>
    <row r="246" spans="9:9" x14ac:dyDescent="0.2">
      <c r="I246" s="2"/>
    </row>
    <row r="247" spans="9:9" x14ac:dyDescent="0.2">
      <c r="I247" s="2"/>
    </row>
    <row r="248" spans="9:9" x14ac:dyDescent="0.2">
      <c r="I248" s="2"/>
    </row>
    <row r="249" spans="9:9" x14ac:dyDescent="0.2">
      <c r="I249" s="2"/>
    </row>
    <row r="250" spans="9:9" x14ac:dyDescent="0.2">
      <c r="I250" s="2"/>
    </row>
    <row r="251" spans="9:9" x14ac:dyDescent="0.2">
      <c r="I251" s="2"/>
    </row>
    <row r="252" spans="9:9" x14ac:dyDescent="0.2">
      <c r="I252" s="2"/>
    </row>
    <row r="253" spans="9:9" x14ac:dyDescent="0.2">
      <c r="I253" s="2"/>
    </row>
    <row r="254" spans="9:9" x14ac:dyDescent="0.2">
      <c r="I254" s="2"/>
    </row>
    <row r="255" spans="9:9" x14ac:dyDescent="0.2">
      <c r="I255" s="2"/>
    </row>
    <row r="256" spans="9:9" x14ac:dyDescent="0.2">
      <c r="I256" s="2"/>
    </row>
    <row r="257" spans="9:9" x14ac:dyDescent="0.2">
      <c r="I257" s="2"/>
    </row>
    <row r="258" spans="9:9" x14ac:dyDescent="0.2">
      <c r="I258" s="2"/>
    </row>
    <row r="259" spans="9:9" x14ac:dyDescent="0.2">
      <c r="I259" s="2"/>
    </row>
    <row r="260" spans="9:9" x14ac:dyDescent="0.2">
      <c r="I260" s="2"/>
    </row>
    <row r="261" spans="9:9" x14ac:dyDescent="0.2">
      <c r="I261" s="2"/>
    </row>
    <row r="262" spans="9:9" x14ac:dyDescent="0.2">
      <c r="I262" s="2"/>
    </row>
    <row r="263" spans="9:9" x14ac:dyDescent="0.2">
      <c r="I263" s="2"/>
    </row>
    <row r="264" spans="9:9" x14ac:dyDescent="0.2">
      <c r="I264" s="2"/>
    </row>
    <row r="265" spans="9:9" x14ac:dyDescent="0.2">
      <c r="I265" s="2"/>
    </row>
    <row r="266" spans="9:9" x14ac:dyDescent="0.2">
      <c r="I266" s="2"/>
    </row>
    <row r="267" spans="9:9" x14ac:dyDescent="0.2">
      <c r="I267" s="2"/>
    </row>
    <row r="268" spans="9:9" x14ac:dyDescent="0.2">
      <c r="I268" s="2"/>
    </row>
    <row r="269" spans="9:9" x14ac:dyDescent="0.2">
      <c r="I269" s="2"/>
    </row>
    <row r="270" spans="9:9" x14ac:dyDescent="0.2">
      <c r="I270" s="2"/>
    </row>
    <row r="271" spans="9:9" x14ac:dyDescent="0.2">
      <c r="I271" s="2"/>
    </row>
    <row r="272" spans="9:9" x14ac:dyDescent="0.2">
      <c r="I272" s="2"/>
    </row>
    <row r="273" spans="9:9" x14ac:dyDescent="0.2">
      <c r="I273" s="2"/>
    </row>
    <row r="274" spans="9:9" x14ac:dyDescent="0.2">
      <c r="I274" s="2"/>
    </row>
    <row r="275" spans="9:9" x14ac:dyDescent="0.2">
      <c r="I275" s="2"/>
    </row>
    <row r="276" spans="9:9" x14ac:dyDescent="0.2">
      <c r="I276" s="2"/>
    </row>
    <row r="277" spans="9:9" x14ac:dyDescent="0.2">
      <c r="I277" s="2"/>
    </row>
    <row r="278" spans="9:9" x14ac:dyDescent="0.2">
      <c r="I278" s="2"/>
    </row>
    <row r="279" spans="9:9" x14ac:dyDescent="0.2">
      <c r="I279" s="2"/>
    </row>
    <row r="280" spans="9:9" x14ac:dyDescent="0.2">
      <c r="I280" s="2"/>
    </row>
    <row r="281" spans="9:9" x14ac:dyDescent="0.2">
      <c r="I281" s="2"/>
    </row>
    <row r="282" spans="9:9" x14ac:dyDescent="0.2">
      <c r="I282" s="2"/>
    </row>
    <row r="283" spans="9:9" x14ac:dyDescent="0.2">
      <c r="I283" s="2"/>
    </row>
    <row r="284" spans="9:9" x14ac:dyDescent="0.2">
      <c r="I284" s="2"/>
    </row>
    <row r="285" spans="9:9" x14ac:dyDescent="0.2">
      <c r="I285" s="2"/>
    </row>
    <row r="286" spans="9:9" x14ac:dyDescent="0.2">
      <c r="I286" s="2"/>
    </row>
    <row r="287" spans="9:9" x14ac:dyDescent="0.2">
      <c r="I287" s="2"/>
    </row>
    <row r="288" spans="9:9" x14ac:dyDescent="0.2">
      <c r="I288" s="2"/>
    </row>
    <row r="289" spans="9:9" x14ac:dyDescent="0.2">
      <c r="I289" s="2"/>
    </row>
    <row r="290" spans="9:9" x14ac:dyDescent="0.2">
      <c r="I290" s="2"/>
    </row>
    <row r="291" spans="9:9" x14ac:dyDescent="0.2">
      <c r="I291" s="2"/>
    </row>
    <row r="292" spans="9:9" x14ac:dyDescent="0.2">
      <c r="I292" s="2"/>
    </row>
    <row r="293" spans="9:9" x14ac:dyDescent="0.2">
      <c r="I293" s="2"/>
    </row>
    <row r="294" spans="9:9" x14ac:dyDescent="0.2">
      <c r="I294" s="2"/>
    </row>
    <row r="295" spans="9:9" x14ac:dyDescent="0.2">
      <c r="I295" s="2"/>
    </row>
    <row r="296" spans="9:9" x14ac:dyDescent="0.2">
      <c r="I296" s="2"/>
    </row>
    <row r="297" spans="9:9" x14ac:dyDescent="0.2">
      <c r="I297" s="2"/>
    </row>
    <row r="298" spans="9:9" x14ac:dyDescent="0.2">
      <c r="I298" s="2"/>
    </row>
    <row r="299" spans="9:9" x14ac:dyDescent="0.2">
      <c r="I299" s="2"/>
    </row>
    <row r="300" spans="9:9" x14ac:dyDescent="0.2">
      <c r="I300" s="2"/>
    </row>
    <row r="301" spans="9:9" x14ac:dyDescent="0.2">
      <c r="I301" s="2"/>
    </row>
    <row r="302" spans="9:9" x14ac:dyDescent="0.2">
      <c r="I302" s="2"/>
    </row>
    <row r="303" spans="9:9" x14ac:dyDescent="0.2">
      <c r="I303" s="2"/>
    </row>
    <row r="304" spans="9:9" x14ac:dyDescent="0.2">
      <c r="I304" s="2"/>
    </row>
    <row r="305" spans="9:9" x14ac:dyDescent="0.2">
      <c r="I305" s="2"/>
    </row>
    <row r="306" spans="9:9" x14ac:dyDescent="0.2">
      <c r="I306" s="2"/>
    </row>
    <row r="307" spans="9:9" x14ac:dyDescent="0.2">
      <c r="I307" s="2"/>
    </row>
    <row r="308" spans="9:9" x14ac:dyDescent="0.2">
      <c r="I308" s="2"/>
    </row>
    <row r="309" spans="9:9" x14ac:dyDescent="0.2">
      <c r="I309" s="2"/>
    </row>
    <row r="310" spans="9:9" x14ac:dyDescent="0.2">
      <c r="I310" s="2"/>
    </row>
    <row r="311" spans="9:9" x14ac:dyDescent="0.2">
      <c r="I311" s="2"/>
    </row>
    <row r="312" spans="9:9" x14ac:dyDescent="0.2">
      <c r="I312" s="2"/>
    </row>
    <row r="313" spans="9:9" x14ac:dyDescent="0.2">
      <c r="I313" s="2"/>
    </row>
    <row r="314" spans="9:9" x14ac:dyDescent="0.2">
      <c r="I314" s="2"/>
    </row>
    <row r="315" spans="9:9" x14ac:dyDescent="0.2">
      <c r="I315" s="2"/>
    </row>
    <row r="316" spans="9:9" x14ac:dyDescent="0.2">
      <c r="I316" s="2"/>
    </row>
    <row r="317" spans="9:9" x14ac:dyDescent="0.2">
      <c r="I317" s="2"/>
    </row>
    <row r="318" spans="9:9" x14ac:dyDescent="0.2">
      <c r="I318" s="2"/>
    </row>
    <row r="319" spans="9:9" x14ac:dyDescent="0.2">
      <c r="I319" s="2"/>
    </row>
    <row r="320" spans="9:9" x14ac:dyDescent="0.2">
      <c r="I320" s="2"/>
    </row>
    <row r="321" spans="9:9" x14ac:dyDescent="0.2">
      <c r="I321" s="2"/>
    </row>
    <row r="322" spans="9:9" x14ac:dyDescent="0.2">
      <c r="I322" s="2"/>
    </row>
    <row r="323" spans="9:9" x14ac:dyDescent="0.2">
      <c r="I323" s="2"/>
    </row>
    <row r="324" spans="9:9" x14ac:dyDescent="0.2">
      <c r="I324" s="2"/>
    </row>
    <row r="325" spans="9:9" x14ac:dyDescent="0.2">
      <c r="I325" s="2"/>
    </row>
    <row r="326" spans="9:9" x14ac:dyDescent="0.2">
      <c r="I326" s="2"/>
    </row>
    <row r="327" spans="9:9" x14ac:dyDescent="0.2">
      <c r="I327" s="2"/>
    </row>
    <row r="328" spans="9:9" x14ac:dyDescent="0.2">
      <c r="I328" s="2"/>
    </row>
    <row r="329" spans="9:9" x14ac:dyDescent="0.2">
      <c r="I329" s="2"/>
    </row>
    <row r="330" spans="9:9" x14ac:dyDescent="0.2">
      <c r="I330" s="2"/>
    </row>
    <row r="331" spans="9:9" x14ac:dyDescent="0.2">
      <c r="I331" s="2"/>
    </row>
    <row r="332" spans="9:9" x14ac:dyDescent="0.2">
      <c r="I332" s="2"/>
    </row>
    <row r="333" spans="9:9" x14ac:dyDescent="0.2">
      <c r="I333" s="2"/>
    </row>
    <row r="334" spans="9:9" x14ac:dyDescent="0.2">
      <c r="I334" s="2"/>
    </row>
    <row r="335" spans="9:9" x14ac:dyDescent="0.2">
      <c r="I335" s="2"/>
    </row>
    <row r="336" spans="9:9" x14ac:dyDescent="0.2">
      <c r="I336" s="2"/>
    </row>
    <row r="337" spans="9:9" x14ac:dyDescent="0.2">
      <c r="I337" s="2"/>
    </row>
    <row r="338" spans="9:9" x14ac:dyDescent="0.2">
      <c r="I338" s="2"/>
    </row>
    <row r="339" spans="9:9" x14ac:dyDescent="0.2">
      <c r="I339" s="2"/>
    </row>
    <row r="340" spans="9:9" x14ac:dyDescent="0.2">
      <c r="I340" s="2"/>
    </row>
    <row r="341" spans="9:9" x14ac:dyDescent="0.2">
      <c r="I341" s="2"/>
    </row>
    <row r="342" spans="9:9" x14ac:dyDescent="0.2">
      <c r="I342" s="2"/>
    </row>
    <row r="343" spans="9:9" x14ac:dyDescent="0.2">
      <c r="I343" s="2"/>
    </row>
    <row r="344" spans="9:9" x14ac:dyDescent="0.2">
      <c r="I344" s="2"/>
    </row>
    <row r="345" spans="9:9" x14ac:dyDescent="0.2">
      <c r="I345" s="2"/>
    </row>
    <row r="346" spans="9:9" x14ac:dyDescent="0.2">
      <c r="I346" s="2"/>
    </row>
    <row r="347" spans="9:9" x14ac:dyDescent="0.2">
      <c r="I347" s="2"/>
    </row>
    <row r="348" spans="9:9" x14ac:dyDescent="0.2">
      <c r="I348" s="2"/>
    </row>
    <row r="349" spans="9:9" x14ac:dyDescent="0.2">
      <c r="I349" s="2"/>
    </row>
    <row r="350" spans="9:9" x14ac:dyDescent="0.2">
      <c r="I350" s="2"/>
    </row>
    <row r="351" spans="9:9" x14ac:dyDescent="0.2">
      <c r="I351" s="2"/>
    </row>
    <row r="352" spans="9:9" x14ac:dyDescent="0.2">
      <c r="I352" s="2"/>
    </row>
    <row r="353" spans="9:9" x14ac:dyDescent="0.2">
      <c r="I353" s="2"/>
    </row>
    <row r="354" spans="9:9" x14ac:dyDescent="0.2">
      <c r="I354" s="2"/>
    </row>
    <row r="355" spans="9:9" x14ac:dyDescent="0.2">
      <c r="I355" s="2"/>
    </row>
    <row r="356" spans="9:9" x14ac:dyDescent="0.2">
      <c r="I356" s="2"/>
    </row>
    <row r="357" spans="9:9" x14ac:dyDescent="0.2">
      <c r="I357" s="2"/>
    </row>
    <row r="358" spans="9:9" x14ac:dyDescent="0.2">
      <c r="I358" s="2"/>
    </row>
    <row r="359" spans="9:9" x14ac:dyDescent="0.2">
      <c r="I359" s="2"/>
    </row>
    <row r="360" spans="9:9" x14ac:dyDescent="0.2">
      <c r="I360" s="2"/>
    </row>
    <row r="361" spans="9:9" x14ac:dyDescent="0.2">
      <c r="I361" s="2"/>
    </row>
    <row r="362" spans="9:9" x14ac:dyDescent="0.2">
      <c r="I362" s="2"/>
    </row>
    <row r="363" spans="9:9" x14ac:dyDescent="0.2">
      <c r="I363" s="2"/>
    </row>
    <row r="364" spans="9:9" x14ac:dyDescent="0.2">
      <c r="I364" s="2"/>
    </row>
    <row r="365" spans="9:9" x14ac:dyDescent="0.2">
      <c r="I365" s="2"/>
    </row>
    <row r="366" spans="9:9" x14ac:dyDescent="0.2">
      <c r="I366" s="2"/>
    </row>
    <row r="367" spans="9:9" x14ac:dyDescent="0.2">
      <c r="I367" s="2"/>
    </row>
    <row r="368" spans="9:9" x14ac:dyDescent="0.2">
      <c r="I368" s="2"/>
    </row>
    <row r="369" spans="9:9" x14ac:dyDescent="0.2">
      <c r="I369" s="2"/>
    </row>
    <row r="370" spans="9:9" x14ac:dyDescent="0.2">
      <c r="I370" s="2"/>
    </row>
    <row r="371" spans="9:9" x14ac:dyDescent="0.2">
      <c r="I371" s="2"/>
    </row>
    <row r="372" spans="9:9" x14ac:dyDescent="0.2">
      <c r="I372" s="2"/>
    </row>
    <row r="373" spans="9:9" x14ac:dyDescent="0.2">
      <c r="I373" s="2"/>
    </row>
    <row r="374" spans="9:9" x14ac:dyDescent="0.2">
      <c r="I374" s="2"/>
    </row>
    <row r="375" spans="9:9" x14ac:dyDescent="0.2">
      <c r="I375" s="2"/>
    </row>
    <row r="376" spans="9:9" x14ac:dyDescent="0.2">
      <c r="I376" s="2"/>
    </row>
    <row r="377" spans="9:9" x14ac:dyDescent="0.2">
      <c r="I377" s="2"/>
    </row>
    <row r="378" spans="9:9" x14ac:dyDescent="0.2">
      <c r="I378" s="2"/>
    </row>
    <row r="379" spans="9:9" x14ac:dyDescent="0.2">
      <c r="I379" s="2"/>
    </row>
    <row r="380" spans="9:9" x14ac:dyDescent="0.2">
      <c r="I380" s="2"/>
    </row>
    <row r="381" spans="9:9" x14ac:dyDescent="0.2">
      <c r="I381" s="2"/>
    </row>
    <row r="382" spans="9:9" x14ac:dyDescent="0.2">
      <c r="I382" s="2"/>
    </row>
    <row r="383" spans="9:9" x14ac:dyDescent="0.2">
      <c r="I383" s="2"/>
    </row>
    <row r="384" spans="9:9" x14ac:dyDescent="0.2">
      <c r="I384" s="2"/>
    </row>
    <row r="385" spans="9:9" x14ac:dyDescent="0.2">
      <c r="I385" s="2"/>
    </row>
    <row r="386" spans="9:9" x14ac:dyDescent="0.2">
      <c r="I386" s="2"/>
    </row>
    <row r="387" spans="9:9" x14ac:dyDescent="0.2">
      <c r="I387" s="2"/>
    </row>
    <row r="388" spans="9:9" x14ac:dyDescent="0.2">
      <c r="I388" s="2"/>
    </row>
    <row r="389" spans="9:9" x14ac:dyDescent="0.2">
      <c r="I389" s="2"/>
    </row>
    <row r="390" spans="9:9" x14ac:dyDescent="0.2">
      <c r="I390" s="2"/>
    </row>
    <row r="391" spans="9:9" x14ac:dyDescent="0.2">
      <c r="I391" s="2"/>
    </row>
    <row r="392" spans="9:9" x14ac:dyDescent="0.2">
      <c r="I392" s="2"/>
    </row>
    <row r="393" spans="9:9" x14ac:dyDescent="0.2">
      <c r="I393" s="2"/>
    </row>
    <row r="394" spans="9:9" x14ac:dyDescent="0.2">
      <c r="I394" s="2"/>
    </row>
    <row r="395" spans="9:9" x14ac:dyDescent="0.2">
      <c r="I395" s="2"/>
    </row>
    <row r="396" spans="9:9" x14ac:dyDescent="0.2">
      <c r="I396" s="2"/>
    </row>
    <row r="397" spans="9:9" x14ac:dyDescent="0.2">
      <c r="I397" s="2"/>
    </row>
    <row r="398" spans="9:9" x14ac:dyDescent="0.2">
      <c r="I398" s="2"/>
    </row>
    <row r="399" spans="9:9" x14ac:dyDescent="0.2">
      <c r="I399" s="2"/>
    </row>
    <row r="400" spans="9:9" x14ac:dyDescent="0.2">
      <c r="I400" s="2"/>
    </row>
    <row r="401" spans="9:9" x14ac:dyDescent="0.2">
      <c r="I401" s="2"/>
    </row>
    <row r="402" spans="9:9" x14ac:dyDescent="0.2">
      <c r="I402" s="2"/>
    </row>
    <row r="403" spans="9:9" x14ac:dyDescent="0.2">
      <c r="I403" s="2"/>
    </row>
    <row r="404" spans="9:9" x14ac:dyDescent="0.2">
      <c r="I404" s="2"/>
    </row>
    <row r="405" spans="9:9" x14ac:dyDescent="0.2">
      <c r="I405" s="2"/>
    </row>
    <row r="406" spans="9:9" x14ac:dyDescent="0.2">
      <c r="I406" s="2"/>
    </row>
    <row r="407" spans="9:9" x14ac:dyDescent="0.2">
      <c r="I407" s="2"/>
    </row>
    <row r="408" spans="9:9" x14ac:dyDescent="0.2">
      <c r="I408" s="2"/>
    </row>
    <row r="409" spans="9:9" x14ac:dyDescent="0.2">
      <c r="I409" s="2"/>
    </row>
    <row r="410" spans="9:9" x14ac:dyDescent="0.2">
      <c r="I410" s="2"/>
    </row>
    <row r="411" spans="9:9" x14ac:dyDescent="0.2">
      <c r="I411" s="2"/>
    </row>
    <row r="412" spans="9:9" x14ac:dyDescent="0.2">
      <c r="I412" s="2"/>
    </row>
    <row r="413" spans="9:9" x14ac:dyDescent="0.2">
      <c r="I413" s="2"/>
    </row>
    <row r="414" spans="9:9" x14ac:dyDescent="0.2">
      <c r="I414" s="2"/>
    </row>
    <row r="415" spans="9:9" x14ac:dyDescent="0.2">
      <c r="I415" s="2"/>
    </row>
    <row r="416" spans="9:9" x14ac:dyDescent="0.2">
      <c r="I416" s="2"/>
    </row>
    <row r="417" spans="9:9" x14ac:dyDescent="0.2">
      <c r="I417" s="2"/>
    </row>
    <row r="418" spans="9:9" x14ac:dyDescent="0.2">
      <c r="I418" s="2"/>
    </row>
    <row r="419" spans="9:9" x14ac:dyDescent="0.2">
      <c r="I419" s="2"/>
    </row>
    <row r="420" spans="9:9" x14ac:dyDescent="0.2">
      <c r="I420" s="2"/>
    </row>
    <row r="421" spans="9:9" x14ac:dyDescent="0.2">
      <c r="I421" s="2"/>
    </row>
    <row r="422" spans="9:9" x14ac:dyDescent="0.2">
      <c r="I422" s="2"/>
    </row>
    <row r="423" spans="9:9" x14ac:dyDescent="0.2">
      <c r="I423" s="2"/>
    </row>
    <row r="424" spans="9:9" x14ac:dyDescent="0.2">
      <c r="I424" s="2"/>
    </row>
    <row r="425" spans="9:9" x14ac:dyDescent="0.2">
      <c r="I425" s="2"/>
    </row>
    <row r="426" spans="9:9" x14ac:dyDescent="0.2">
      <c r="I426" s="2"/>
    </row>
    <row r="427" spans="9:9" x14ac:dyDescent="0.2">
      <c r="I427" s="2"/>
    </row>
    <row r="428" spans="9:9" x14ac:dyDescent="0.2">
      <c r="I428" s="2"/>
    </row>
    <row r="429" spans="9:9" x14ac:dyDescent="0.2">
      <c r="I429" s="2"/>
    </row>
    <row r="430" spans="9:9" x14ac:dyDescent="0.2">
      <c r="I430" s="2"/>
    </row>
    <row r="431" spans="9:9" x14ac:dyDescent="0.2">
      <c r="I431" s="2"/>
    </row>
    <row r="432" spans="9:9" x14ac:dyDescent="0.2">
      <c r="I432" s="2"/>
    </row>
    <row r="433" spans="9:9" x14ac:dyDescent="0.2">
      <c r="I433" s="2"/>
    </row>
    <row r="434" spans="9:9" x14ac:dyDescent="0.2">
      <c r="I434" s="2"/>
    </row>
    <row r="435" spans="9:9" x14ac:dyDescent="0.2">
      <c r="I435" s="2"/>
    </row>
    <row r="436" spans="9:9" x14ac:dyDescent="0.2">
      <c r="I436" s="2"/>
    </row>
    <row r="437" spans="9:9" x14ac:dyDescent="0.2">
      <c r="I437" s="2"/>
    </row>
    <row r="438" spans="9:9" x14ac:dyDescent="0.2">
      <c r="I438" s="2"/>
    </row>
    <row r="439" spans="9:9" x14ac:dyDescent="0.2">
      <c r="I439" s="2"/>
    </row>
    <row r="440" spans="9:9" x14ac:dyDescent="0.2">
      <c r="I440" s="2"/>
    </row>
    <row r="441" spans="9:9" x14ac:dyDescent="0.2">
      <c r="I441" s="2"/>
    </row>
    <row r="442" spans="9:9" x14ac:dyDescent="0.2">
      <c r="I442" s="2"/>
    </row>
    <row r="443" spans="9:9" x14ac:dyDescent="0.2">
      <c r="I443" s="2"/>
    </row>
    <row r="444" spans="9:9" x14ac:dyDescent="0.2">
      <c r="I444" s="2"/>
    </row>
    <row r="445" spans="9:9" x14ac:dyDescent="0.2">
      <c r="I445" s="2"/>
    </row>
    <row r="446" spans="9:9" x14ac:dyDescent="0.2">
      <c r="I446" s="2"/>
    </row>
    <row r="447" spans="9:9" x14ac:dyDescent="0.2">
      <c r="I447" s="2"/>
    </row>
    <row r="448" spans="9:9" x14ac:dyDescent="0.2">
      <c r="I448" s="2"/>
    </row>
    <row r="449" spans="9:9" x14ac:dyDescent="0.2">
      <c r="I449" s="2"/>
    </row>
    <row r="450" spans="9:9" x14ac:dyDescent="0.2">
      <c r="I450" s="2"/>
    </row>
    <row r="451" spans="9:9" x14ac:dyDescent="0.2">
      <c r="I451" s="2"/>
    </row>
    <row r="452" spans="9:9" x14ac:dyDescent="0.2">
      <c r="I452" s="2"/>
    </row>
    <row r="453" spans="9:9" x14ac:dyDescent="0.2">
      <c r="I453" s="2"/>
    </row>
    <row r="454" spans="9:9" x14ac:dyDescent="0.2">
      <c r="I454" s="2"/>
    </row>
    <row r="455" spans="9:9" x14ac:dyDescent="0.2">
      <c r="I455" s="2"/>
    </row>
    <row r="456" spans="9:9" x14ac:dyDescent="0.2">
      <c r="I456" s="2"/>
    </row>
    <row r="457" spans="9:9" x14ac:dyDescent="0.2">
      <c r="I457" s="2"/>
    </row>
    <row r="458" spans="9:9" x14ac:dyDescent="0.2">
      <c r="I458" s="2"/>
    </row>
    <row r="459" spans="9:9" x14ac:dyDescent="0.2">
      <c r="I459" s="2"/>
    </row>
    <row r="460" spans="9:9" x14ac:dyDescent="0.2">
      <c r="I460" s="2"/>
    </row>
    <row r="461" spans="9:9" x14ac:dyDescent="0.2">
      <c r="I461" s="2"/>
    </row>
    <row r="462" spans="9:9" x14ac:dyDescent="0.2">
      <c r="I462" s="2"/>
    </row>
    <row r="463" spans="9:9" x14ac:dyDescent="0.2">
      <c r="I463" s="2"/>
    </row>
    <row r="464" spans="9:9" x14ac:dyDescent="0.2">
      <c r="I464" s="2"/>
    </row>
    <row r="465" spans="9:9" x14ac:dyDescent="0.2">
      <c r="I465" s="2"/>
    </row>
    <row r="466" spans="9:9" x14ac:dyDescent="0.2">
      <c r="I466" s="2"/>
    </row>
    <row r="467" spans="9:9" x14ac:dyDescent="0.2">
      <c r="I467" s="2"/>
    </row>
    <row r="468" spans="9:9" x14ac:dyDescent="0.2">
      <c r="I468" s="2"/>
    </row>
    <row r="469" spans="9:9" x14ac:dyDescent="0.2">
      <c r="I469" s="2"/>
    </row>
    <row r="470" spans="9:9" x14ac:dyDescent="0.2">
      <c r="I470" s="2"/>
    </row>
    <row r="471" spans="9:9" x14ac:dyDescent="0.2">
      <c r="I471" s="2"/>
    </row>
    <row r="472" spans="9:9" x14ac:dyDescent="0.2">
      <c r="I472" s="2"/>
    </row>
    <row r="473" spans="9:9" x14ac:dyDescent="0.2">
      <c r="I473" s="2"/>
    </row>
    <row r="474" spans="9:9" x14ac:dyDescent="0.2">
      <c r="I474" s="2"/>
    </row>
    <row r="475" spans="9:9" x14ac:dyDescent="0.2">
      <c r="I475" s="2"/>
    </row>
    <row r="476" spans="9:9" x14ac:dyDescent="0.2">
      <c r="I476" s="2"/>
    </row>
    <row r="477" spans="9:9" x14ac:dyDescent="0.2">
      <c r="I477" s="2"/>
    </row>
    <row r="478" spans="9:9" x14ac:dyDescent="0.2">
      <c r="I478" s="2"/>
    </row>
    <row r="479" spans="9:9" x14ac:dyDescent="0.2">
      <c r="I479" s="2"/>
    </row>
    <row r="480" spans="9:9" x14ac:dyDescent="0.2">
      <c r="I480" s="2"/>
    </row>
    <row r="481" spans="9:9" x14ac:dyDescent="0.2">
      <c r="I481" s="2"/>
    </row>
    <row r="482" spans="9:9" x14ac:dyDescent="0.2">
      <c r="I482" s="2"/>
    </row>
    <row r="483" spans="9:9" x14ac:dyDescent="0.2">
      <c r="I483" s="2"/>
    </row>
    <row r="484" spans="9:9" x14ac:dyDescent="0.2">
      <c r="I484" s="2"/>
    </row>
    <row r="485" spans="9:9" x14ac:dyDescent="0.2">
      <c r="I485" s="2"/>
    </row>
    <row r="486" spans="9:9" x14ac:dyDescent="0.2">
      <c r="I486" s="2"/>
    </row>
    <row r="487" spans="9:9" x14ac:dyDescent="0.2">
      <c r="I487" s="2"/>
    </row>
    <row r="488" spans="9:9" x14ac:dyDescent="0.2">
      <c r="I488" s="2"/>
    </row>
    <row r="489" spans="9:9" x14ac:dyDescent="0.2">
      <c r="I489" s="2"/>
    </row>
    <row r="490" spans="9:9" x14ac:dyDescent="0.2">
      <c r="I490" s="2"/>
    </row>
    <row r="491" spans="9:9" x14ac:dyDescent="0.2">
      <c r="I491" s="2"/>
    </row>
    <row r="492" spans="9:9" x14ac:dyDescent="0.2">
      <c r="I492" s="2"/>
    </row>
    <row r="493" spans="9:9" x14ac:dyDescent="0.2">
      <c r="I493" s="2"/>
    </row>
    <row r="494" spans="9:9" x14ac:dyDescent="0.2">
      <c r="I494" s="2"/>
    </row>
    <row r="495" spans="9:9" x14ac:dyDescent="0.2">
      <c r="I495" s="2"/>
    </row>
    <row r="496" spans="9:9" x14ac:dyDescent="0.2">
      <c r="I496" s="2"/>
    </row>
    <row r="497" spans="9:9" x14ac:dyDescent="0.2">
      <c r="I497" s="2"/>
    </row>
    <row r="498" spans="9:9" x14ac:dyDescent="0.2">
      <c r="I498" s="2"/>
    </row>
    <row r="499" spans="9:9" x14ac:dyDescent="0.2">
      <c r="I499" s="2"/>
    </row>
    <row r="500" spans="9:9" x14ac:dyDescent="0.2">
      <c r="I500" s="2"/>
    </row>
    <row r="501" spans="9:9" x14ac:dyDescent="0.2">
      <c r="I501" s="2"/>
    </row>
    <row r="502" spans="9:9" x14ac:dyDescent="0.2">
      <c r="I502" s="2"/>
    </row>
    <row r="503" spans="9:9" x14ac:dyDescent="0.2">
      <c r="I503" s="2"/>
    </row>
    <row r="504" spans="9:9" x14ac:dyDescent="0.2">
      <c r="I504" s="2"/>
    </row>
    <row r="505" spans="9:9" x14ac:dyDescent="0.2">
      <c r="I505" s="2"/>
    </row>
    <row r="506" spans="9:9" x14ac:dyDescent="0.2">
      <c r="I506" s="2"/>
    </row>
    <row r="507" spans="9:9" x14ac:dyDescent="0.2">
      <c r="I507" s="2"/>
    </row>
    <row r="508" spans="9:9" x14ac:dyDescent="0.2">
      <c r="I508" s="2"/>
    </row>
    <row r="509" spans="9:9" x14ac:dyDescent="0.2">
      <c r="I509" s="2"/>
    </row>
    <row r="510" spans="9:9" x14ac:dyDescent="0.2">
      <c r="I510" s="2"/>
    </row>
    <row r="511" spans="9:9" x14ac:dyDescent="0.2">
      <c r="I511" s="2"/>
    </row>
    <row r="512" spans="9:9" x14ac:dyDescent="0.2">
      <c r="I512" s="2"/>
    </row>
    <row r="513" spans="9:9" x14ac:dyDescent="0.2">
      <c r="I513" s="2"/>
    </row>
    <row r="514" spans="9:9" x14ac:dyDescent="0.2">
      <c r="I514" s="2"/>
    </row>
    <row r="515" spans="9:9" x14ac:dyDescent="0.2">
      <c r="I515" s="2"/>
    </row>
    <row r="516" spans="9:9" x14ac:dyDescent="0.2">
      <c r="I516" s="2"/>
    </row>
    <row r="517" spans="9:9" x14ac:dyDescent="0.2">
      <c r="I517" s="2"/>
    </row>
    <row r="518" spans="9:9" x14ac:dyDescent="0.2">
      <c r="I518" s="2"/>
    </row>
    <row r="519" spans="9:9" x14ac:dyDescent="0.2">
      <c r="I519" s="2"/>
    </row>
    <row r="520" spans="9:9" x14ac:dyDescent="0.2">
      <c r="I520" s="2"/>
    </row>
    <row r="521" spans="9:9" x14ac:dyDescent="0.2">
      <c r="I521" s="2"/>
    </row>
    <row r="522" spans="9:9" x14ac:dyDescent="0.2">
      <c r="I522" s="2"/>
    </row>
    <row r="523" spans="9:9" x14ac:dyDescent="0.2">
      <c r="I523" s="2"/>
    </row>
    <row r="524" spans="9:9" x14ac:dyDescent="0.2">
      <c r="I524" s="2"/>
    </row>
    <row r="525" spans="9:9" x14ac:dyDescent="0.2">
      <c r="I525" s="2"/>
    </row>
    <row r="526" spans="9:9" x14ac:dyDescent="0.2">
      <c r="I526" s="2"/>
    </row>
    <row r="527" spans="9:9" x14ac:dyDescent="0.2">
      <c r="I527" s="2"/>
    </row>
    <row r="528" spans="9:9" x14ac:dyDescent="0.2">
      <c r="I528" s="2"/>
    </row>
    <row r="529" spans="9:9" x14ac:dyDescent="0.2">
      <c r="I529" s="2"/>
    </row>
    <row r="530" spans="9:9" x14ac:dyDescent="0.2">
      <c r="I530" s="2"/>
    </row>
    <row r="531" spans="9:9" x14ac:dyDescent="0.2">
      <c r="I531" s="2"/>
    </row>
    <row r="532" spans="9:9" x14ac:dyDescent="0.2">
      <c r="I532" s="2"/>
    </row>
    <row r="533" spans="9:9" x14ac:dyDescent="0.2">
      <c r="I533" s="2"/>
    </row>
    <row r="534" spans="9:9" x14ac:dyDescent="0.2">
      <c r="I534" s="2"/>
    </row>
    <row r="535" spans="9:9" x14ac:dyDescent="0.2">
      <c r="I535" s="2"/>
    </row>
    <row r="536" spans="9:9" x14ac:dyDescent="0.2">
      <c r="I536" s="2"/>
    </row>
    <row r="537" spans="9:9" x14ac:dyDescent="0.2">
      <c r="I537" s="2"/>
    </row>
    <row r="538" spans="9:9" x14ac:dyDescent="0.2">
      <c r="I538" s="2"/>
    </row>
    <row r="539" spans="9:9" x14ac:dyDescent="0.2">
      <c r="I539" s="2"/>
    </row>
    <row r="540" spans="9:9" x14ac:dyDescent="0.2">
      <c r="I540" s="2"/>
    </row>
    <row r="541" spans="9:9" x14ac:dyDescent="0.2">
      <c r="I541" s="2"/>
    </row>
    <row r="542" spans="9:9" x14ac:dyDescent="0.2">
      <c r="I542" s="2"/>
    </row>
    <row r="543" spans="9:9" x14ac:dyDescent="0.2">
      <c r="I543" s="2"/>
    </row>
    <row r="544" spans="9:9" x14ac:dyDescent="0.2">
      <c r="I544" s="2"/>
    </row>
    <row r="545" spans="9:9" x14ac:dyDescent="0.2">
      <c r="I545" s="2"/>
    </row>
    <row r="546" spans="9:9" x14ac:dyDescent="0.2">
      <c r="I546" s="2"/>
    </row>
    <row r="547" spans="9:9" x14ac:dyDescent="0.2">
      <c r="I547" s="2"/>
    </row>
    <row r="548" spans="9:9" x14ac:dyDescent="0.2">
      <c r="I548" s="2"/>
    </row>
    <row r="549" spans="9:9" x14ac:dyDescent="0.2">
      <c r="I549" s="2"/>
    </row>
    <row r="550" spans="9:9" x14ac:dyDescent="0.2">
      <c r="I550" s="2"/>
    </row>
    <row r="551" spans="9:9" x14ac:dyDescent="0.2">
      <c r="I551" s="2"/>
    </row>
    <row r="552" spans="9:9" x14ac:dyDescent="0.2">
      <c r="I552" s="2"/>
    </row>
    <row r="553" spans="9:9" x14ac:dyDescent="0.2">
      <c r="I553" s="2"/>
    </row>
    <row r="554" spans="9:9" x14ac:dyDescent="0.2">
      <c r="I554" s="2"/>
    </row>
    <row r="555" spans="9:9" x14ac:dyDescent="0.2">
      <c r="I555" s="2"/>
    </row>
    <row r="556" spans="9:9" x14ac:dyDescent="0.2">
      <c r="I556" s="2"/>
    </row>
    <row r="557" spans="9:9" x14ac:dyDescent="0.2">
      <c r="I557" s="2"/>
    </row>
    <row r="558" spans="9:9" x14ac:dyDescent="0.2">
      <c r="I558" s="2"/>
    </row>
    <row r="559" spans="9:9" x14ac:dyDescent="0.2">
      <c r="I559" s="2"/>
    </row>
    <row r="560" spans="9:9" x14ac:dyDescent="0.2">
      <c r="I560" s="2"/>
    </row>
    <row r="561" spans="9:9" x14ac:dyDescent="0.2">
      <c r="I561" s="2"/>
    </row>
    <row r="562" spans="9:9" x14ac:dyDescent="0.2">
      <c r="I562" s="2"/>
    </row>
    <row r="563" spans="9:9" x14ac:dyDescent="0.2">
      <c r="I563" s="2"/>
    </row>
    <row r="564" spans="9:9" x14ac:dyDescent="0.2">
      <c r="I564" s="2"/>
    </row>
    <row r="565" spans="9:9" x14ac:dyDescent="0.2">
      <c r="I565" s="2"/>
    </row>
    <row r="566" spans="9:9" x14ac:dyDescent="0.2">
      <c r="I566" s="2"/>
    </row>
    <row r="567" spans="9:9" x14ac:dyDescent="0.2">
      <c r="I567" s="2"/>
    </row>
    <row r="568" spans="9:9" x14ac:dyDescent="0.2">
      <c r="I568" s="2"/>
    </row>
    <row r="569" spans="9:9" x14ac:dyDescent="0.2">
      <c r="I569" s="2"/>
    </row>
    <row r="570" spans="9:9" x14ac:dyDescent="0.2">
      <c r="I570" s="2"/>
    </row>
    <row r="571" spans="9:9" x14ac:dyDescent="0.2">
      <c r="I571" s="2"/>
    </row>
    <row r="572" spans="9:9" x14ac:dyDescent="0.2">
      <c r="I572" s="2"/>
    </row>
    <row r="573" spans="9:9" x14ac:dyDescent="0.2">
      <c r="I573" s="2"/>
    </row>
    <row r="574" spans="9:9" x14ac:dyDescent="0.2">
      <c r="I574" s="2"/>
    </row>
    <row r="575" spans="9:9" x14ac:dyDescent="0.2">
      <c r="I575" s="2"/>
    </row>
    <row r="576" spans="9:9" x14ac:dyDescent="0.2">
      <c r="I576" s="2"/>
    </row>
    <row r="577" spans="9:9" x14ac:dyDescent="0.2">
      <c r="I577" s="2"/>
    </row>
    <row r="578" spans="9:9" x14ac:dyDescent="0.2">
      <c r="I578" s="2"/>
    </row>
    <row r="579" spans="9:9" x14ac:dyDescent="0.2">
      <c r="I579" s="2"/>
    </row>
    <row r="580" spans="9:9" x14ac:dyDescent="0.2">
      <c r="I580" s="2"/>
    </row>
    <row r="581" spans="9:9" x14ac:dyDescent="0.2">
      <c r="I581" s="2"/>
    </row>
    <row r="582" spans="9:9" x14ac:dyDescent="0.2">
      <c r="I582" s="2"/>
    </row>
    <row r="583" spans="9:9" x14ac:dyDescent="0.2">
      <c r="I583" s="2"/>
    </row>
    <row r="584" spans="9:9" x14ac:dyDescent="0.2">
      <c r="I584" s="2"/>
    </row>
    <row r="585" spans="9:9" x14ac:dyDescent="0.2">
      <c r="I585" s="2"/>
    </row>
    <row r="586" spans="9:9" x14ac:dyDescent="0.2">
      <c r="I586" s="2"/>
    </row>
    <row r="587" spans="9:9" x14ac:dyDescent="0.2">
      <c r="I587" s="2"/>
    </row>
    <row r="588" spans="9:9" x14ac:dyDescent="0.2">
      <c r="I588" s="2"/>
    </row>
    <row r="589" spans="9:9" x14ac:dyDescent="0.2">
      <c r="I589" s="2"/>
    </row>
    <row r="590" spans="9:9" x14ac:dyDescent="0.2">
      <c r="I590" s="2"/>
    </row>
    <row r="591" spans="9:9" x14ac:dyDescent="0.2">
      <c r="I591" s="2"/>
    </row>
    <row r="592" spans="9:9" x14ac:dyDescent="0.2">
      <c r="I592" s="2"/>
    </row>
    <row r="593" spans="9:9" x14ac:dyDescent="0.2">
      <c r="I593" s="2"/>
    </row>
    <row r="594" spans="9:9" x14ac:dyDescent="0.2">
      <c r="I594" s="2"/>
    </row>
    <row r="595" spans="9:9" x14ac:dyDescent="0.2">
      <c r="I595" s="2"/>
    </row>
    <row r="596" spans="9:9" x14ac:dyDescent="0.2">
      <c r="I596" s="2"/>
    </row>
    <row r="597" spans="9:9" x14ac:dyDescent="0.2">
      <c r="I597" s="2"/>
    </row>
    <row r="598" spans="9:9" x14ac:dyDescent="0.2">
      <c r="I598" s="2"/>
    </row>
    <row r="599" spans="9:9" x14ac:dyDescent="0.2">
      <c r="I599" s="2"/>
    </row>
    <row r="600" spans="9:9" x14ac:dyDescent="0.2">
      <c r="I600" s="2"/>
    </row>
    <row r="601" spans="9:9" x14ac:dyDescent="0.2">
      <c r="I601" s="2"/>
    </row>
    <row r="602" spans="9:9" x14ac:dyDescent="0.2">
      <c r="I602" s="2"/>
    </row>
    <row r="603" spans="9:9" x14ac:dyDescent="0.2">
      <c r="I603" s="2"/>
    </row>
    <row r="604" spans="9:9" x14ac:dyDescent="0.2">
      <c r="I604" s="2"/>
    </row>
    <row r="605" spans="9:9" x14ac:dyDescent="0.2">
      <c r="I605" s="2"/>
    </row>
    <row r="606" spans="9:9" x14ac:dyDescent="0.2">
      <c r="I606" s="2"/>
    </row>
    <row r="607" spans="9:9" x14ac:dyDescent="0.2">
      <c r="I607" s="2"/>
    </row>
    <row r="608" spans="9:9" x14ac:dyDescent="0.2">
      <c r="I608" s="2"/>
    </row>
    <row r="609" spans="9:9" x14ac:dyDescent="0.2">
      <c r="I609" s="2"/>
    </row>
    <row r="610" spans="9:9" x14ac:dyDescent="0.2">
      <c r="I610" s="2"/>
    </row>
    <row r="611" spans="9:9" x14ac:dyDescent="0.2">
      <c r="I611" s="2"/>
    </row>
    <row r="612" spans="9:9" x14ac:dyDescent="0.2">
      <c r="I612" s="2"/>
    </row>
    <row r="613" spans="9:9" x14ac:dyDescent="0.2">
      <c r="I613" s="2"/>
    </row>
    <row r="614" spans="9:9" x14ac:dyDescent="0.2">
      <c r="I614" s="2"/>
    </row>
    <row r="615" spans="9:9" x14ac:dyDescent="0.2">
      <c r="I615" s="2"/>
    </row>
    <row r="616" spans="9:9" x14ac:dyDescent="0.2">
      <c r="I616" s="2"/>
    </row>
    <row r="617" spans="9:9" x14ac:dyDescent="0.2">
      <c r="I617" s="2"/>
    </row>
    <row r="618" spans="9:9" x14ac:dyDescent="0.2">
      <c r="I618" s="2"/>
    </row>
    <row r="619" spans="9:9" x14ac:dyDescent="0.2">
      <c r="I619" s="2"/>
    </row>
    <row r="620" spans="9:9" x14ac:dyDescent="0.2">
      <c r="I620" s="2"/>
    </row>
    <row r="621" spans="9:9" x14ac:dyDescent="0.2">
      <c r="I621" s="2"/>
    </row>
    <row r="622" spans="9:9" x14ac:dyDescent="0.2">
      <c r="I622" s="2"/>
    </row>
    <row r="623" spans="9:9" x14ac:dyDescent="0.2">
      <c r="I623" s="2"/>
    </row>
    <row r="624" spans="9:9" x14ac:dyDescent="0.2">
      <c r="I624" s="2"/>
    </row>
    <row r="625" spans="9:9" x14ac:dyDescent="0.2">
      <c r="I625" s="2"/>
    </row>
    <row r="626" spans="9:9" x14ac:dyDescent="0.2">
      <c r="I626" s="2"/>
    </row>
    <row r="627" spans="9:9" x14ac:dyDescent="0.2">
      <c r="I627" s="2"/>
    </row>
    <row r="628" spans="9:9" x14ac:dyDescent="0.2">
      <c r="I628" s="2"/>
    </row>
    <row r="629" spans="9:9" x14ac:dyDescent="0.2">
      <c r="I629" s="2"/>
    </row>
    <row r="630" spans="9:9" x14ac:dyDescent="0.2">
      <c r="I630" s="2"/>
    </row>
    <row r="631" spans="9:9" x14ac:dyDescent="0.2">
      <c r="I631" s="2"/>
    </row>
  </sheetData>
  <mergeCells count="9">
    <mergeCell ref="A5:H5"/>
    <mergeCell ref="A6:H6"/>
    <mergeCell ref="H12:H22"/>
    <mergeCell ref="B12:B22"/>
    <mergeCell ref="C12:C22"/>
    <mergeCell ref="G12:G22"/>
    <mergeCell ref="E12:E22"/>
    <mergeCell ref="D12:D22"/>
    <mergeCell ref="F12:F22"/>
  </mergeCells>
  <pageMargins left="0.31496062992125984" right="0.15748031496062992" top="0.35433070866141736" bottom="0.39370078740157483" header="0.31496062992125984" footer="0.51181102362204722"/>
  <pageSetup paperSize="9" scale="80" orientation="portrait" r:id="rId1"/>
  <headerFooter alignWithMargins="0"/>
  <colBreaks count="1" manualBreakCount="1">
    <brk id="8" max="6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2"/>
  <sheetViews>
    <sheetView zoomScale="80" zoomScaleNormal="80" workbookViewId="0">
      <selection activeCell="H34" sqref="H34"/>
    </sheetView>
  </sheetViews>
  <sheetFormatPr defaultRowHeight="12.95" customHeight="1" x14ac:dyDescent="0.2"/>
  <cols>
    <col min="1" max="1" width="24.28515625" style="71" customWidth="1"/>
    <col min="2" max="2" width="10" style="82" customWidth="1"/>
    <col min="3" max="3" width="12" style="82" customWidth="1"/>
    <col min="4" max="4" width="10.7109375" style="82" customWidth="1"/>
    <col min="5" max="5" width="10.42578125" style="82" customWidth="1"/>
    <col min="6" max="6" width="11.7109375" style="82" customWidth="1"/>
    <col min="7" max="7" width="10.42578125" style="82" customWidth="1"/>
    <col min="8" max="8" width="10.140625" style="139" customWidth="1"/>
    <col min="9" max="9" width="11.28515625" style="82" bestFit="1" customWidth="1"/>
    <col min="10" max="10" width="11.42578125" style="82" customWidth="1"/>
    <col min="11" max="12" width="12.28515625" style="82" customWidth="1"/>
    <col min="13" max="13" width="14" style="82" customWidth="1"/>
    <col min="14" max="16384" width="9.140625" style="71"/>
  </cols>
  <sheetData>
    <row r="1" spans="1:25" ht="15" customHeight="1" x14ac:dyDescent="0.2">
      <c r="A1" s="536" t="s">
        <v>441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ht="15" customHeight="1" x14ac:dyDescent="0.2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184" t="str">
        <f>'1.Bev-kiad.'!H2</f>
        <v>az 1/2026.(II.26.) önkormányzati rendelethez</v>
      </c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15" customHeight="1" x14ac:dyDescent="0.2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184" t="s">
        <v>678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ht="15" customHeight="1" x14ac:dyDescent="0.2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18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ht="15" customHeight="1" x14ac:dyDescent="0.2">
      <c r="A5" s="523" t="s">
        <v>656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ht="15" customHeight="1" x14ac:dyDescent="0.2">
      <c r="A6" s="77"/>
      <c r="B6" s="78"/>
      <c r="C6" s="78"/>
      <c r="D6" s="78"/>
      <c r="E6" s="79"/>
      <c r="F6" s="79"/>
      <c r="G6" s="79"/>
      <c r="H6" s="79"/>
      <c r="I6" s="80"/>
      <c r="J6" s="80"/>
      <c r="K6" s="81"/>
      <c r="L6" s="81"/>
      <c r="M6" s="81"/>
      <c r="N6" s="82"/>
    </row>
    <row r="7" spans="1:25" ht="12" customHeight="1" x14ac:dyDescent="0.2">
      <c r="A7" s="83"/>
      <c r="B7" s="81"/>
      <c r="C7" s="81"/>
      <c r="D7" s="81"/>
      <c r="E7" s="81"/>
      <c r="F7" s="81"/>
      <c r="G7" s="81"/>
      <c r="H7" s="138"/>
      <c r="I7" s="81"/>
      <c r="J7" s="81"/>
      <c r="K7" s="81"/>
      <c r="L7" s="81"/>
      <c r="M7" s="184" t="s">
        <v>0</v>
      </c>
      <c r="N7" s="82"/>
    </row>
    <row r="8" spans="1:25" ht="16.5" customHeight="1" x14ac:dyDescent="0.2">
      <c r="A8" s="537"/>
      <c r="B8" s="537" t="s">
        <v>43</v>
      </c>
      <c r="C8" s="537"/>
      <c r="D8" s="537"/>
      <c r="E8" s="537"/>
      <c r="F8" s="537"/>
      <c r="G8" s="537"/>
      <c r="H8" s="537"/>
      <c r="I8" s="537" t="s">
        <v>320</v>
      </c>
      <c r="J8" s="537"/>
      <c r="K8" s="537"/>
      <c r="L8" s="537"/>
      <c r="M8" s="538" t="s">
        <v>44</v>
      </c>
    </row>
    <row r="9" spans="1:25" ht="51" customHeight="1" x14ac:dyDescent="0.2">
      <c r="A9" s="537"/>
      <c r="B9" s="537" t="s">
        <v>321</v>
      </c>
      <c r="C9" s="537" t="s">
        <v>322</v>
      </c>
      <c r="D9" s="537"/>
      <c r="E9" s="537" t="s">
        <v>323</v>
      </c>
      <c r="F9" s="537" t="s">
        <v>324</v>
      </c>
      <c r="G9" s="537" t="s">
        <v>523</v>
      </c>
      <c r="H9" s="537" t="s">
        <v>6</v>
      </c>
      <c r="I9" s="537" t="s">
        <v>361</v>
      </c>
      <c r="J9" s="537" t="s">
        <v>359</v>
      </c>
      <c r="K9" s="537" t="s">
        <v>520</v>
      </c>
      <c r="L9" s="537" t="s">
        <v>11</v>
      </c>
      <c r="M9" s="538"/>
    </row>
    <row r="10" spans="1:25" ht="38.25" x14ac:dyDescent="0.2">
      <c r="A10" s="537"/>
      <c r="B10" s="537"/>
      <c r="C10" s="69" t="s">
        <v>45</v>
      </c>
      <c r="D10" s="69" t="s">
        <v>46</v>
      </c>
      <c r="E10" s="537"/>
      <c r="F10" s="537"/>
      <c r="G10" s="537"/>
      <c r="H10" s="537"/>
      <c r="I10" s="537"/>
      <c r="J10" s="537"/>
      <c r="K10" s="537"/>
      <c r="L10" s="537"/>
      <c r="M10" s="538"/>
    </row>
    <row r="11" spans="1:25" ht="19.5" customHeight="1" x14ac:dyDescent="0.2">
      <c r="A11" s="136" t="s">
        <v>581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</row>
    <row r="12" spans="1:25" s="477" customFormat="1" ht="25.5" x14ac:dyDescent="0.2">
      <c r="A12" s="475" t="s">
        <v>680</v>
      </c>
      <c r="B12" s="464">
        <f>SUM('1.Bev-kiad.'!C30)</f>
        <v>8534</v>
      </c>
      <c r="C12" s="464">
        <f>SUM('2.működés'!C9)</f>
        <v>29737</v>
      </c>
      <c r="D12" s="464"/>
      <c r="E12" s="464">
        <f>SUM('1.Bev-kiad.'!C23)</f>
        <v>30431</v>
      </c>
      <c r="F12" s="464">
        <f>SUM('1.Bev-kiad.'!C47)</f>
        <v>0</v>
      </c>
      <c r="G12" s="464">
        <f>SUM('2.működés'!C97)+'2.működés'!C98</f>
        <v>26122</v>
      </c>
      <c r="H12" s="476">
        <f>SUM(B12:G12)</f>
        <v>94824</v>
      </c>
      <c r="I12" s="464">
        <f>SUM('3.felh'!C39)</f>
        <v>19512</v>
      </c>
      <c r="J12" s="476"/>
      <c r="K12" s="476"/>
      <c r="L12" s="476">
        <f>SUM(I12:K12)</f>
        <v>19512</v>
      </c>
      <c r="M12" s="476">
        <f>SUM(L12,H12)</f>
        <v>114336</v>
      </c>
    </row>
    <row r="13" spans="1:25" ht="20.25" customHeight="1" x14ac:dyDescent="0.2">
      <c r="A13" s="21" t="s">
        <v>415</v>
      </c>
      <c r="B13" s="84">
        <f>SUM('1.Bev-kiad.'!D30)</f>
        <v>10425</v>
      </c>
      <c r="C13" s="84">
        <f>SUM('2.működés'!D9)</f>
        <v>36175</v>
      </c>
      <c r="D13" s="84"/>
      <c r="E13" s="84">
        <f>SUM('1.Bev-kiad.'!D23)</f>
        <v>33000</v>
      </c>
      <c r="F13" s="84">
        <f>SUM('1.Bev-kiad.'!D47)</f>
        <v>0</v>
      </c>
      <c r="G13" s="84">
        <f>SUM('2.működés'!D97)+'2.működés'!D98</f>
        <v>11995</v>
      </c>
      <c r="H13" s="85">
        <f>SUM(B13:G13)</f>
        <v>91595</v>
      </c>
      <c r="I13" s="84">
        <f>SUM('3.felh'!D39)</f>
        <v>0</v>
      </c>
      <c r="J13" s="85"/>
      <c r="K13" s="85"/>
      <c r="L13" s="85">
        <f>SUM(I13:K13)</f>
        <v>0</v>
      </c>
      <c r="M13" s="85">
        <f>SUM(L13,H13)</f>
        <v>91595</v>
      </c>
    </row>
    <row r="14" spans="1:25" ht="25.5" x14ac:dyDescent="0.2">
      <c r="A14" s="281" t="s">
        <v>913</v>
      </c>
      <c r="B14" s="84">
        <f>SUM('1.Bev-kiad.'!F30)</f>
        <v>11931</v>
      </c>
      <c r="C14" s="84">
        <f>SUM('2.működés'!F9)</f>
        <v>36158</v>
      </c>
      <c r="D14" s="84"/>
      <c r="E14" s="84">
        <f>SUM('1.Bev-kiad.'!F23)</f>
        <v>33000</v>
      </c>
      <c r="F14" s="84">
        <f>SUM('1.Bev-kiad.'!F47)</f>
        <v>1350</v>
      </c>
      <c r="G14" s="84">
        <f>SUM('2.működés'!F97)+'2.működés'!F98</f>
        <v>11995</v>
      </c>
      <c r="H14" s="85">
        <f>SUM(B14:G14)</f>
        <v>94434</v>
      </c>
      <c r="I14" s="84">
        <f>SUM('3.felh'!F39)</f>
        <v>12028</v>
      </c>
      <c r="J14" s="85"/>
      <c r="K14" s="85"/>
      <c r="L14" s="85">
        <f>SUM(I14:K14)</f>
        <v>12028</v>
      </c>
      <c r="M14" s="85">
        <f>SUM(L14,H14)</f>
        <v>106462</v>
      </c>
    </row>
    <row r="15" spans="1:25" ht="25.5" x14ac:dyDescent="0.2">
      <c r="A15" s="281" t="s">
        <v>681</v>
      </c>
      <c r="B15" s="84">
        <f>SUM('1.Bev-kiad.'!H30)</f>
        <v>12761</v>
      </c>
      <c r="C15" s="84">
        <f>SUM('2.működés'!H9)</f>
        <v>36468</v>
      </c>
      <c r="D15" s="84"/>
      <c r="E15" s="84">
        <f>SUM('1.Bev-kiad.'!H23)</f>
        <v>41300</v>
      </c>
      <c r="F15" s="84">
        <f>SUM('1.Bev-kiad.'!H47)</f>
        <v>1350</v>
      </c>
      <c r="G15" s="84">
        <f>SUM('2.működés'!H97)+'2.működés'!H98</f>
        <v>13022</v>
      </c>
      <c r="H15" s="85">
        <f>SUM(B15:G15)</f>
        <v>104901</v>
      </c>
      <c r="I15" s="84">
        <f>SUM('3.felh'!H39)</f>
        <v>12028</v>
      </c>
      <c r="J15" s="85"/>
      <c r="K15" s="85"/>
      <c r="L15" s="85">
        <f>SUM(I15:K15)</f>
        <v>12028</v>
      </c>
      <c r="M15" s="85">
        <f>SUM(L15,H15)</f>
        <v>116929</v>
      </c>
    </row>
    <row r="16" spans="1:25" ht="25.5" hidden="1" x14ac:dyDescent="0.2">
      <c r="A16" s="281" t="s">
        <v>682</v>
      </c>
      <c r="B16" s="84">
        <f>SUM('1.Bev-kiad.'!I30)</f>
        <v>11443</v>
      </c>
      <c r="C16" s="84">
        <f>SUM('2.működés'!I9)</f>
        <v>36468</v>
      </c>
      <c r="D16" s="84"/>
      <c r="E16" s="84">
        <f>SUM('1.Bev-kiad.'!I23)</f>
        <v>40587</v>
      </c>
      <c r="F16" s="84">
        <f>SUM('1.Bev-kiad.'!I47)</f>
        <v>1350</v>
      </c>
      <c r="G16" s="84">
        <f>SUM('2.működés'!I97)+'2.működés'!I98</f>
        <v>13022</v>
      </c>
      <c r="H16" s="85">
        <f>SUM(B16:G16)</f>
        <v>102870</v>
      </c>
      <c r="I16" s="84">
        <f>SUM('3.felh'!I39)</f>
        <v>12028</v>
      </c>
      <c r="J16" s="85"/>
      <c r="K16" s="85"/>
      <c r="L16" s="85">
        <f>SUM(I16:K16)</f>
        <v>12028</v>
      </c>
      <c r="M16" s="85">
        <f>SUM(L16,H16)</f>
        <v>114898</v>
      </c>
    </row>
    <row r="17" spans="1:13" ht="19.5" customHeight="1" thickBot="1" x14ac:dyDescent="0.25">
      <c r="A17" s="21" t="s">
        <v>416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</row>
    <row r="18" spans="1:13" s="477" customFormat="1" ht="30" customHeight="1" thickBot="1" x14ac:dyDescent="0.25">
      <c r="A18" s="478" t="s">
        <v>683</v>
      </c>
      <c r="B18" s="479">
        <f t="shared" ref="B18:M18" si="0">B12</f>
        <v>8534</v>
      </c>
      <c r="C18" s="479">
        <f t="shared" si="0"/>
        <v>29737</v>
      </c>
      <c r="D18" s="479">
        <f t="shared" si="0"/>
        <v>0</v>
      </c>
      <c r="E18" s="479">
        <f t="shared" si="0"/>
        <v>30431</v>
      </c>
      <c r="F18" s="479">
        <f t="shared" si="0"/>
        <v>0</v>
      </c>
      <c r="G18" s="479">
        <f t="shared" si="0"/>
        <v>26122</v>
      </c>
      <c r="H18" s="479">
        <f t="shared" si="0"/>
        <v>94824</v>
      </c>
      <c r="I18" s="479">
        <f t="shared" si="0"/>
        <v>19512</v>
      </c>
      <c r="J18" s="479">
        <f t="shared" si="0"/>
        <v>0</v>
      </c>
      <c r="K18" s="479">
        <f t="shared" si="0"/>
        <v>0</v>
      </c>
      <c r="L18" s="479">
        <f t="shared" si="0"/>
        <v>19512</v>
      </c>
      <c r="M18" s="479">
        <f t="shared" si="0"/>
        <v>114336</v>
      </c>
    </row>
    <row r="19" spans="1:13" ht="32.25" thickBot="1" x14ac:dyDescent="0.25">
      <c r="A19" s="134" t="s">
        <v>417</v>
      </c>
      <c r="B19" s="135">
        <f t="shared" ref="B19:M19" si="1">B13</f>
        <v>10425</v>
      </c>
      <c r="C19" s="135">
        <f t="shared" si="1"/>
        <v>36175</v>
      </c>
      <c r="D19" s="135">
        <f t="shared" si="1"/>
        <v>0</v>
      </c>
      <c r="E19" s="135">
        <f t="shared" si="1"/>
        <v>33000</v>
      </c>
      <c r="F19" s="135">
        <f t="shared" si="1"/>
        <v>0</v>
      </c>
      <c r="G19" s="135">
        <f t="shared" si="1"/>
        <v>11995</v>
      </c>
      <c r="H19" s="135">
        <f t="shared" si="1"/>
        <v>91595</v>
      </c>
      <c r="I19" s="135">
        <f t="shared" si="1"/>
        <v>0</v>
      </c>
      <c r="J19" s="135">
        <f t="shared" si="1"/>
        <v>0</v>
      </c>
      <c r="K19" s="135">
        <f t="shared" si="1"/>
        <v>0</v>
      </c>
      <c r="L19" s="135">
        <f t="shared" si="1"/>
        <v>0</v>
      </c>
      <c r="M19" s="135">
        <f t="shared" si="1"/>
        <v>91595</v>
      </c>
    </row>
    <row r="20" spans="1:13" ht="48" thickBot="1" x14ac:dyDescent="0.25">
      <c r="A20" s="134" t="s">
        <v>914</v>
      </c>
      <c r="B20" s="135">
        <f t="shared" ref="B20:M20" si="2">B14</f>
        <v>11931</v>
      </c>
      <c r="C20" s="135">
        <f t="shared" si="2"/>
        <v>36158</v>
      </c>
      <c r="D20" s="135">
        <f t="shared" si="2"/>
        <v>0</v>
      </c>
      <c r="E20" s="135">
        <f t="shared" si="2"/>
        <v>33000</v>
      </c>
      <c r="F20" s="135">
        <f t="shared" si="2"/>
        <v>1350</v>
      </c>
      <c r="G20" s="135">
        <f t="shared" si="2"/>
        <v>11995</v>
      </c>
      <c r="H20" s="135">
        <f t="shared" si="2"/>
        <v>94434</v>
      </c>
      <c r="I20" s="135">
        <f t="shared" si="2"/>
        <v>12028</v>
      </c>
      <c r="J20" s="135">
        <f t="shared" si="2"/>
        <v>0</v>
      </c>
      <c r="K20" s="135">
        <f t="shared" si="2"/>
        <v>0</v>
      </c>
      <c r="L20" s="135">
        <f t="shared" si="2"/>
        <v>12028</v>
      </c>
      <c r="M20" s="135">
        <f t="shared" si="2"/>
        <v>106462</v>
      </c>
    </row>
    <row r="21" spans="1:13" ht="48" thickBot="1" x14ac:dyDescent="0.25">
      <c r="A21" s="134" t="s">
        <v>684</v>
      </c>
      <c r="B21" s="135">
        <f t="shared" ref="B21:M21" si="3">B15</f>
        <v>12761</v>
      </c>
      <c r="C21" s="135">
        <f t="shared" si="3"/>
        <v>36468</v>
      </c>
      <c r="D21" s="135">
        <f t="shared" si="3"/>
        <v>0</v>
      </c>
      <c r="E21" s="135">
        <f t="shared" si="3"/>
        <v>41300</v>
      </c>
      <c r="F21" s="135">
        <f t="shared" si="3"/>
        <v>1350</v>
      </c>
      <c r="G21" s="135">
        <f t="shared" si="3"/>
        <v>13022</v>
      </c>
      <c r="H21" s="135">
        <f t="shared" si="3"/>
        <v>104901</v>
      </c>
      <c r="I21" s="135">
        <f t="shared" si="3"/>
        <v>12028</v>
      </c>
      <c r="J21" s="135">
        <f t="shared" si="3"/>
        <v>0</v>
      </c>
      <c r="K21" s="135">
        <f t="shared" si="3"/>
        <v>0</v>
      </c>
      <c r="L21" s="135">
        <f t="shared" si="3"/>
        <v>12028</v>
      </c>
      <c r="M21" s="135">
        <f t="shared" si="3"/>
        <v>116929</v>
      </c>
    </row>
    <row r="22" spans="1:13" ht="48" hidden="1" thickBot="1" x14ac:dyDescent="0.25">
      <c r="A22" s="134" t="s">
        <v>685</v>
      </c>
      <c r="B22" s="135">
        <f>B16</f>
        <v>11443</v>
      </c>
      <c r="C22" s="135">
        <f t="shared" ref="C22:M22" si="4">C16</f>
        <v>36468</v>
      </c>
      <c r="D22" s="135">
        <f t="shared" si="4"/>
        <v>0</v>
      </c>
      <c r="E22" s="135">
        <f t="shared" si="4"/>
        <v>40587</v>
      </c>
      <c r="F22" s="135">
        <f t="shared" si="4"/>
        <v>1350</v>
      </c>
      <c r="G22" s="135">
        <f t="shared" si="4"/>
        <v>13022</v>
      </c>
      <c r="H22" s="135">
        <f t="shared" si="4"/>
        <v>102870</v>
      </c>
      <c r="I22" s="135">
        <f t="shared" si="4"/>
        <v>12028</v>
      </c>
      <c r="J22" s="135">
        <f t="shared" si="4"/>
        <v>0</v>
      </c>
      <c r="K22" s="135">
        <f t="shared" si="4"/>
        <v>0</v>
      </c>
      <c r="L22" s="135">
        <f t="shared" si="4"/>
        <v>12028</v>
      </c>
      <c r="M22" s="135">
        <f t="shared" si="4"/>
        <v>114898</v>
      </c>
    </row>
  </sheetData>
  <mergeCells count="16">
    <mergeCell ref="A1:M1"/>
    <mergeCell ref="A5:M5"/>
    <mergeCell ref="A8:A10"/>
    <mergeCell ref="B8:H8"/>
    <mergeCell ref="I8:L8"/>
    <mergeCell ref="M8:M10"/>
    <mergeCell ref="B9:B10"/>
    <mergeCell ref="C9:D9"/>
    <mergeCell ref="J9:J10"/>
    <mergeCell ref="K9:K10"/>
    <mergeCell ref="L9:L10"/>
    <mergeCell ref="E9:E10"/>
    <mergeCell ref="F9:F10"/>
    <mergeCell ref="G9:G10"/>
    <mergeCell ref="H9:H10"/>
    <mergeCell ref="I9:I10"/>
  </mergeCells>
  <printOptions horizontalCentered="1"/>
  <pageMargins left="0.15748031496062992" right="0.15748031496062992" top="0.35433070866141736" bottom="0.15748031496062992" header="0.15748031496062992" footer="0.11811023622047245"/>
  <pageSetup paperSize="9" scale="90" orientation="landscape" horizontalDpi="4294967292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1"/>
  <sheetViews>
    <sheetView zoomScale="90" zoomScaleNormal="90" workbookViewId="0">
      <selection activeCell="A26" sqref="A26:XFD26"/>
    </sheetView>
  </sheetViews>
  <sheetFormatPr defaultRowHeight="12.75" x14ac:dyDescent="0.2"/>
  <cols>
    <col min="1" max="1" width="24.28515625" style="73" customWidth="1"/>
    <col min="2" max="2" width="9.85546875" style="68" bestFit="1" customWidth="1"/>
    <col min="3" max="3" width="9.42578125" style="68" customWidth="1"/>
    <col min="4" max="4" width="9.85546875" style="68" bestFit="1" customWidth="1"/>
    <col min="5" max="5" width="9.28515625" style="68" bestFit="1" customWidth="1"/>
    <col min="6" max="6" width="10.42578125" style="68" customWidth="1"/>
    <col min="7" max="8" width="10.28515625" style="68" customWidth="1"/>
    <col min="9" max="9" width="9.85546875" style="68" customWidth="1"/>
    <col min="10" max="10" width="10" style="68" customWidth="1"/>
    <col min="11" max="12" width="9.28515625" style="68" bestFit="1" customWidth="1"/>
    <col min="13" max="13" width="11.5703125" style="68" customWidth="1"/>
    <col min="14" max="14" width="12.140625" style="68" customWidth="1"/>
    <col min="15" max="21" width="5.5703125" style="65" customWidth="1"/>
    <col min="22" max="16384" width="9.140625" style="65"/>
  </cols>
  <sheetData>
    <row r="1" spans="1:21" ht="1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63" t="s">
        <v>442</v>
      </c>
      <c r="O1" s="64"/>
    </row>
    <row r="2" spans="1:21" ht="15" customHeight="1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348" t="str">
        <f>'1.Bev-kiad.'!H2</f>
        <v>az 1/2026.(II.26.) önkormányzati rendelethez</v>
      </c>
      <c r="O2" s="64"/>
    </row>
    <row r="3" spans="1:21" ht="15" customHeight="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348" t="s">
        <v>679</v>
      </c>
      <c r="O3" s="64"/>
    </row>
    <row r="4" spans="1:21" ht="15" customHeight="1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84"/>
      <c r="O4" s="64"/>
    </row>
    <row r="5" spans="1:21" ht="38.25" customHeight="1" x14ac:dyDescent="0.2">
      <c r="A5" s="539" t="s">
        <v>657</v>
      </c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64"/>
    </row>
    <row r="6" spans="1:21" ht="15" customHeight="1" x14ac:dyDescent="0.2">
      <c r="A6" s="66"/>
      <c r="B6" s="120"/>
      <c r="C6" s="121"/>
      <c r="D6" s="122"/>
      <c r="E6" s="122"/>
      <c r="F6" s="67"/>
      <c r="G6" s="67"/>
      <c r="H6" s="67"/>
      <c r="I6" s="67"/>
      <c r="J6" s="67"/>
      <c r="K6" s="67"/>
      <c r="L6" s="67"/>
      <c r="M6" s="67"/>
      <c r="N6" s="67"/>
    </row>
    <row r="7" spans="1:21" ht="1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185" t="s">
        <v>0</v>
      </c>
      <c r="O7" s="490"/>
      <c r="P7" s="490"/>
      <c r="Q7" s="490"/>
      <c r="R7" s="490"/>
      <c r="S7" s="490"/>
      <c r="T7" s="490"/>
      <c r="U7" s="490"/>
    </row>
    <row r="8" spans="1:21" ht="23.25" customHeight="1" x14ac:dyDescent="0.2">
      <c r="A8" s="537"/>
      <c r="B8" s="542" t="s">
        <v>30</v>
      </c>
      <c r="C8" s="543"/>
      <c r="D8" s="543"/>
      <c r="E8" s="543"/>
      <c r="F8" s="543"/>
      <c r="G8" s="543"/>
      <c r="H8" s="544"/>
      <c r="I8" s="541" t="s">
        <v>31</v>
      </c>
      <c r="J8" s="545" t="s">
        <v>32</v>
      </c>
      <c r="K8" s="545"/>
      <c r="L8" s="545"/>
      <c r="M8" s="545"/>
      <c r="N8" s="546" t="s">
        <v>319</v>
      </c>
      <c r="O8" s="547" t="s">
        <v>29</v>
      </c>
      <c r="P8" s="547" t="s">
        <v>687</v>
      </c>
      <c r="Q8" s="552" t="s">
        <v>688</v>
      </c>
      <c r="R8" s="552" t="s">
        <v>689</v>
      </c>
      <c r="S8" s="547" t="s">
        <v>690</v>
      </c>
      <c r="T8" s="552" t="s">
        <v>691</v>
      </c>
      <c r="U8" s="547" t="s">
        <v>692</v>
      </c>
    </row>
    <row r="9" spans="1:21" ht="62.25" customHeight="1" x14ac:dyDescent="0.2">
      <c r="A9" s="537"/>
      <c r="B9" s="550" t="s">
        <v>33</v>
      </c>
      <c r="C9" s="550" t="s">
        <v>82</v>
      </c>
      <c r="D9" s="550" t="s">
        <v>34</v>
      </c>
      <c r="E9" s="550" t="s">
        <v>372</v>
      </c>
      <c r="F9" s="542" t="s">
        <v>35</v>
      </c>
      <c r="G9" s="544"/>
      <c r="H9" s="550" t="s">
        <v>365</v>
      </c>
      <c r="I9" s="541"/>
      <c r="J9" s="550" t="s">
        <v>36</v>
      </c>
      <c r="K9" s="550" t="s">
        <v>37</v>
      </c>
      <c r="L9" s="550" t="s">
        <v>38</v>
      </c>
      <c r="M9" s="549" t="s">
        <v>12</v>
      </c>
      <c r="N9" s="546"/>
      <c r="O9" s="547"/>
      <c r="P9" s="547"/>
      <c r="Q9" s="552"/>
      <c r="R9" s="552"/>
      <c r="S9" s="547"/>
      <c r="T9" s="552"/>
      <c r="U9" s="547"/>
    </row>
    <row r="10" spans="1:21" ht="30.75" customHeight="1" x14ac:dyDescent="0.2">
      <c r="A10" s="537"/>
      <c r="B10" s="551"/>
      <c r="C10" s="551"/>
      <c r="D10" s="551"/>
      <c r="E10" s="551"/>
      <c r="F10" s="187" t="s">
        <v>318</v>
      </c>
      <c r="G10" s="187" t="s">
        <v>317</v>
      </c>
      <c r="H10" s="551"/>
      <c r="I10" s="541"/>
      <c r="J10" s="551"/>
      <c r="K10" s="551"/>
      <c r="L10" s="551"/>
      <c r="M10" s="549"/>
      <c r="N10" s="546"/>
      <c r="O10" s="548"/>
      <c r="P10" s="548"/>
      <c r="Q10" s="553"/>
      <c r="R10" s="553"/>
      <c r="S10" s="548"/>
      <c r="T10" s="553"/>
      <c r="U10" s="548"/>
    </row>
    <row r="11" spans="1:21" s="477" customFormat="1" ht="25.5" x14ac:dyDescent="0.2">
      <c r="A11" s="475" t="s">
        <v>680</v>
      </c>
      <c r="B11" s="480">
        <v>32617</v>
      </c>
      <c r="C11" s="480">
        <v>3709</v>
      </c>
      <c r="D11" s="480">
        <v>32535</v>
      </c>
      <c r="E11" s="480">
        <v>3589</v>
      </c>
      <c r="F11" s="480">
        <v>9664</v>
      </c>
      <c r="G11" s="480">
        <v>0</v>
      </c>
      <c r="H11" s="480">
        <v>1037</v>
      </c>
      <c r="I11" s="481">
        <v>83151</v>
      </c>
      <c r="J11" s="480">
        <v>9224</v>
      </c>
      <c r="K11" s="480">
        <v>1839</v>
      </c>
      <c r="L11" s="480">
        <v>7827</v>
      </c>
      <c r="M11" s="481">
        <v>18890</v>
      </c>
      <c r="N11" s="481">
        <v>102041</v>
      </c>
      <c r="O11" s="482">
        <v>5</v>
      </c>
      <c r="P11" s="482"/>
      <c r="Q11" s="482"/>
      <c r="R11" s="482"/>
      <c r="S11" s="482"/>
      <c r="T11" s="482"/>
      <c r="U11" s="482"/>
    </row>
    <row r="12" spans="1:21" x14ac:dyDescent="0.2">
      <c r="A12" s="21" t="s">
        <v>415</v>
      </c>
      <c r="B12" s="132">
        <f>SUM('2.működés'!D103)</f>
        <v>36308</v>
      </c>
      <c r="C12" s="132">
        <f>SUM('2.működés'!D104)</f>
        <v>4536</v>
      </c>
      <c r="D12" s="132">
        <f>SUM('2.működés'!D105)</f>
        <v>37734</v>
      </c>
      <c r="E12" s="132">
        <f>SUM('2.működés'!D106)</f>
        <v>1500</v>
      </c>
      <c r="F12" s="132">
        <f>'4. Átadott p.eszk.'!C10+'4. Átadott p.eszk.'!C33+'2.működés'!D110</f>
        <v>9600</v>
      </c>
      <c r="G12" s="132">
        <f>SUM('2.működés'!C109)</f>
        <v>0</v>
      </c>
      <c r="H12" s="132">
        <f>SUM('2.működés'!D114)</f>
        <v>933</v>
      </c>
      <c r="I12" s="188">
        <f>SUM(B12:H12)</f>
        <v>90611</v>
      </c>
      <c r="J12" s="132">
        <f>SUM('3.felh'!D41)</f>
        <v>984</v>
      </c>
      <c r="K12" s="132">
        <f>SUM('3.felh'!D55)</f>
        <v>0</v>
      </c>
      <c r="L12" s="132">
        <f>SUM('3.felh'!D63)</f>
        <v>0</v>
      </c>
      <c r="M12" s="188">
        <f>SUM(J12:L12)</f>
        <v>984</v>
      </c>
      <c r="N12" s="188">
        <f>SUM(I12+M12)</f>
        <v>91595</v>
      </c>
      <c r="O12" s="248">
        <f>SUM(P12:U12)</f>
        <v>9</v>
      </c>
      <c r="P12" s="248">
        <v>1</v>
      </c>
      <c r="Q12" s="248">
        <v>1</v>
      </c>
      <c r="R12" s="248">
        <v>3</v>
      </c>
      <c r="S12" s="248">
        <v>2</v>
      </c>
      <c r="T12" s="248">
        <v>2</v>
      </c>
      <c r="U12" s="248">
        <v>0</v>
      </c>
    </row>
    <row r="13" spans="1:21" ht="25.5" x14ac:dyDescent="0.2">
      <c r="A13" s="281" t="str">
        <f>'5.Bev.össz.'!A14</f>
        <v>Kötelező (módosított 2025.10.havi)</v>
      </c>
      <c r="B13" s="132">
        <f>SUM('2.működés'!F103)</f>
        <v>37526</v>
      </c>
      <c r="C13" s="132">
        <f>SUM('2.működés'!F104)</f>
        <v>4659</v>
      </c>
      <c r="D13" s="132">
        <f>SUM('2.működés'!F105)</f>
        <v>38922</v>
      </c>
      <c r="E13" s="132">
        <f>SUM('2.működés'!F106)</f>
        <v>1500</v>
      </c>
      <c r="F13" s="132">
        <f>'4. Átadott p.eszk.'!E10+'4. Átadott p.eszk.'!E33+'2.működés'!F110</f>
        <v>9855</v>
      </c>
      <c r="G13" s="132">
        <f>SUM('2.működés'!F109)</f>
        <v>84</v>
      </c>
      <c r="H13" s="132">
        <f>SUM('2.működés'!F114)</f>
        <v>933</v>
      </c>
      <c r="I13" s="188">
        <f>SUM(B13:H13)</f>
        <v>93479</v>
      </c>
      <c r="J13" s="132">
        <f>SUM('3.felh'!F41)</f>
        <v>984</v>
      </c>
      <c r="K13" s="132">
        <f>SUM('3.felh'!F55)</f>
        <v>11999</v>
      </c>
      <c r="L13" s="132">
        <f>SUM('3.felh'!F63)</f>
        <v>0</v>
      </c>
      <c r="M13" s="188">
        <f>SUM(J13:L13)</f>
        <v>12983</v>
      </c>
      <c r="N13" s="188">
        <f>SUM(I13+M13)</f>
        <v>106462</v>
      </c>
      <c r="O13" s="248">
        <f t="shared" ref="O13:O15" si="0">SUM(P13:U13)</f>
        <v>9</v>
      </c>
      <c r="P13" s="248">
        <v>1</v>
      </c>
      <c r="Q13" s="248">
        <v>1</v>
      </c>
      <c r="R13" s="248">
        <v>3</v>
      </c>
      <c r="S13" s="248">
        <v>2</v>
      </c>
      <c r="T13" s="248">
        <v>2</v>
      </c>
      <c r="U13" s="248">
        <v>0</v>
      </c>
    </row>
    <row r="14" spans="1:21" ht="25.5" x14ac:dyDescent="0.2">
      <c r="A14" s="281" t="str">
        <f>'5.Bev.össz.'!A15</f>
        <v>Kötelező (módosított 2025.12.31.)</v>
      </c>
      <c r="B14" s="132">
        <f>SUM('2.működés'!H103)</f>
        <v>37921</v>
      </c>
      <c r="C14" s="132">
        <f>SUM('2.működés'!H104)</f>
        <v>4659</v>
      </c>
      <c r="D14" s="132">
        <f>SUM('2.működés'!H105)</f>
        <v>40557</v>
      </c>
      <c r="E14" s="132">
        <f>SUM('2.működés'!H106)</f>
        <v>3348</v>
      </c>
      <c r="F14" s="132">
        <f>'4. Átadott p.eszk.'!G10+'4. Átadott p.eszk.'!G33+'2.működés'!H110</f>
        <v>9855</v>
      </c>
      <c r="G14" s="132">
        <f>SUM('2.működés'!H109)</f>
        <v>6673</v>
      </c>
      <c r="H14" s="132">
        <f>SUM('2.működés'!H114)</f>
        <v>933</v>
      </c>
      <c r="I14" s="188">
        <f>SUM(B14:H14)</f>
        <v>103946</v>
      </c>
      <c r="J14" s="132">
        <f>SUM('3.felh'!H41)</f>
        <v>984</v>
      </c>
      <c r="K14" s="132">
        <f>SUM('3.felh'!H55)</f>
        <v>11999</v>
      </c>
      <c r="L14" s="132">
        <f>SUM('3.felh'!H63)</f>
        <v>0</v>
      </c>
      <c r="M14" s="188">
        <f>SUM(J14:L14)</f>
        <v>12983</v>
      </c>
      <c r="N14" s="188">
        <f>SUM(I14+M14)</f>
        <v>116929</v>
      </c>
      <c r="O14" s="248">
        <f t="shared" si="0"/>
        <v>10</v>
      </c>
      <c r="P14" s="248">
        <v>1</v>
      </c>
      <c r="Q14" s="248">
        <v>1</v>
      </c>
      <c r="R14" s="248">
        <v>3</v>
      </c>
      <c r="S14" s="248">
        <v>2</v>
      </c>
      <c r="T14" s="248">
        <v>2</v>
      </c>
      <c r="U14" s="248">
        <v>1</v>
      </c>
    </row>
    <row r="15" spans="1:21" ht="25.5" hidden="1" x14ac:dyDescent="0.2">
      <c r="A15" s="281" t="str">
        <f>'5.Bev.össz.'!A16</f>
        <v>Kötelező (teljesítés 2025.12.31.)</v>
      </c>
      <c r="B15" s="132">
        <f>SUM('2.működés'!I103)</f>
        <v>37028</v>
      </c>
      <c r="C15" s="132">
        <f>SUM('2.működés'!I104)</f>
        <v>4518</v>
      </c>
      <c r="D15" s="132">
        <f>SUM('2.működés'!I105)</f>
        <v>31856</v>
      </c>
      <c r="E15" s="132">
        <f>SUM('2.működés'!I106)</f>
        <v>3330</v>
      </c>
      <c r="F15" s="132">
        <f>'4. Átadott p.eszk.'!H10+'4. Átadott p.eszk.'!H33+'2.működés'!I110</f>
        <v>9854</v>
      </c>
      <c r="G15" s="132">
        <f>SUM('2.működés'!I109)</f>
        <v>0</v>
      </c>
      <c r="H15" s="132">
        <f>SUM('2.működés'!I114)</f>
        <v>932</v>
      </c>
      <c r="I15" s="188">
        <f t="shared" ref="I15:I20" si="1">SUM(B15:H15)</f>
        <v>87518</v>
      </c>
      <c r="J15" s="132">
        <f>SUM('3.felh'!I41)</f>
        <v>634</v>
      </c>
      <c r="K15" s="132">
        <f>SUM('3.felh'!I55)</f>
        <v>0</v>
      </c>
      <c r="L15" s="132">
        <f>SUM('3.felh'!I63)</f>
        <v>0</v>
      </c>
      <c r="M15" s="188">
        <f t="shared" ref="M15:M20" si="2">SUM(J15:L15)</f>
        <v>634</v>
      </c>
      <c r="N15" s="188">
        <f t="shared" ref="N15:N20" si="3">SUM(I15+M15)</f>
        <v>88152</v>
      </c>
      <c r="O15" s="248">
        <f t="shared" si="0"/>
        <v>10</v>
      </c>
      <c r="P15" s="248">
        <v>1</v>
      </c>
      <c r="Q15" s="248">
        <v>1</v>
      </c>
      <c r="R15" s="248">
        <v>3</v>
      </c>
      <c r="S15" s="248">
        <v>2</v>
      </c>
      <c r="T15" s="248">
        <v>2</v>
      </c>
      <c r="U15" s="248">
        <v>1</v>
      </c>
    </row>
    <row r="16" spans="1:21" s="64" customFormat="1" ht="25.5" x14ac:dyDescent="0.2">
      <c r="A16" s="475" t="s">
        <v>686</v>
      </c>
      <c r="B16" s="483"/>
      <c r="C16" s="483"/>
      <c r="D16" s="483"/>
      <c r="E16" s="483"/>
      <c r="F16" s="484">
        <v>300</v>
      </c>
      <c r="G16" s="485"/>
      <c r="H16" s="485"/>
      <c r="I16" s="481">
        <v>300</v>
      </c>
      <c r="J16" s="485"/>
      <c r="K16" s="485"/>
      <c r="L16" s="485"/>
      <c r="M16" s="486">
        <v>0</v>
      </c>
      <c r="N16" s="481">
        <v>300</v>
      </c>
      <c r="O16" s="487"/>
      <c r="P16" s="487"/>
      <c r="Q16" s="487"/>
      <c r="R16" s="487"/>
      <c r="S16" s="487"/>
      <c r="T16" s="487"/>
      <c r="U16" s="487"/>
    </row>
    <row r="17" spans="1:21" x14ac:dyDescent="0.2">
      <c r="A17" s="21" t="s">
        <v>582</v>
      </c>
      <c r="B17" s="72"/>
      <c r="C17" s="72"/>
      <c r="D17" s="72"/>
      <c r="E17" s="72"/>
      <c r="F17" s="70">
        <f>'4. Átadott p.eszk.'!C32</f>
        <v>0</v>
      </c>
      <c r="G17" s="242"/>
      <c r="H17" s="242"/>
      <c r="I17" s="188">
        <f t="shared" si="1"/>
        <v>0</v>
      </c>
      <c r="J17" s="242"/>
      <c r="K17" s="242"/>
      <c r="L17" s="242"/>
      <c r="M17" s="189">
        <f t="shared" si="2"/>
        <v>0</v>
      </c>
      <c r="N17" s="188">
        <f t="shared" si="3"/>
        <v>0</v>
      </c>
      <c r="O17" s="140"/>
      <c r="P17" s="140"/>
      <c r="Q17" s="140"/>
      <c r="R17" s="140"/>
      <c r="S17" s="140"/>
      <c r="T17" s="140"/>
      <c r="U17" s="140"/>
    </row>
    <row r="18" spans="1:21" ht="25.5" x14ac:dyDescent="0.2">
      <c r="A18" s="281" t="s">
        <v>915</v>
      </c>
      <c r="B18" s="72"/>
      <c r="C18" s="72"/>
      <c r="D18" s="72"/>
      <c r="E18" s="72"/>
      <c r="F18" s="70">
        <f>'4. Átadott p.eszk.'!E32</f>
        <v>0</v>
      </c>
      <c r="G18" s="242"/>
      <c r="H18" s="242"/>
      <c r="I18" s="188">
        <f>SUM(B18:H18)</f>
        <v>0</v>
      </c>
      <c r="J18" s="242"/>
      <c r="K18" s="242"/>
      <c r="L18" s="242"/>
      <c r="M18" s="189">
        <f>SUM(J18:L18)</f>
        <v>0</v>
      </c>
      <c r="N18" s="188">
        <f>SUM(I18+M18)</f>
        <v>0</v>
      </c>
      <c r="O18" s="140"/>
      <c r="P18" s="140"/>
      <c r="Q18" s="140"/>
      <c r="R18" s="140"/>
      <c r="S18" s="140"/>
      <c r="T18" s="140"/>
      <c r="U18" s="140"/>
    </row>
    <row r="19" spans="1:21" ht="25.5" x14ac:dyDescent="0.2">
      <c r="A19" s="281" t="s">
        <v>699</v>
      </c>
      <c r="B19" s="72"/>
      <c r="C19" s="72"/>
      <c r="D19" s="72"/>
      <c r="E19" s="72"/>
      <c r="F19" s="70">
        <f>'4. Átadott p.eszk.'!G32</f>
        <v>0</v>
      </c>
      <c r="G19" s="242"/>
      <c r="H19" s="242"/>
      <c r="I19" s="188">
        <f>SUM(B19:H19)</f>
        <v>0</v>
      </c>
      <c r="J19" s="242"/>
      <c r="K19" s="242"/>
      <c r="L19" s="242"/>
      <c r="M19" s="189">
        <f>SUM(J19:L19)</f>
        <v>0</v>
      </c>
      <c r="N19" s="188">
        <f>SUM(I19+M19)</f>
        <v>0</v>
      </c>
      <c r="O19" s="140"/>
      <c r="P19" s="140"/>
      <c r="Q19" s="140"/>
      <c r="R19" s="140"/>
      <c r="S19" s="140"/>
      <c r="T19" s="140"/>
      <c r="U19" s="140"/>
    </row>
    <row r="20" spans="1:21" ht="25.5" hidden="1" x14ac:dyDescent="0.2">
      <c r="A20" s="281" t="s">
        <v>700</v>
      </c>
      <c r="B20" s="72"/>
      <c r="C20" s="72"/>
      <c r="D20" s="72"/>
      <c r="E20" s="72"/>
      <c r="F20" s="70">
        <f>'4. Átadott p.eszk.'!H32</f>
        <v>0</v>
      </c>
      <c r="G20" s="242"/>
      <c r="H20" s="242"/>
      <c r="I20" s="188">
        <f t="shared" si="1"/>
        <v>0</v>
      </c>
      <c r="J20" s="242"/>
      <c r="K20" s="242"/>
      <c r="L20" s="242"/>
      <c r="M20" s="189">
        <f t="shared" si="2"/>
        <v>0</v>
      </c>
      <c r="N20" s="188">
        <f t="shared" si="3"/>
        <v>0</v>
      </c>
      <c r="O20" s="140"/>
      <c r="P20" s="140"/>
      <c r="Q20" s="140"/>
      <c r="R20" s="140"/>
      <c r="S20" s="140"/>
      <c r="T20" s="140"/>
      <c r="U20" s="140"/>
    </row>
    <row r="21" spans="1:21" ht="19.5" customHeight="1" thickBot="1" x14ac:dyDescent="0.25">
      <c r="A21" s="137" t="s">
        <v>418</v>
      </c>
      <c r="B21" s="72"/>
      <c r="C21" s="72"/>
      <c r="D21" s="72"/>
      <c r="E21" s="72"/>
      <c r="F21" s="72"/>
      <c r="G21" s="72"/>
      <c r="H21" s="72"/>
      <c r="I21" s="190"/>
      <c r="J21" s="72"/>
      <c r="K21" s="72"/>
      <c r="L21" s="72"/>
      <c r="M21" s="190"/>
      <c r="N21" s="190"/>
      <c r="O21" s="140"/>
      <c r="P21" s="140"/>
      <c r="Q21" s="140"/>
      <c r="R21" s="140"/>
      <c r="S21" s="140"/>
      <c r="T21" s="140"/>
      <c r="U21" s="140"/>
    </row>
    <row r="22" spans="1:21" s="71" customFormat="1" ht="30" customHeight="1" thickBot="1" x14ac:dyDescent="0.25">
      <c r="A22" s="478" t="s">
        <v>683</v>
      </c>
      <c r="B22" s="488">
        <v>32617</v>
      </c>
      <c r="C22" s="488">
        <v>3709</v>
      </c>
      <c r="D22" s="488">
        <v>32535</v>
      </c>
      <c r="E22" s="488">
        <v>3589</v>
      </c>
      <c r="F22" s="488">
        <v>9884</v>
      </c>
      <c r="G22" s="488">
        <v>80</v>
      </c>
      <c r="H22" s="488">
        <v>1037</v>
      </c>
      <c r="I22" s="489">
        <v>83451</v>
      </c>
      <c r="J22" s="488">
        <v>9224</v>
      </c>
      <c r="K22" s="488">
        <v>1839</v>
      </c>
      <c r="L22" s="488">
        <v>7827</v>
      </c>
      <c r="M22" s="489">
        <v>18890</v>
      </c>
      <c r="N22" s="489">
        <v>102341</v>
      </c>
      <c r="O22" s="488">
        <v>5</v>
      </c>
      <c r="P22" s="488">
        <v>5</v>
      </c>
      <c r="Q22" s="488">
        <v>5</v>
      </c>
      <c r="R22" s="488">
        <v>5</v>
      </c>
      <c r="S22" s="488">
        <v>5</v>
      </c>
      <c r="T22" s="488">
        <v>5</v>
      </c>
      <c r="U22" s="488">
        <v>5</v>
      </c>
    </row>
    <row r="23" spans="1:21" s="71" customFormat="1" ht="32.25" thickBot="1" x14ac:dyDescent="0.25">
      <c r="A23" s="130" t="s">
        <v>417</v>
      </c>
      <c r="B23" s="131">
        <f t="shared" ref="B23:N23" si="4">B12+B17</f>
        <v>36308</v>
      </c>
      <c r="C23" s="131">
        <f t="shared" si="4"/>
        <v>4536</v>
      </c>
      <c r="D23" s="131">
        <f t="shared" si="4"/>
        <v>37734</v>
      </c>
      <c r="E23" s="131">
        <f t="shared" si="4"/>
        <v>1500</v>
      </c>
      <c r="F23" s="131">
        <f t="shared" si="4"/>
        <v>9600</v>
      </c>
      <c r="G23" s="131">
        <f t="shared" si="4"/>
        <v>0</v>
      </c>
      <c r="H23" s="131">
        <f t="shared" si="4"/>
        <v>933</v>
      </c>
      <c r="I23" s="191">
        <f t="shared" si="4"/>
        <v>90611</v>
      </c>
      <c r="J23" s="131">
        <f t="shared" si="4"/>
        <v>984</v>
      </c>
      <c r="K23" s="131">
        <f t="shared" si="4"/>
        <v>0</v>
      </c>
      <c r="L23" s="131">
        <f t="shared" si="4"/>
        <v>0</v>
      </c>
      <c r="M23" s="191">
        <f t="shared" si="4"/>
        <v>984</v>
      </c>
      <c r="N23" s="191">
        <f t="shared" si="4"/>
        <v>91595</v>
      </c>
      <c r="O23" s="131">
        <f t="shared" ref="O23:U23" si="5">O12</f>
        <v>9</v>
      </c>
      <c r="P23" s="131">
        <f t="shared" si="5"/>
        <v>1</v>
      </c>
      <c r="Q23" s="131">
        <f t="shared" si="5"/>
        <v>1</v>
      </c>
      <c r="R23" s="131">
        <f t="shared" si="5"/>
        <v>3</v>
      </c>
      <c r="S23" s="131">
        <f t="shared" si="5"/>
        <v>2</v>
      </c>
      <c r="T23" s="131">
        <f t="shared" si="5"/>
        <v>2</v>
      </c>
      <c r="U23" s="131">
        <f t="shared" si="5"/>
        <v>0</v>
      </c>
    </row>
    <row r="24" spans="1:21" s="71" customFormat="1" ht="48" thickBot="1" x14ac:dyDescent="0.25">
      <c r="A24" s="130" t="s">
        <v>914</v>
      </c>
      <c r="B24" s="131">
        <f t="shared" ref="B24:N24" si="6">B13+B18</f>
        <v>37526</v>
      </c>
      <c r="C24" s="131">
        <f t="shared" si="6"/>
        <v>4659</v>
      </c>
      <c r="D24" s="131">
        <f t="shared" si="6"/>
        <v>38922</v>
      </c>
      <c r="E24" s="131">
        <f t="shared" si="6"/>
        <v>1500</v>
      </c>
      <c r="F24" s="131">
        <f t="shared" si="6"/>
        <v>9855</v>
      </c>
      <c r="G24" s="131">
        <f t="shared" si="6"/>
        <v>84</v>
      </c>
      <c r="H24" s="131">
        <f t="shared" si="6"/>
        <v>933</v>
      </c>
      <c r="I24" s="191">
        <f t="shared" si="6"/>
        <v>93479</v>
      </c>
      <c r="J24" s="131">
        <f t="shared" si="6"/>
        <v>984</v>
      </c>
      <c r="K24" s="131">
        <f t="shared" si="6"/>
        <v>11999</v>
      </c>
      <c r="L24" s="131">
        <f t="shared" si="6"/>
        <v>0</v>
      </c>
      <c r="M24" s="191">
        <f t="shared" si="6"/>
        <v>12983</v>
      </c>
      <c r="N24" s="191">
        <f t="shared" si="6"/>
        <v>106462</v>
      </c>
      <c r="O24" s="131">
        <f t="shared" ref="O24:P26" si="7">O13</f>
        <v>9</v>
      </c>
      <c r="P24" s="131">
        <f t="shared" si="7"/>
        <v>1</v>
      </c>
      <c r="Q24" s="131">
        <f t="shared" ref="Q24:U24" si="8">Q13</f>
        <v>1</v>
      </c>
      <c r="R24" s="131">
        <f t="shared" si="8"/>
        <v>3</v>
      </c>
      <c r="S24" s="131">
        <f t="shared" si="8"/>
        <v>2</v>
      </c>
      <c r="T24" s="131">
        <f t="shared" si="8"/>
        <v>2</v>
      </c>
      <c r="U24" s="131">
        <f t="shared" si="8"/>
        <v>0</v>
      </c>
    </row>
    <row r="25" spans="1:21" s="71" customFormat="1" ht="48" thickBot="1" x14ac:dyDescent="0.25">
      <c r="A25" s="130" t="s">
        <v>684</v>
      </c>
      <c r="B25" s="131">
        <f t="shared" ref="B25:N25" si="9">B14+B19</f>
        <v>37921</v>
      </c>
      <c r="C25" s="131">
        <f t="shared" si="9"/>
        <v>4659</v>
      </c>
      <c r="D25" s="131">
        <f t="shared" si="9"/>
        <v>40557</v>
      </c>
      <c r="E25" s="131">
        <f t="shared" si="9"/>
        <v>3348</v>
      </c>
      <c r="F25" s="131">
        <f t="shared" si="9"/>
        <v>9855</v>
      </c>
      <c r="G25" s="131">
        <f t="shared" si="9"/>
        <v>6673</v>
      </c>
      <c r="H25" s="131">
        <f t="shared" si="9"/>
        <v>933</v>
      </c>
      <c r="I25" s="191">
        <f t="shared" si="9"/>
        <v>103946</v>
      </c>
      <c r="J25" s="131">
        <f t="shared" si="9"/>
        <v>984</v>
      </c>
      <c r="K25" s="131">
        <f t="shared" si="9"/>
        <v>11999</v>
      </c>
      <c r="L25" s="131">
        <f t="shared" si="9"/>
        <v>0</v>
      </c>
      <c r="M25" s="191">
        <f t="shared" si="9"/>
        <v>12983</v>
      </c>
      <c r="N25" s="191">
        <f t="shared" si="9"/>
        <v>116929</v>
      </c>
      <c r="O25" s="131">
        <f t="shared" si="7"/>
        <v>10</v>
      </c>
      <c r="P25" s="131">
        <f t="shared" si="7"/>
        <v>1</v>
      </c>
      <c r="Q25" s="131">
        <f t="shared" ref="Q25:U25" si="10">Q14</f>
        <v>1</v>
      </c>
      <c r="R25" s="131">
        <f t="shared" si="10"/>
        <v>3</v>
      </c>
      <c r="S25" s="131">
        <f t="shared" si="10"/>
        <v>2</v>
      </c>
      <c r="T25" s="131">
        <f t="shared" si="10"/>
        <v>2</v>
      </c>
      <c r="U25" s="131">
        <f t="shared" si="10"/>
        <v>1</v>
      </c>
    </row>
    <row r="26" spans="1:21" s="71" customFormat="1" ht="48" hidden="1" thickBot="1" x14ac:dyDescent="0.25">
      <c r="A26" s="130" t="s">
        <v>685</v>
      </c>
      <c r="B26" s="131">
        <f t="shared" ref="B26:N26" si="11">B15+B20</f>
        <v>37028</v>
      </c>
      <c r="C26" s="131">
        <f t="shared" si="11"/>
        <v>4518</v>
      </c>
      <c r="D26" s="131">
        <f t="shared" si="11"/>
        <v>31856</v>
      </c>
      <c r="E26" s="131">
        <f t="shared" si="11"/>
        <v>3330</v>
      </c>
      <c r="F26" s="131">
        <f t="shared" si="11"/>
        <v>9854</v>
      </c>
      <c r="G26" s="131">
        <f t="shared" si="11"/>
        <v>0</v>
      </c>
      <c r="H26" s="131">
        <f t="shared" si="11"/>
        <v>932</v>
      </c>
      <c r="I26" s="191">
        <f t="shared" si="11"/>
        <v>87518</v>
      </c>
      <c r="J26" s="131">
        <f t="shared" si="11"/>
        <v>634</v>
      </c>
      <c r="K26" s="131">
        <f t="shared" si="11"/>
        <v>0</v>
      </c>
      <c r="L26" s="131">
        <f t="shared" si="11"/>
        <v>0</v>
      </c>
      <c r="M26" s="191">
        <f t="shared" si="11"/>
        <v>634</v>
      </c>
      <c r="N26" s="191">
        <f t="shared" si="11"/>
        <v>88152</v>
      </c>
      <c r="O26" s="131">
        <f t="shared" si="7"/>
        <v>10</v>
      </c>
      <c r="P26" s="131">
        <f t="shared" si="7"/>
        <v>1</v>
      </c>
      <c r="Q26" s="131">
        <f t="shared" ref="Q26:U26" si="12">Q15</f>
        <v>1</v>
      </c>
      <c r="R26" s="131">
        <f t="shared" si="12"/>
        <v>3</v>
      </c>
      <c r="S26" s="131">
        <f t="shared" si="12"/>
        <v>2</v>
      </c>
      <c r="T26" s="131">
        <f t="shared" si="12"/>
        <v>2</v>
      </c>
      <c r="U26" s="131">
        <f t="shared" si="12"/>
        <v>1</v>
      </c>
    </row>
    <row r="28" spans="1:21" x14ac:dyDescent="0.2">
      <c r="L28" s="65"/>
      <c r="M28" s="65"/>
      <c r="N28" s="65"/>
    </row>
    <row r="29" spans="1:21" x14ac:dyDescent="0.2">
      <c r="L29" s="65"/>
      <c r="M29" s="65"/>
      <c r="N29" s="65"/>
    </row>
    <row r="30" spans="1:21" x14ac:dyDescent="0.2">
      <c r="M30" s="65"/>
      <c r="N30" s="65"/>
    </row>
    <row r="31" spans="1:21" x14ac:dyDescent="0.2">
      <c r="M31" s="65"/>
      <c r="N31" s="65"/>
    </row>
  </sheetData>
  <mergeCells count="23">
    <mergeCell ref="U8:U10"/>
    <mergeCell ref="P8:P10"/>
    <mergeCell ref="Q8:Q10"/>
    <mergeCell ref="R8:R10"/>
    <mergeCell ref="S8:S10"/>
    <mergeCell ref="T8:T10"/>
    <mergeCell ref="O8:O10"/>
    <mergeCell ref="M9:M10"/>
    <mergeCell ref="B9:B10"/>
    <mergeCell ref="C9:C10"/>
    <mergeCell ref="D9:D10"/>
    <mergeCell ref="E9:E10"/>
    <mergeCell ref="H9:H10"/>
    <mergeCell ref="J9:J10"/>
    <mergeCell ref="K9:K10"/>
    <mergeCell ref="L9:L10"/>
    <mergeCell ref="A5:N5"/>
    <mergeCell ref="A8:A10"/>
    <mergeCell ref="I8:I10"/>
    <mergeCell ref="B8:H8"/>
    <mergeCell ref="J8:M8"/>
    <mergeCell ref="N8:N10"/>
    <mergeCell ref="F9:G9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70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71"/>
  <sheetViews>
    <sheetView zoomScaleNormal="100" workbookViewId="0">
      <selection activeCell="G9" sqref="G9"/>
    </sheetView>
  </sheetViews>
  <sheetFormatPr defaultRowHeight="12.75" x14ac:dyDescent="0.2"/>
  <cols>
    <col min="1" max="1" width="38.7109375" customWidth="1"/>
    <col min="2" max="2" width="12.7109375" customWidth="1"/>
    <col min="3" max="3" width="12.7109375" style="103" hidden="1" customWidth="1"/>
    <col min="4" max="8" width="12.7109375" customWidth="1"/>
    <col min="9" max="9" width="16" hidden="1" customWidth="1"/>
    <col min="10" max="11" width="12.7109375" hidden="1" customWidth="1"/>
    <col min="12" max="12" width="10.28515625" customWidth="1"/>
  </cols>
  <sheetData>
    <row r="1" spans="1:26" ht="13.5" customHeight="1" x14ac:dyDescent="0.2">
      <c r="A1" s="3"/>
      <c r="B1" s="3"/>
      <c r="C1" s="3"/>
      <c r="D1" s="3"/>
      <c r="E1" s="3"/>
      <c r="G1" s="183" t="s">
        <v>444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 x14ac:dyDescent="0.2">
      <c r="A2" s="3"/>
      <c r="B2" s="3"/>
      <c r="C2" s="3"/>
      <c r="D2" s="3"/>
      <c r="E2" s="3"/>
      <c r="G2" s="214" t="str">
        <f>'1.Bev-kiad.'!H2</f>
        <v>az 1/2026.(II.26.) önkormányzati rendelethez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2">
      <c r="A3" s="87"/>
      <c r="B3" s="3"/>
      <c r="C3" s="88"/>
      <c r="D3" s="3"/>
      <c r="E3" s="3"/>
      <c r="H3" s="3"/>
      <c r="I3" s="3"/>
      <c r="J3" s="3"/>
      <c r="K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">
      <c r="A4" s="87"/>
      <c r="B4" s="3"/>
      <c r="C4" s="88"/>
      <c r="D4" s="3"/>
      <c r="E4" s="3"/>
      <c r="G4" s="214"/>
      <c r="H4" s="3"/>
      <c r="I4" s="3"/>
      <c r="J4" s="3"/>
      <c r="K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x14ac:dyDescent="0.2">
      <c r="A5" s="554" t="s">
        <v>354</v>
      </c>
      <c r="B5" s="554"/>
      <c r="C5" s="554"/>
      <c r="D5" s="554"/>
      <c r="E5" s="554"/>
      <c r="F5" s="554"/>
      <c r="G5" s="554"/>
      <c r="H5" s="52"/>
      <c r="I5" s="52"/>
      <c r="J5" s="52"/>
      <c r="K5" s="52"/>
      <c r="L5" s="3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3.5" customHeight="1" x14ac:dyDescent="0.2">
      <c r="A6" s="555" t="s">
        <v>501</v>
      </c>
      <c r="B6" s="556"/>
      <c r="C6" s="556"/>
      <c r="D6" s="556"/>
      <c r="E6" s="556"/>
      <c r="F6" s="556"/>
      <c r="G6" s="556"/>
      <c r="H6" s="52"/>
      <c r="I6" s="52"/>
      <c r="J6" s="52"/>
      <c r="K6" s="3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6" ht="13.5" customHeight="1" thickBot="1" x14ac:dyDescent="0.25">
      <c r="A7" s="3"/>
      <c r="B7" s="3"/>
      <c r="C7" s="88"/>
      <c r="G7" s="183" t="s">
        <v>25</v>
      </c>
      <c r="H7" s="52"/>
      <c r="I7" s="52"/>
      <c r="J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6" ht="44.25" customHeight="1" thickBot="1" x14ac:dyDescent="0.25">
      <c r="A8" s="90" t="s">
        <v>311</v>
      </c>
      <c r="B8" s="91" t="s">
        <v>47</v>
      </c>
      <c r="C8" s="215" t="s">
        <v>514</v>
      </c>
      <c r="D8" s="215">
        <v>2025</v>
      </c>
      <c r="E8" s="215">
        <v>2026</v>
      </c>
      <c r="F8" s="215">
        <v>2027</v>
      </c>
      <c r="G8" s="216">
        <v>2028</v>
      </c>
    </row>
    <row r="9" spans="1:26" ht="13.5" customHeight="1" x14ac:dyDescent="0.2">
      <c r="A9" s="92" t="s">
        <v>48</v>
      </c>
      <c r="B9" s="93"/>
      <c r="C9" s="93"/>
      <c r="D9" s="151"/>
      <c r="E9" s="93"/>
      <c r="F9" s="93"/>
      <c r="G9" s="93"/>
    </row>
    <row r="10" spans="1:26" ht="13.5" customHeight="1" x14ac:dyDescent="0.2">
      <c r="A10" s="61" t="s">
        <v>50</v>
      </c>
      <c r="B10" s="93"/>
      <c r="C10" s="93"/>
      <c r="D10" s="151"/>
      <c r="E10" s="93"/>
      <c r="F10" s="93"/>
      <c r="G10" s="93"/>
    </row>
    <row r="11" spans="1:26" ht="13.5" customHeight="1" x14ac:dyDescent="0.2">
      <c r="A11" s="61" t="s">
        <v>49</v>
      </c>
      <c r="B11" s="94"/>
      <c r="C11" s="94"/>
      <c r="D11" s="152"/>
      <c r="E11" s="24"/>
      <c r="F11" s="24"/>
      <c r="G11" s="24"/>
    </row>
    <row r="12" spans="1:26" ht="13.5" customHeight="1" x14ac:dyDescent="0.2">
      <c r="A12" s="61" t="s">
        <v>50</v>
      </c>
      <c r="B12" s="60"/>
      <c r="C12" s="60"/>
      <c r="D12" s="153"/>
      <c r="E12" s="60"/>
      <c r="F12" s="60"/>
      <c r="G12" s="24"/>
      <c r="I12" s="359">
        <f>270000000-225680*14-233997-2821178-12960350-2698750-241425845-94274-2700000-225680</f>
        <v>3680406</v>
      </c>
      <c r="J12">
        <f>(335000-225680)*15+335000*2*0.9*0.155+335000*13*0.9*0.13</f>
        <v>2242800</v>
      </c>
      <c r="K12" t="s">
        <v>527</v>
      </c>
    </row>
    <row r="13" spans="1:26" ht="13.5" customHeight="1" x14ac:dyDescent="0.2">
      <c r="A13" s="24" t="s">
        <v>51</v>
      </c>
      <c r="B13" s="25"/>
      <c r="C13" s="25"/>
      <c r="D13" s="152"/>
      <c r="E13" s="24"/>
      <c r="F13" s="24"/>
      <c r="G13" s="24"/>
      <c r="J13">
        <f>(335000-225680)*15</f>
        <v>1639800</v>
      </c>
    </row>
    <row r="14" spans="1:26" ht="13.5" customHeight="1" thickBot="1" x14ac:dyDescent="0.25">
      <c r="A14" s="95" t="s">
        <v>50</v>
      </c>
      <c r="B14" s="25"/>
      <c r="C14" s="25"/>
      <c r="D14" s="152"/>
      <c r="E14" s="24"/>
      <c r="F14" s="24"/>
      <c r="G14" s="24"/>
      <c r="J14">
        <f>3681-1290</f>
        <v>2391</v>
      </c>
    </row>
    <row r="15" spans="1:26" ht="13.5" customHeight="1" thickBot="1" x14ac:dyDescent="0.25">
      <c r="A15" s="96" t="s">
        <v>39</v>
      </c>
      <c r="B15" s="97">
        <f t="shared" ref="B15:G15" si="0">SUM(B11:B14)</f>
        <v>0</v>
      </c>
      <c r="C15" s="97">
        <f t="shared" si="0"/>
        <v>0</v>
      </c>
      <c r="D15" s="154">
        <f t="shared" si="0"/>
        <v>0</v>
      </c>
      <c r="E15" s="97">
        <f t="shared" si="0"/>
        <v>0</v>
      </c>
      <c r="F15" s="97">
        <f t="shared" si="0"/>
        <v>0</v>
      </c>
      <c r="G15" s="98">
        <f t="shared" si="0"/>
        <v>0</v>
      </c>
    </row>
    <row r="16" spans="1:26" ht="13.5" customHeight="1" x14ac:dyDescent="0.2">
      <c r="A16" s="3"/>
      <c r="B16" s="3"/>
      <c r="C16" s="3"/>
      <c r="D16" s="52"/>
      <c r="E16" s="52"/>
      <c r="F16" s="52"/>
      <c r="G16" s="52"/>
      <c r="H16" s="52"/>
      <c r="I16" s="52"/>
      <c r="J16" s="52"/>
      <c r="K16" s="52"/>
    </row>
    <row r="17" spans="1:7" ht="12.95" customHeight="1" x14ac:dyDescent="0.2">
      <c r="A17" s="52"/>
      <c r="B17" s="52"/>
      <c r="C17" s="52"/>
      <c r="D17" s="52"/>
      <c r="E17" s="52"/>
      <c r="F17" s="52"/>
      <c r="G17" s="52"/>
    </row>
    <row r="18" spans="1:7" ht="12.95" customHeight="1" x14ac:dyDescent="0.2">
      <c r="B18" s="74"/>
      <c r="C18" s="102"/>
    </row>
    <row r="19" spans="1:7" ht="12.95" customHeight="1" x14ac:dyDescent="0.2">
      <c r="B19" s="74"/>
      <c r="C19" s="102"/>
    </row>
    <row r="20" spans="1:7" ht="12.95" customHeight="1" x14ac:dyDescent="0.2">
      <c r="B20" s="74"/>
      <c r="C20" s="102"/>
    </row>
    <row r="21" spans="1:7" ht="12.95" customHeight="1" x14ac:dyDescent="0.2">
      <c r="B21" s="74"/>
      <c r="C21" s="102"/>
    </row>
    <row r="22" spans="1:7" ht="12.95" customHeight="1" x14ac:dyDescent="0.2">
      <c r="B22" s="74"/>
      <c r="C22" s="102"/>
    </row>
    <row r="23" spans="1:7" ht="12.95" customHeight="1" x14ac:dyDescent="0.2">
      <c r="B23" s="74"/>
      <c r="C23" s="102"/>
    </row>
    <row r="24" spans="1:7" ht="12.95" customHeight="1" x14ac:dyDescent="0.2">
      <c r="B24" s="74"/>
      <c r="C24" s="102"/>
    </row>
    <row r="25" spans="1:7" ht="12.95" customHeight="1" x14ac:dyDescent="0.2">
      <c r="B25" s="74"/>
      <c r="C25" s="102"/>
    </row>
    <row r="26" spans="1:7" ht="12.95" customHeight="1" x14ac:dyDescent="0.2">
      <c r="B26" s="74"/>
      <c r="C26" s="102"/>
    </row>
    <row r="27" spans="1:7" ht="12.95" customHeight="1" x14ac:dyDescent="0.2">
      <c r="B27" s="74"/>
      <c r="C27" s="102"/>
    </row>
    <row r="28" spans="1:7" ht="12.95" customHeight="1" x14ac:dyDescent="0.2">
      <c r="B28" s="74"/>
      <c r="C28" s="102"/>
    </row>
    <row r="29" spans="1:7" ht="12.95" customHeight="1" x14ac:dyDescent="0.2">
      <c r="B29" s="74"/>
      <c r="C29" s="102"/>
    </row>
    <row r="30" spans="1:7" ht="12.95" customHeight="1" x14ac:dyDescent="0.2">
      <c r="B30" s="74"/>
      <c r="C30" s="102"/>
    </row>
    <row r="31" spans="1:7" ht="12.95" customHeight="1" x14ac:dyDescent="0.2">
      <c r="B31" s="74"/>
      <c r="C31" s="102"/>
    </row>
    <row r="32" spans="1:7" ht="12.95" customHeight="1" x14ac:dyDescent="0.2">
      <c r="B32" s="74"/>
      <c r="C32" s="102"/>
    </row>
    <row r="33" spans="2:3" ht="12.95" customHeight="1" x14ac:dyDescent="0.2">
      <c r="B33" s="74"/>
      <c r="C33" s="102"/>
    </row>
    <row r="34" spans="2:3" ht="12.95" customHeight="1" x14ac:dyDescent="0.2">
      <c r="B34" s="74"/>
      <c r="C34" s="102"/>
    </row>
    <row r="35" spans="2:3" ht="12.95" customHeight="1" x14ac:dyDescent="0.2">
      <c r="B35" s="74"/>
      <c r="C35" s="102"/>
    </row>
    <row r="36" spans="2:3" ht="12.95" customHeight="1" x14ac:dyDescent="0.2">
      <c r="B36" s="74"/>
      <c r="C36" s="102"/>
    </row>
    <row r="37" spans="2:3" ht="12.95" customHeight="1" x14ac:dyDescent="0.2">
      <c r="B37" s="74"/>
      <c r="C37" s="102"/>
    </row>
    <row r="38" spans="2:3" ht="12.95" customHeight="1" x14ac:dyDescent="0.2">
      <c r="B38" s="74"/>
      <c r="C38" s="102"/>
    </row>
    <row r="39" spans="2:3" ht="12.95" customHeight="1" x14ac:dyDescent="0.2">
      <c r="B39" s="74"/>
      <c r="C39" s="102"/>
    </row>
    <row r="40" spans="2:3" ht="12.95" customHeight="1" x14ac:dyDescent="0.2">
      <c r="B40" s="74"/>
      <c r="C40" s="102"/>
    </row>
    <row r="41" spans="2:3" ht="12.95" customHeight="1" x14ac:dyDescent="0.2">
      <c r="B41" s="74"/>
      <c r="C41" s="102"/>
    </row>
    <row r="42" spans="2:3" ht="12.95" customHeight="1" x14ac:dyDescent="0.2">
      <c r="B42" s="74"/>
      <c r="C42" s="102"/>
    </row>
    <row r="43" spans="2:3" ht="12.95" customHeight="1" x14ac:dyDescent="0.2">
      <c r="B43" s="74"/>
      <c r="C43" s="102"/>
    </row>
    <row r="44" spans="2:3" ht="12.95" customHeight="1" x14ac:dyDescent="0.2">
      <c r="B44" s="74"/>
      <c r="C44" s="102"/>
    </row>
    <row r="45" spans="2:3" ht="12.95" customHeight="1" x14ac:dyDescent="0.2">
      <c r="B45" s="74"/>
      <c r="C45" s="102"/>
    </row>
    <row r="46" spans="2:3" ht="12.95" customHeight="1" x14ac:dyDescent="0.2">
      <c r="B46" s="74"/>
      <c r="C46" s="102"/>
    </row>
    <row r="47" spans="2:3" ht="12.95" customHeight="1" x14ac:dyDescent="0.2">
      <c r="B47" s="74"/>
      <c r="C47" s="102"/>
    </row>
    <row r="48" spans="2:3" ht="12.95" customHeight="1" x14ac:dyDescent="0.2">
      <c r="B48" s="74"/>
      <c r="C48" s="102"/>
    </row>
    <row r="49" spans="2:3" ht="12.95" customHeight="1" x14ac:dyDescent="0.2">
      <c r="B49" s="74"/>
      <c r="C49" s="102"/>
    </row>
    <row r="50" spans="2:3" ht="12.95" customHeight="1" x14ac:dyDescent="0.2">
      <c r="B50" s="74"/>
      <c r="C50" s="102"/>
    </row>
    <row r="51" spans="2:3" ht="12.95" customHeight="1" x14ac:dyDescent="0.2">
      <c r="B51" s="74"/>
      <c r="C51" s="102"/>
    </row>
    <row r="52" spans="2:3" ht="12.95" customHeight="1" x14ac:dyDescent="0.2">
      <c r="B52" s="74"/>
      <c r="C52" s="102"/>
    </row>
    <row r="53" spans="2:3" ht="12.95" customHeight="1" x14ac:dyDescent="0.2">
      <c r="B53" s="74"/>
      <c r="C53" s="102"/>
    </row>
    <row r="54" spans="2:3" x14ac:dyDescent="0.2">
      <c r="B54" s="74"/>
      <c r="C54" s="102"/>
    </row>
    <row r="55" spans="2:3" x14ac:dyDescent="0.2">
      <c r="B55" s="74"/>
      <c r="C55" s="102"/>
    </row>
    <row r="56" spans="2:3" x14ac:dyDescent="0.2">
      <c r="B56" s="74"/>
      <c r="C56" s="102"/>
    </row>
    <row r="57" spans="2:3" x14ac:dyDescent="0.2">
      <c r="B57" s="74"/>
      <c r="C57" s="102"/>
    </row>
    <row r="58" spans="2:3" x14ac:dyDescent="0.2">
      <c r="B58" s="74"/>
      <c r="C58" s="102"/>
    </row>
    <row r="59" spans="2:3" x14ac:dyDescent="0.2">
      <c r="B59" s="74"/>
      <c r="C59" s="102"/>
    </row>
    <row r="60" spans="2:3" x14ac:dyDescent="0.2">
      <c r="B60" s="74"/>
      <c r="C60" s="102"/>
    </row>
    <row r="61" spans="2:3" x14ac:dyDescent="0.2">
      <c r="B61" s="74"/>
      <c r="C61" s="102"/>
    </row>
    <row r="62" spans="2:3" x14ac:dyDescent="0.2">
      <c r="B62" s="74"/>
      <c r="C62" s="102"/>
    </row>
    <row r="63" spans="2:3" x14ac:dyDescent="0.2">
      <c r="B63" s="74"/>
      <c r="C63" s="102"/>
    </row>
    <row r="64" spans="2:3" x14ac:dyDescent="0.2">
      <c r="B64" s="74"/>
      <c r="C64" s="102"/>
    </row>
    <row r="65" spans="2:3" x14ac:dyDescent="0.2">
      <c r="B65" s="74"/>
      <c r="C65" s="102"/>
    </row>
    <row r="66" spans="2:3" x14ac:dyDescent="0.2">
      <c r="B66" s="74"/>
      <c r="C66" s="102"/>
    </row>
    <row r="67" spans="2:3" x14ac:dyDescent="0.2">
      <c r="B67" s="74"/>
      <c r="C67" s="102"/>
    </row>
    <row r="68" spans="2:3" x14ac:dyDescent="0.2">
      <c r="B68" s="74"/>
      <c r="C68" s="102"/>
    </row>
    <row r="69" spans="2:3" x14ac:dyDescent="0.2">
      <c r="B69" s="74"/>
      <c r="C69" s="102"/>
    </row>
    <row r="70" spans="2:3" x14ac:dyDescent="0.2">
      <c r="B70" s="74"/>
      <c r="C70" s="102"/>
    </row>
    <row r="71" spans="2:3" x14ac:dyDescent="0.2">
      <c r="B71" s="74"/>
      <c r="C71" s="102"/>
    </row>
  </sheetData>
  <mergeCells count="2">
    <mergeCell ref="A5:G5"/>
    <mergeCell ref="A6:G6"/>
  </mergeCells>
  <pageMargins left="0.64" right="0.2" top="0.31" bottom="1" header="0.19" footer="0.5"/>
  <pageSetup paperSize="9" scale="10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83"/>
  <sheetViews>
    <sheetView zoomScale="80" zoomScaleNormal="80" workbookViewId="0">
      <selection activeCell="B18" sqref="B18"/>
    </sheetView>
  </sheetViews>
  <sheetFormatPr defaultRowHeight="12.75" x14ac:dyDescent="0.2"/>
  <cols>
    <col min="1" max="1" width="6.140625" customWidth="1"/>
    <col min="2" max="2" width="50" customWidth="1"/>
    <col min="3" max="3" width="7.7109375" customWidth="1"/>
    <col min="4" max="6" width="12.7109375" customWidth="1"/>
    <col min="7" max="7" width="12.7109375" hidden="1" customWidth="1"/>
    <col min="8" max="8" width="8.140625" style="9" customWidth="1"/>
    <col min="9" max="11" width="11.140625" style="9" customWidth="1"/>
    <col min="12" max="12" width="11.140625" style="9" hidden="1" customWidth="1"/>
    <col min="13" max="13" width="7.85546875" style="9" customWidth="1"/>
    <col min="14" max="16" width="11.140625" style="9" customWidth="1"/>
    <col min="17" max="17" width="11.140625" style="9" hidden="1" customWidth="1"/>
    <col min="18" max="18" width="7.7109375" style="9" customWidth="1"/>
    <col min="19" max="21" width="11.140625" style="9" customWidth="1"/>
    <col min="22" max="22" width="11.140625" style="9" hidden="1" customWidth="1"/>
    <col min="23" max="23" width="7.28515625" customWidth="1"/>
    <col min="24" max="24" width="10.5703125" customWidth="1"/>
    <col min="25" max="25" width="11.5703125" customWidth="1"/>
    <col min="26" max="26" width="10.85546875" customWidth="1"/>
    <col min="27" max="27" width="10.85546875" hidden="1" customWidth="1"/>
    <col min="28" max="28" width="7.28515625" customWidth="1"/>
    <col min="29" max="29" width="9.42578125" customWidth="1"/>
    <col min="30" max="30" width="11.140625" customWidth="1"/>
    <col min="31" max="31" width="12.5703125" customWidth="1"/>
    <col min="32" max="32" width="10.7109375" hidden="1" customWidth="1"/>
    <col min="33" max="33" width="7.5703125" customWidth="1"/>
    <col min="34" max="34" width="10.5703125" customWidth="1"/>
    <col min="35" max="35" width="11.28515625" customWidth="1"/>
    <col min="36" max="36" width="10.5703125" customWidth="1"/>
    <col min="37" max="37" width="10.5703125" hidden="1" customWidth="1"/>
    <col min="38" max="38" width="7.85546875" customWidth="1"/>
    <col min="39" max="39" width="9.5703125" bestFit="1" customWidth="1"/>
    <col min="40" max="40" width="11.140625" customWidth="1"/>
    <col min="41" max="41" width="11" customWidth="1"/>
    <col min="42" max="42" width="10.7109375" hidden="1" customWidth="1"/>
    <col min="43" max="43" width="7.85546875" customWidth="1"/>
    <col min="44" max="44" width="9.5703125" bestFit="1" customWidth="1"/>
    <col min="45" max="45" width="11.140625" customWidth="1"/>
    <col min="46" max="46" width="11" customWidth="1"/>
    <col min="47" max="47" width="10.7109375" hidden="1" customWidth="1"/>
    <col min="48" max="48" width="7.85546875" customWidth="1"/>
    <col min="49" max="49" width="10.7109375" customWidth="1"/>
    <col min="50" max="50" width="12.140625" customWidth="1"/>
    <col min="51" max="51" width="10.7109375" customWidth="1"/>
    <col min="52" max="52" width="11.85546875" hidden="1" customWidth="1"/>
    <col min="53" max="53" width="9.140625" customWidth="1"/>
    <col min="54" max="54" width="8.85546875" bestFit="1" customWidth="1"/>
    <col min="55" max="56" width="9.140625" customWidth="1"/>
  </cols>
  <sheetData>
    <row r="1" spans="1:53" x14ac:dyDescent="0.2">
      <c r="A1" s="52"/>
      <c r="B1" s="1"/>
      <c r="C1" s="57"/>
      <c r="D1" s="57"/>
      <c r="E1" s="57"/>
      <c r="F1" s="57"/>
      <c r="G1" s="57"/>
      <c r="P1" s="53" t="s">
        <v>443</v>
      </c>
      <c r="AY1" s="53" t="s">
        <v>443</v>
      </c>
    </row>
    <row r="2" spans="1:53" x14ac:dyDescent="0.2">
      <c r="A2" s="52"/>
      <c r="B2" s="1"/>
      <c r="C2" s="57"/>
      <c r="D2" s="57"/>
      <c r="E2" s="57"/>
      <c r="F2" s="57"/>
      <c r="G2" s="57"/>
      <c r="P2" s="55" t="str">
        <f>AY2</f>
        <v>az 1/2026.(II.26.) önkormányzati rendelethez</v>
      </c>
      <c r="AY2" s="55" t="str">
        <f>'1.Bev-kiad.'!H2</f>
        <v>az 1/2026.(II.26.) önkormányzati rendelethez</v>
      </c>
    </row>
    <row r="3" spans="1:53" x14ac:dyDescent="0.2">
      <c r="A3" s="52"/>
      <c r="B3" s="1"/>
      <c r="C3" s="57"/>
      <c r="D3" s="57"/>
      <c r="E3" s="57"/>
      <c r="F3" s="57"/>
      <c r="G3" s="57"/>
      <c r="P3" s="55" t="s">
        <v>672</v>
      </c>
      <c r="AY3" s="55" t="s">
        <v>672</v>
      </c>
      <c r="AZ3" s="55"/>
    </row>
    <row r="4" spans="1:53" ht="15.75" x14ac:dyDescent="0.25">
      <c r="A4" s="557" t="s">
        <v>355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494"/>
      <c r="V4" s="494"/>
      <c r="W4" s="494"/>
      <c r="X4" s="494"/>
      <c r="Y4" s="494"/>
      <c r="Z4" s="494"/>
      <c r="AA4" s="494"/>
      <c r="AB4" s="494"/>
      <c r="AC4" s="494"/>
      <c r="AD4" s="494"/>
      <c r="AE4" s="494"/>
      <c r="AF4" s="494"/>
      <c r="AG4" s="494"/>
      <c r="AH4" s="494"/>
      <c r="AI4" s="49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494"/>
    </row>
    <row r="5" spans="1:53" ht="15.75" customHeight="1" x14ac:dyDescent="0.25">
      <c r="A5" s="557" t="s">
        <v>614</v>
      </c>
      <c r="B5" s="557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4"/>
      <c r="AL5" s="494"/>
      <c r="AM5" s="494"/>
      <c r="AN5" s="494"/>
      <c r="AO5" s="494"/>
      <c r="AP5" s="494"/>
      <c r="AQ5" s="494"/>
      <c r="AR5" s="494"/>
      <c r="AS5" s="494"/>
      <c r="AT5" s="494"/>
      <c r="AU5" s="494"/>
      <c r="AV5" s="494"/>
      <c r="AW5" s="494"/>
      <c r="AX5" s="494"/>
      <c r="AY5" s="494"/>
      <c r="AZ5" s="494"/>
    </row>
    <row r="6" spans="1:53" ht="15.75" x14ac:dyDescent="0.25">
      <c r="A6" s="52"/>
      <c r="B6" s="442"/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  <c r="W6" s="442"/>
      <c r="X6" s="442"/>
      <c r="Y6" s="442"/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2"/>
      <c r="AL6" s="442"/>
      <c r="AM6" s="442"/>
      <c r="AN6" s="442"/>
      <c r="AO6" s="442"/>
      <c r="AP6" s="442"/>
      <c r="AQ6" s="442"/>
      <c r="AR6" s="442"/>
      <c r="AS6" s="442"/>
      <c r="AT6" s="442"/>
      <c r="AU6" s="442"/>
      <c r="AV6" s="442"/>
      <c r="AW6" s="442"/>
      <c r="AY6" s="186" t="s">
        <v>0</v>
      </c>
    </row>
    <row r="7" spans="1:53" ht="101.25" customHeight="1" x14ac:dyDescent="0.2">
      <c r="A7" s="562" t="s">
        <v>100</v>
      </c>
      <c r="B7" s="561" t="s">
        <v>26</v>
      </c>
      <c r="C7" s="558" t="s">
        <v>917</v>
      </c>
      <c r="D7" s="559"/>
      <c r="E7" s="559"/>
      <c r="F7" s="559"/>
      <c r="G7" s="560"/>
      <c r="H7" s="558" t="s">
        <v>666</v>
      </c>
      <c r="I7" s="559"/>
      <c r="J7" s="559"/>
      <c r="K7" s="559"/>
      <c r="L7" s="560"/>
      <c r="M7" s="558" t="s">
        <v>325</v>
      </c>
      <c r="N7" s="559"/>
      <c r="O7" s="559"/>
      <c r="P7" s="559"/>
      <c r="Q7" s="560"/>
      <c r="R7" s="558" t="s">
        <v>357</v>
      </c>
      <c r="S7" s="559"/>
      <c r="T7" s="559"/>
      <c r="U7" s="559"/>
      <c r="V7" s="560"/>
      <c r="W7" s="558" t="s">
        <v>97</v>
      </c>
      <c r="X7" s="559"/>
      <c r="Y7" s="559"/>
      <c r="Z7" s="559"/>
      <c r="AA7" s="560"/>
      <c r="AB7" s="558" t="s">
        <v>668</v>
      </c>
      <c r="AC7" s="559"/>
      <c r="AD7" s="559"/>
      <c r="AE7" s="559"/>
      <c r="AF7" s="560"/>
      <c r="AG7" s="558" t="s">
        <v>667</v>
      </c>
      <c r="AH7" s="559"/>
      <c r="AI7" s="559"/>
      <c r="AJ7" s="559"/>
      <c r="AK7" s="560"/>
      <c r="AL7" s="558" t="s">
        <v>669</v>
      </c>
      <c r="AM7" s="559"/>
      <c r="AN7" s="559"/>
      <c r="AO7" s="559"/>
      <c r="AP7" s="560"/>
      <c r="AQ7" s="558" t="s">
        <v>919</v>
      </c>
      <c r="AR7" s="559"/>
      <c r="AS7" s="559"/>
      <c r="AT7" s="559"/>
      <c r="AU7" s="560"/>
      <c r="AV7" s="558" t="s">
        <v>39</v>
      </c>
      <c r="AW7" s="559"/>
      <c r="AX7" s="559"/>
      <c r="AY7" s="559"/>
      <c r="AZ7" s="560"/>
    </row>
    <row r="8" spans="1:53" ht="33" customHeight="1" x14ac:dyDescent="0.2">
      <c r="A8" s="562"/>
      <c r="B8" s="561"/>
      <c r="C8" s="440" t="s">
        <v>662</v>
      </c>
      <c r="D8" s="441" t="s">
        <v>663</v>
      </c>
      <c r="E8" s="441" t="s">
        <v>916</v>
      </c>
      <c r="F8" s="441" t="s">
        <v>664</v>
      </c>
      <c r="G8" s="441" t="s">
        <v>665</v>
      </c>
      <c r="H8" s="440" t="str">
        <f>C8</f>
        <v>2024. évi teljesítés</v>
      </c>
      <c r="I8" s="441" t="str">
        <f t="shared" ref="I8:L8" si="0">D8</f>
        <v>2025. évi eredeti ei.</v>
      </c>
      <c r="J8" s="441" t="str">
        <f t="shared" si="0"/>
        <v>mód.ei.          2025.10.hó</v>
      </c>
      <c r="K8" s="441" t="str">
        <f t="shared" si="0"/>
        <v>mód.ei.          2025.12.31.</v>
      </c>
      <c r="L8" s="441" t="str">
        <f t="shared" si="0"/>
        <v>telj. 2025.12.31.</v>
      </c>
      <c r="M8" s="440" t="str">
        <f>C8</f>
        <v>2024. évi teljesítés</v>
      </c>
      <c r="N8" s="441" t="str">
        <f t="shared" ref="N8:Q8" si="1">D8</f>
        <v>2025. évi eredeti ei.</v>
      </c>
      <c r="O8" s="441" t="str">
        <f t="shared" si="1"/>
        <v>mód.ei.          2025.10.hó</v>
      </c>
      <c r="P8" s="441" t="str">
        <f t="shared" si="1"/>
        <v>mód.ei.          2025.12.31.</v>
      </c>
      <c r="Q8" s="441" t="str">
        <f t="shared" si="1"/>
        <v>telj. 2025.12.31.</v>
      </c>
      <c r="R8" s="440" t="str">
        <f>C8</f>
        <v>2024. évi teljesítés</v>
      </c>
      <c r="S8" s="441" t="str">
        <f t="shared" ref="S8:V8" si="2">D8</f>
        <v>2025. évi eredeti ei.</v>
      </c>
      <c r="T8" s="441" t="str">
        <f t="shared" si="2"/>
        <v>mód.ei.          2025.10.hó</v>
      </c>
      <c r="U8" s="441" t="str">
        <f t="shared" si="2"/>
        <v>mód.ei.          2025.12.31.</v>
      </c>
      <c r="V8" s="441" t="str">
        <f t="shared" si="2"/>
        <v>telj. 2025.12.31.</v>
      </c>
      <c r="W8" s="440" t="str">
        <f>C8</f>
        <v>2024. évi teljesítés</v>
      </c>
      <c r="X8" s="441" t="str">
        <f t="shared" ref="X8:AA8" si="3">D8</f>
        <v>2025. évi eredeti ei.</v>
      </c>
      <c r="Y8" s="441" t="str">
        <f t="shared" si="3"/>
        <v>mód.ei.          2025.10.hó</v>
      </c>
      <c r="Z8" s="441" t="str">
        <f t="shared" si="3"/>
        <v>mód.ei.          2025.12.31.</v>
      </c>
      <c r="AA8" s="441" t="str">
        <f t="shared" si="3"/>
        <v>telj. 2025.12.31.</v>
      </c>
      <c r="AB8" s="440" t="str">
        <f>C8</f>
        <v>2024. évi teljesítés</v>
      </c>
      <c r="AC8" s="441" t="str">
        <f t="shared" ref="AC8:AF8" si="4">D8</f>
        <v>2025. évi eredeti ei.</v>
      </c>
      <c r="AD8" s="441" t="str">
        <f t="shared" si="4"/>
        <v>mód.ei.          2025.10.hó</v>
      </c>
      <c r="AE8" s="441" t="str">
        <f t="shared" si="4"/>
        <v>mód.ei.          2025.12.31.</v>
      </c>
      <c r="AF8" s="441" t="str">
        <f t="shared" si="4"/>
        <v>telj. 2025.12.31.</v>
      </c>
      <c r="AG8" s="440" t="str">
        <f>C8</f>
        <v>2024. évi teljesítés</v>
      </c>
      <c r="AH8" s="441" t="str">
        <f t="shared" ref="AH8:AK8" si="5">D8</f>
        <v>2025. évi eredeti ei.</v>
      </c>
      <c r="AI8" s="441" t="str">
        <f t="shared" si="5"/>
        <v>mód.ei.          2025.10.hó</v>
      </c>
      <c r="AJ8" s="441" t="str">
        <f t="shared" si="5"/>
        <v>mód.ei.          2025.12.31.</v>
      </c>
      <c r="AK8" s="441" t="str">
        <f t="shared" si="5"/>
        <v>telj. 2025.12.31.</v>
      </c>
      <c r="AL8" s="440" t="str">
        <f>C8</f>
        <v>2024. évi teljesítés</v>
      </c>
      <c r="AM8" s="441" t="str">
        <f t="shared" ref="AM8:AP8" si="6">D8</f>
        <v>2025. évi eredeti ei.</v>
      </c>
      <c r="AN8" s="441" t="str">
        <f t="shared" si="6"/>
        <v>mód.ei.          2025.10.hó</v>
      </c>
      <c r="AO8" s="441" t="str">
        <f t="shared" si="6"/>
        <v>mód.ei.          2025.12.31.</v>
      </c>
      <c r="AP8" s="441" t="str">
        <f t="shared" si="6"/>
        <v>telj. 2025.12.31.</v>
      </c>
      <c r="AQ8" s="440" t="str">
        <f>H8</f>
        <v>2024. évi teljesítés</v>
      </c>
      <c r="AR8" s="441" t="str">
        <f t="shared" ref="AR8" si="7">I8</f>
        <v>2025. évi eredeti ei.</v>
      </c>
      <c r="AS8" s="441" t="str">
        <f t="shared" ref="AS8" si="8">J8</f>
        <v>mód.ei.          2025.10.hó</v>
      </c>
      <c r="AT8" s="441" t="str">
        <f t="shared" ref="AT8" si="9">K8</f>
        <v>mód.ei.          2025.12.31.</v>
      </c>
      <c r="AU8" s="441" t="str">
        <f t="shared" ref="AU8" si="10">L8</f>
        <v>telj. 2025.12.31.</v>
      </c>
      <c r="AV8" s="440" t="str">
        <f>C8</f>
        <v>2024. évi teljesítés</v>
      </c>
      <c r="AW8" s="441" t="str">
        <f t="shared" ref="AW8:AZ8" si="11">D8</f>
        <v>2025. évi eredeti ei.</v>
      </c>
      <c r="AX8" s="441" t="str">
        <f t="shared" si="11"/>
        <v>mód.ei.          2025.10.hó</v>
      </c>
      <c r="AY8" s="441" t="str">
        <f t="shared" si="11"/>
        <v>mód.ei.          2025.12.31.</v>
      </c>
      <c r="AZ8" s="441" t="str">
        <f t="shared" si="11"/>
        <v>telj. 2025.12.31.</v>
      </c>
    </row>
    <row r="9" spans="1:53" ht="13.5" customHeight="1" x14ac:dyDescent="0.2">
      <c r="A9" s="177" t="s">
        <v>271</v>
      </c>
      <c r="B9" s="17" t="s">
        <v>272</v>
      </c>
      <c r="C9" s="443">
        <f t="shared" ref="C9:AL9" si="12">SUM(C10:C14)</f>
        <v>0</v>
      </c>
      <c r="D9" s="38">
        <f t="shared" ref="D9:E9" si="13">SUM(D10:D14)</f>
        <v>0</v>
      </c>
      <c r="E9" s="38">
        <f t="shared" si="13"/>
        <v>0</v>
      </c>
      <c r="F9" s="38">
        <f t="shared" ref="F9:G9" si="14">SUM(F10:F14)</f>
        <v>0</v>
      </c>
      <c r="G9" s="38">
        <f t="shared" si="14"/>
        <v>0</v>
      </c>
      <c r="H9" s="443">
        <f t="shared" si="12"/>
        <v>12344</v>
      </c>
      <c r="I9" s="38">
        <f t="shared" ref="I9:J9" si="15">SUM(I10:I14)</f>
        <v>11813</v>
      </c>
      <c r="J9" s="38">
        <f t="shared" si="15"/>
        <v>11463</v>
      </c>
      <c r="K9" s="38">
        <f t="shared" ref="K9:L9" si="16">SUM(K10:K14)</f>
        <v>11702</v>
      </c>
      <c r="L9" s="38">
        <f t="shared" si="16"/>
        <v>11678</v>
      </c>
      <c r="M9" s="443">
        <f t="shared" si="12"/>
        <v>4669</v>
      </c>
      <c r="N9" s="38">
        <f t="shared" ref="N9:O9" si="17">SUM(N10:N14)</f>
        <v>4885</v>
      </c>
      <c r="O9" s="38">
        <f t="shared" si="17"/>
        <v>4885</v>
      </c>
      <c r="P9" s="38">
        <f t="shared" ref="P9:Q9" si="18">SUM(P10:P14)</f>
        <v>4895</v>
      </c>
      <c r="Q9" s="38">
        <f t="shared" si="18"/>
        <v>4895</v>
      </c>
      <c r="R9" s="443">
        <f t="shared" si="12"/>
        <v>0</v>
      </c>
      <c r="S9" s="38">
        <f t="shared" ref="S9:T9" si="19">SUM(S10:S14)</f>
        <v>0</v>
      </c>
      <c r="T9" s="38">
        <f t="shared" si="19"/>
        <v>0</v>
      </c>
      <c r="U9" s="38">
        <f t="shared" ref="U9:V9" si="20">SUM(U10:U14)</f>
        <v>0</v>
      </c>
      <c r="V9" s="38">
        <f t="shared" si="20"/>
        <v>0</v>
      </c>
      <c r="W9" s="443">
        <f t="shared" si="12"/>
        <v>0</v>
      </c>
      <c r="X9" s="38">
        <f t="shared" ref="X9:Y9" si="21">SUM(X10:X14)</f>
        <v>0</v>
      </c>
      <c r="Y9" s="38">
        <f t="shared" si="21"/>
        <v>0</v>
      </c>
      <c r="Z9" s="38">
        <f t="shared" ref="Z9:AA9" si="22">SUM(Z10:Z14)</f>
        <v>0</v>
      </c>
      <c r="AA9" s="38">
        <f t="shared" si="22"/>
        <v>0</v>
      </c>
      <c r="AB9" s="443">
        <f t="shared" si="12"/>
        <v>0</v>
      </c>
      <c r="AC9" s="38">
        <f t="shared" ref="AC9:AD9" si="23">SUM(AC10:AC14)</f>
        <v>0</v>
      </c>
      <c r="AD9" s="38">
        <f t="shared" si="23"/>
        <v>0</v>
      </c>
      <c r="AE9" s="38">
        <f t="shared" ref="AE9:AF9" si="24">SUM(AE10:AE14)</f>
        <v>0</v>
      </c>
      <c r="AF9" s="38">
        <f t="shared" si="24"/>
        <v>0</v>
      </c>
      <c r="AG9" s="443">
        <f t="shared" si="12"/>
        <v>0</v>
      </c>
      <c r="AH9" s="38">
        <f t="shared" ref="AH9:AI9" si="25">SUM(AH10:AH14)</f>
        <v>0</v>
      </c>
      <c r="AI9" s="38">
        <f t="shared" si="25"/>
        <v>287</v>
      </c>
      <c r="AJ9" s="38">
        <f t="shared" ref="AJ9:AK9" si="26">SUM(AJ10:AJ14)</f>
        <v>287</v>
      </c>
      <c r="AK9" s="38">
        <f t="shared" si="26"/>
        <v>247</v>
      </c>
      <c r="AL9" s="443">
        <f t="shared" si="12"/>
        <v>0</v>
      </c>
      <c r="AM9" s="38">
        <f t="shared" ref="AM9:AN9" si="27">SUM(AM10:AM14)</f>
        <v>0</v>
      </c>
      <c r="AN9" s="38">
        <f t="shared" si="27"/>
        <v>0</v>
      </c>
      <c r="AO9" s="38">
        <f t="shared" ref="AO9:AP9" si="28">SUM(AO10:AO14)</f>
        <v>0</v>
      </c>
      <c r="AP9" s="38">
        <f t="shared" si="28"/>
        <v>0</v>
      </c>
      <c r="AQ9" s="443">
        <f t="shared" ref="AQ9" si="29">SUM(AQ10:AQ14)</f>
        <v>0</v>
      </c>
      <c r="AR9" s="38">
        <f t="shared" ref="AR9:AU9" si="30">SUM(AR10:AR14)</f>
        <v>0</v>
      </c>
      <c r="AS9" s="38">
        <f t="shared" si="30"/>
        <v>0</v>
      </c>
      <c r="AT9" s="38">
        <f t="shared" si="30"/>
        <v>146</v>
      </c>
      <c r="AU9" s="38">
        <f t="shared" si="30"/>
        <v>145</v>
      </c>
      <c r="AV9" s="443">
        <f>C9+H9+M9+R9+W9+AB9+AG9+AL9+AQ9</f>
        <v>17013</v>
      </c>
      <c r="AW9" s="38">
        <f>D9+I9+N9+S9+X9+AC9+AH9+AM9+AR9</f>
        <v>16698</v>
      </c>
      <c r="AX9" s="38">
        <f t="shared" ref="AX9:AZ10" si="31">E9+J9+O9+T9+Y9+AD9+AI9+AN9+AS9</f>
        <v>16635</v>
      </c>
      <c r="AY9" s="38">
        <f t="shared" si="31"/>
        <v>17030</v>
      </c>
      <c r="AZ9" s="38">
        <f t="shared" si="31"/>
        <v>16965</v>
      </c>
      <c r="BA9" s="182"/>
    </row>
    <row r="10" spans="1:53" ht="13.5" customHeight="1" x14ac:dyDescent="0.2">
      <c r="A10" s="350">
        <v>1101</v>
      </c>
      <c r="B10" s="49" t="s">
        <v>299</v>
      </c>
      <c r="C10" s="444"/>
      <c r="D10" s="180"/>
      <c r="E10" s="180"/>
      <c r="F10" s="180"/>
      <c r="G10" s="180"/>
      <c r="H10" s="175">
        <v>11681</v>
      </c>
      <c r="I10" s="76">
        <v>11132</v>
      </c>
      <c r="J10" s="76">
        <f>11132-400-350</f>
        <v>10382</v>
      </c>
      <c r="K10" s="76">
        <f>11132-400-350+9+333</f>
        <v>10724</v>
      </c>
      <c r="L10" s="76">
        <v>10724</v>
      </c>
      <c r="M10" s="175">
        <v>4464</v>
      </c>
      <c r="N10" s="76">
        <v>4715</v>
      </c>
      <c r="O10" s="76">
        <v>4715</v>
      </c>
      <c r="P10" s="76">
        <v>4715</v>
      </c>
      <c r="Q10" s="76">
        <v>4715</v>
      </c>
      <c r="R10" s="175"/>
      <c r="S10" s="76"/>
      <c r="T10" s="76"/>
      <c r="U10" s="76"/>
      <c r="V10" s="76"/>
      <c r="W10" s="175"/>
      <c r="X10" s="76"/>
      <c r="Y10" s="76"/>
      <c r="Z10" s="76"/>
      <c r="AA10" s="76"/>
      <c r="AB10" s="175"/>
      <c r="AC10" s="76"/>
      <c r="AD10" s="76"/>
      <c r="AE10" s="76"/>
      <c r="AF10" s="76"/>
      <c r="AG10" s="175"/>
      <c r="AH10" s="76"/>
      <c r="AI10" s="76"/>
      <c r="AJ10" s="76"/>
      <c r="AK10" s="76"/>
      <c r="AL10" s="175"/>
      <c r="AM10" s="76"/>
      <c r="AN10" s="76"/>
      <c r="AO10" s="76"/>
      <c r="AP10" s="76"/>
      <c r="AQ10" s="175">
        <v>0</v>
      </c>
      <c r="AR10" s="76">
        <v>0</v>
      </c>
      <c r="AS10" s="76">
        <v>0</v>
      </c>
      <c r="AT10" s="76">
        <v>146</v>
      </c>
      <c r="AU10" s="76">
        <v>145</v>
      </c>
      <c r="AV10" s="175">
        <f>C10+H10+M10+R10+W10+AB10+AG10+AL10+AQ10</f>
        <v>16145</v>
      </c>
      <c r="AW10" s="76">
        <f>D10+I10+N10+S10+X10+AC10+AH10+AM10+AR10</f>
        <v>15847</v>
      </c>
      <c r="AX10" s="76">
        <f t="shared" si="31"/>
        <v>15097</v>
      </c>
      <c r="AY10" s="76">
        <f t="shared" si="31"/>
        <v>15585</v>
      </c>
      <c r="AZ10" s="76">
        <f t="shared" si="31"/>
        <v>15584</v>
      </c>
      <c r="BA10" s="182"/>
    </row>
    <row r="11" spans="1:53" ht="13.5" hidden="1" customHeight="1" x14ac:dyDescent="0.2">
      <c r="A11" s="350">
        <v>1106</v>
      </c>
      <c r="B11" s="49" t="s">
        <v>510</v>
      </c>
      <c r="C11" s="444"/>
      <c r="D11" s="180"/>
      <c r="E11" s="180"/>
      <c r="F11" s="180"/>
      <c r="G11" s="180"/>
      <c r="H11" s="450"/>
      <c r="I11" s="353"/>
      <c r="J11" s="353"/>
      <c r="K11" s="353"/>
      <c r="L11" s="353"/>
      <c r="M11" s="450"/>
      <c r="N11" s="353"/>
      <c r="O11" s="353"/>
      <c r="P11" s="353"/>
      <c r="Q11" s="353"/>
      <c r="R11" s="175"/>
      <c r="S11" s="76"/>
      <c r="T11" s="76"/>
      <c r="U11" s="76"/>
      <c r="V11" s="76"/>
      <c r="W11" s="175"/>
      <c r="X11" s="76"/>
      <c r="Y11" s="76"/>
      <c r="Z11" s="76"/>
      <c r="AA11" s="76"/>
      <c r="AB11" s="175"/>
      <c r="AC11" s="76"/>
      <c r="AD11" s="76"/>
      <c r="AE11" s="76"/>
      <c r="AF11" s="76"/>
      <c r="AG11" s="175"/>
      <c r="AH11" s="76"/>
      <c r="AI11" s="76"/>
      <c r="AJ11" s="76"/>
      <c r="AK11" s="76"/>
      <c r="AL11" s="175"/>
      <c r="AM11" s="76"/>
      <c r="AN11" s="76"/>
      <c r="AO11" s="76"/>
      <c r="AP11" s="76"/>
      <c r="AQ11" s="175"/>
      <c r="AR11" s="76"/>
      <c r="AS11" s="76"/>
      <c r="AT11" s="76"/>
      <c r="AU11" s="76"/>
      <c r="AV11" s="175">
        <f t="shared" ref="AV11:AV14" si="32">C11+H11+M11+R11+W11+AB11+AG11+AL11+AQ11</f>
        <v>0</v>
      </c>
      <c r="AW11" s="76">
        <f t="shared" ref="AW11:AW14" si="33">D11+I11+N11+S11+X11+AC11+AH11+AM11+AR11</f>
        <v>0</v>
      </c>
      <c r="AX11" s="76">
        <f t="shared" ref="AX11:AX16" si="34">E11+J11+O11+T11+Y11+AD11+AI11+AN11+AS11</f>
        <v>0</v>
      </c>
      <c r="AY11" s="76">
        <f t="shared" ref="AY11:AY16" si="35">F11+K11+P11+U11+Z11+AE11+AJ11+AO11+AT11</f>
        <v>0</v>
      </c>
      <c r="AZ11" s="76">
        <f t="shared" ref="AZ11:AZ16" si="36">G11+L11+Q11+V11+AA11+AF11+AK11+AP11+AU11</f>
        <v>0</v>
      </c>
      <c r="BA11" s="182"/>
    </row>
    <row r="12" spans="1:53" ht="13.5" customHeight="1" x14ac:dyDescent="0.2">
      <c r="A12" s="350">
        <v>1107</v>
      </c>
      <c r="B12" s="49" t="s">
        <v>920</v>
      </c>
      <c r="C12" s="444"/>
      <c r="D12" s="180"/>
      <c r="E12" s="180"/>
      <c r="F12" s="180"/>
      <c r="G12" s="180"/>
      <c r="H12" s="175">
        <v>345</v>
      </c>
      <c r="I12" s="76">
        <v>360</v>
      </c>
      <c r="J12" s="76">
        <v>360</v>
      </c>
      <c r="K12" s="76">
        <f>360+180</f>
        <v>540</v>
      </c>
      <c r="L12" s="76">
        <v>540</v>
      </c>
      <c r="M12" s="175">
        <v>115</v>
      </c>
      <c r="N12" s="76">
        <v>120</v>
      </c>
      <c r="O12" s="76">
        <v>120</v>
      </c>
      <c r="P12" s="76">
        <f>120+60</f>
        <v>180</v>
      </c>
      <c r="Q12" s="76">
        <v>180</v>
      </c>
      <c r="R12" s="175"/>
      <c r="S12" s="76"/>
      <c r="T12" s="76"/>
      <c r="U12" s="76"/>
      <c r="V12" s="76"/>
      <c r="W12" s="175"/>
      <c r="X12" s="76"/>
      <c r="Y12" s="76"/>
      <c r="Z12" s="76"/>
      <c r="AA12" s="76"/>
      <c r="AB12" s="175"/>
      <c r="AC12" s="76"/>
      <c r="AD12" s="76"/>
      <c r="AE12" s="76"/>
      <c r="AF12" s="76"/>
      <c r="AG12" s="175"/>
      <c r="AH12" s="76"/>
      <c r="AI12" s="76"/>
      <c r="AJ12" s="76"/>
      <c r="AK12" s="76"/>
      <c r="AL12" s="175"/>
      <c r="AM12" s="76"/>
      <c r="AN12" s="76"/>
      <c r="AO12" s="76"/>
      <c r="AP12" s="76"/>
      <c r="AQ12" s="175"/>
      <c r="AR12" s="76"/>
      <c r="AS12" s="76"/>
      <c r="AT12" s="76"/>
      <c r="AU12" s="76"/>
      <c r="AV12" s="175">
        <f t="shared" si="32"/>
        <v>460</v>
      </c>
      <c r="AW12" s="76">
        <f t="shared" si="33"/>
        <v>480</v>
      </c>
      <c r="AX12" s="76">
        <f t="shared" si="34"/>
        <v>480</v>
      </c>
      <c r="AY12" s="76">
        <f t="shared" si="35"/>
        <v>720</v>
      </c>
      <c r="AZ12" s="76">
        <f t="shared" si="36"/>
        <v>720</v>
      </c>
      <c r="BA12" s="182"/>
    </row>
    <row r="13" spans="1:53" ht="13.5" customHeight="1" x14ac:dyDescent="0.2">
      <c r="A13" s="350">
        <v>1109</v>
      </c>
      <c r="B13" s="49" t="s">
        <v>42</v>
      </c>
      <c r="C13" s="444"/>
      <c r="D13" s="180"/>
      <c r="E13" s="180"/>
      <c r="F13" s="180"/>
      <c r="G13" s="180"/>
      <c r="H13" s="175">
        <v>67</v>
      </c>
      <c r="I13" s="76">
        <v>71</v>
      </c>
      <c r="J13" s="76">
        <v>71</v>
      </c>
      <c r="K13" s="76">
        <v>71</v>
      </c>
      <c r="L13" s="76">
        <v>48</v>
      </c>
      <c r="M13" s="175"/>
      <c r="N13" s="76"/>
      <c r="O13" s="76"/>
      <c r="P13" s="76"/>
      <c r="Q13" s="76"/>
      <c r="R13" s="175"/>
      <c r="S13" s="76"/>
      <c r="T13" s="76"/>
      <c r="U13" s="76"/>
      <c r="V13" s="76"/>
      <c r="W13" s="175"/>
      <c r="X13" s="76"/>
      <c r="Y13" s="76"/>
      <c r="Z13" s="76"/>
      <c r="AA13" s="76"/>
      <c r="AB13" s="175"/>
      <c r="AC13" s="76"/>
      <c r="AD13" s="76"/>
      <c r="AE13" s="76"/>
      <c r="AF13" s="76"/>
      <c r="AG13" s="175"/>
      <c r="AH13" s="76"/>
      <c r="AI13" s="76"/>
      <c r="AJ13" s="76"/>
      <c r="AK13" s="76"/>
      <c r="AL13" s="175"/>
      <c r="AM13" s="76"/>
      <c r="AN13" s="76"/>
      <c r="AO13" s="76"/>
      <c r="AP13" s="76"/>
      <c r="AQ13" s="175"/>
      <c r="AR13" s="76"/>
      <c r="AS13" s="76"/>
      <c r="AT13" s="76"/>
      <c r="AU13" s="76"/>
      <c r="AV13" s="175">
        <f t="shared" si="32"/>
        <v>67</v>
      </c>
      <c r="AW13" s="76">
        <f t="shared" si="33"/>
        <v>71</v>
      </c>
      <c r="AX13" s="76">
        <f t="shared" si="34"/>
        <v>71</v>
      </c>
      <c r="AY13" s="76">
        <f t="shared" si="35"/>
        <v>71</v>
      </c>
      <c r="AZ13" s="76">
        <f t="shared" si="36"/>
        <v>48</v>
      </c>
      <c r="BA13" s="182"/>
    </row>
    <row r="14" spans="1:53" ht="12.75" customHeight="1" x14ac:dyDescent="0.2">
      <c r="A14" s="60">
        <v>1113</v>
      </c>
      <c r="B14" s="2" t="s">
        <v>524</v>
      </c>
      <c r="C14" s="275"/>
      <c r="D14" s="10"/>
      <c r="E14" s="10"/>
      <c r="F14" s="10"/>
      <c r="G14" s="10"/>
      <c r="H14" s="275">
        <v>251</v>
      </c>
      <c r="I14" s="10">
        <f>250</f>
        <v>250</v>
      </c>
      <c r="J14" s="10">
        <f>250+400</f>
        <v>650</v>
      </c>
      <c r="K14" s="10">
        <f>250+400-283</f>
        <v>367</v>
      </c>
      <c r="L14" s="10">
        <v>366</v>
      </c>
      <c r="M14" s="275">
        <v>90</v>
      </c>
      <c r="N14" s="10">
        <v>50</v>
      </c>
      <c r="O14" s="10">
        <v>50</v>
      </c>
      <c r="P14" s="10">
        <f>50-50</f>
        <v>0</v>
      </c>
      <c r="Q14" s="10">
        <v>0</v>
      </c>
      <c r="R14" s="275"/>
      <c r="S14" s="10"/>
      <c r="T14" s="10"/>
      <c r="U14" s="10"/>
      <c r="V14" s="10"/>
      <c r="W14" s="275"/>
      <c r="X14" s="10"/>
      <c r="Y14" s="10"/>
      <c r="Z14" s="10"/>
      <c r="AA14" s="10"/>
      <c r="AB14" s="275"/>
      <c r="AC14" s="10"/>
      <c r="AD14" s="10"/>
      <c r="AE14" s="10"/>
      <c r="AF14" s="10"/>
      <c r="AG14" s="275">
        <v>0</v>
      </c>
      <c r="AH14" s="10">
        <v>0</v>
      </c>
      <c r="AI14" s="10">
        <v>287</v>
      </c>
      <c r="AJ14" s="10">
        <v>287</v>
      </c>
      <c r="AK14" s="10">
        <v>247</v>
      </c>
      <c r="AL14" s="275"/>
      <c r="AM14" s="10"/>
      <c r="AN14" s="10"/>
      <c r="AO14" s="10"/>
      <c r="AP14" s="10"/>
      <c r="AQ14" s="275"/>
      <c r="AR14" s="10"/>
      <c r="AS14" s="10"/>
      <c r="AT14" s="10"/>
      <c r="AU14" s="10"/>
      <c r="AV14" s="175">
        <f t="shared" si="32"/>
        <v>341</v>
      </c>
      <c r="AW14" s="76">
        <f t="shared" si="33"/>
        <v>300</v>
      </c>
      <c r="AX14" s="76">
        <f t="shared" si="34"/>
        <v>987</v>
      </c>
      <c r="AY14" s="76">
        <f t="shared" si="35"/>
        <v>654</v>
      </c>
      <c r="AZ14" s="76">
        <f t="shared" si="36"/>
        <v>613</v>
      </c>
      <c r="BA14" s="182"/>
    </row>
    <row r="15" spans="1:53" ht="12.75" customHeight="1" x14ac:dyDescent="0.2">
      <c r="A15" s="75" t="s">
        <v>273</v>
      </c>
      <c r="B15" s="13" t="s">
        <v>298</v>
      </c>
      <c r="C15" s="421">
        <f t="shared" ref="C15:T15" si="37">SUM(C16:C23)</f>
        <v>14026</v>
      </c>
      <c r="D15" s="6">
        <f t="shared" si="37"/>
        <v>18373</v>
      </c>
      <c r="E15" s="6">
        <f t="shared" si="37"/>
        <v>19591</v>
      </c>
      <c r="F15" s="6">
        <f t="shared" ref="F15:G15" si="38">SUM(F16:F23)</f>
        <v>19651</v>
      </c>
      <c r="G15" s="6">
        <f t="shared" si="38"/>
        <v>19304</v>
      </c>
      <c r="H15" s="421">
        <f t="shared" si="37"/>
        <v>25</v>
      </c>
      <c r="I15" s="6">
        <f t="shared" si="37"/>
        <v>50</v>
      </c>
      <c r="J15" s="6">
        <f t="shared" si="37"/>
        <v>50</v>
      </c>
      <c r="K15" s="6">
        <f t="shared" ref="K15:L15" si="39">SUM(K16:K23)</f>
        <v>0</v>
      </c>
      <c r="L15" s="6">
        <f t="shared" si="39"/>
        <v>0</v>
      </c>
      <c r="M15" s="421">
        <f t="shared" si="37"/>
        <v>0</v>
      </c>
      <c r="N15" s="6">
        <f t="shared" si="37"/>
        <v>0</v>
      </c>
      <c r="O15" s="6">
        <f t="shared" si="37"/>
        <v>0</v>
      </c>
      <c r="P15" s="6">
        <f t="shared" ref="P15:Q15" si="40">SUM(P16:P23)</f>
        <v>0</v>
      </c>
      <c r="Q15" s="6">
        <f t="shared" si="40"/>
        <v>0</v>
      </c>
      <c r="R15" s="421">
        <f t="shared" si="37"/>
        <v>0</v>
      </c>
      <c r="S15" s="6">
        <f t="shared" si="37"/>
        <v>0</v>
      </c>
      <c r="T15" s="6">
        <f t="shared" si="37"/>
        <v>0</v>
      </c>
      <c r="U15" s="6">
        <f t="shared" ref="U15:V15" si="41">SUM(U16:U23)</f>
        <v>0</v>
      </c>
      <c r="V15" s="6">
        <f t="shared" si="41"/>
        <v>0</v>
      </c>
      <c r="W15" s="421">
        <f t="shared" ref="W15:AL15" si="42">SUM(W16:W23)</f>
        <v>0</v>
      </c>
      <c r="X15" s="6">
        <f t="shared" ref="X15:Y15" si="43">SUM(X16:X23)</f>
        <v>0</v>
      </c>
      <c r="Y15" s="6">
        <f t="shared" si="43"/>
        <v>350</v>
      </c>
      <c r="Z15" s="6">
        <f t="shared" ref="Z15:AA15" si="44">SUM(Z16:Z23)</f>
        <v>350</v>
      </c>
      <c r="AA15" s="6">
        <f t="shared" si="44"/>
        <v>0</v>
      </c>
      <c r="AB15" s="421">
        <f t="shared" si="42"/>
        <v>0</v>
      </c>
      <c r="AC15" s="6">
        <f t="shared" ref="AC15:AD15" si="45">SUM(AC16:AC23)</f>
        <v>0</v>
      </c>
      <c r="AD15" s="6">
        <f t="shared" si="45"/>
        <v>0</v>
      </c>
      <c r="AE15" s="6">
        <f t="shared" ref="AE15:AF15" si="46">SUM(AE16:AE23)</f>
        <v>0</v>
      </c>
      <c r="AF15" s="6">
        <f t="shared" si="46"/>
        <v>0</v>
      </c>
      <c r="AG15" s="421">
        <f t="shared" si="42"/>
        <v>1553</v>
      </c>
      <c r="AH15" s="6">
        <f t="shared" ref="AH15:AI15" si="47">SUM(AH16:AH23)</f>
        <v>1187</v>
      </c>
      <c r="AI15" s="6">
        <f t="shared" si="47"/>
        <v>900</v>
      </c>
      <c r="AJ15" s="6">
        <f t="shared" ref="AJ15:AK15" si="48">SUM(AJ16:AJ23)</f>
        <v>890</v>
      </c>
      <c r="AK15" s="6">
        <f t="shared" si="48"/>
        <v>759</v>
      </c>
      <c r="AL15" s="421">
        <f t="shared" si="42"/>
        <v>0</v>
      </c>
      <c r="AM15" s="6">
        <f t="shared" ref="AM15:AN15" si="49">SUM(AM16:AM23)</f>
        <v>0</v>
      </c>
      <c r="AN15" s="6">
        <f t="shared" si="49"/>
        <v>0</v>
      </c>
      <c r="AO15" s="6">
        <f t="shared" ref="AO15:AS15" si="50">SUM(AO16:AO23)</f>
        <v>0</v>
      </c>
      <c r="AP15" s="6">
        <f t="shared" si="50"/>
        <v>0</v>
      </c>
      <c r="AQ15" s="421">
        <f t="shared" si="50"/>
        <v>0</v>
      </c>
      <c r="AR15" s="6">
        <f t="shared" si="50"/>
        <v>0</v>
      </c>
      <c r="AS15" s="6">
        <f t="shared" si="50"/>
        <v>0</v>
      </c>
      <c r="AT15" s="6">
        <f t="shared" ref="AT15:AU15" si="51">SUM(AT16:AT23)</f>
        <v>0</v>
      </c>
      <c r="AU15" s="6">
        <f t="shared" si="51"/>
        <v>0</v>
      </c>
      <c r="AV15" s="451">
        <f>C15+H15+M15+R15+W15+AB15+AG15+AL15+AQ15</f>
        <v>15604</v>
      </c>
      <c r="AW15" s="218">
        <f>D15+I15+N15+S15+X15+AC15+AH15+AM15+AR15</f>
        <v>19610</v>
      </c>
      <c r="AX15" s="218">
        <f t="shared" si="34"/>
        <v>20891</v>
      </c>
      <c r="AY15" s="218">
        <f t="shared" si="35"/>
        <v>20891</v>
      </c>
      <c r="AZ15" s="218">
        <f t="shared" si="36"/>
        <v>20063</v>
      </c>
      <c r="BA15" s="182"/>
    </row>
    <row r="16" spans="1:53" ht="12.75" customHeight="1" x14ac:dyDescent="0.2">
      <c r="A16" s="60">
        <v>121</v>
      </c>
      <c r="B16" s="8" t="s">
        <v>40</v>
      </c>
      <c r="C16" s="444">
        <f>10251+90</f>
        <v>10341</v>
      </c>
      <c r="D16" s="180">
        <f>13133</f>
        <v>13133</v>
      </c>
      <c r="E16" s="180">
        <f>13133+685</f>
        <v>13818</v>
      </c>
      <c r="F16" s="180">
        <f>13133+685</f>
        <v>13818</v>
      </c>
      <c r="G16" s="180">
        <f>13133+685</f>
        <v>13818</v>
      </c>
      <c r="H16" s="421"/>
      <c r="I16" s="6"/>
      <c r="J16" s="6"/>
      <c r="K16" s="6"/>
      <c r="L16" s="6"/>
      <c r="M16" s="421"/>
      <c r="N16" s="6"/>
      <c r="O16" s="6"/>
      <c r="P16" s="6"/>
      <c r="Q16" s="6"/>
      <c r="R16" s="421"/>
      <c r="S16" s="6"/>
      <c r="T16" s="6"/>
      <c r="U16" s="6"/>
      <c r="V16" s="6"/>
      <c r="W16" s="421"/>
      <c r="X16" s="6"/>
      <c r="Y16" s="6"/>
      <c r="Z16" s="6"/>
      <c r="AA16" s="6"/>
      <c r="AB16" s="421"/>
      <c r="AC16" s="6"/>
      <c r="AD16" s="6"/>
      <c r="AE16" s="6"/>
      <c r="AF16" s="6"/>
      <c r="AG16" s="421"/>
      <c r="AH16" s="6"/>
      <c r="AI16" s="6"/>
      <c r="AJ16" s="6"/>
      <c r="AK16" s="6"/>
      <c r="AL16" s="421"/>
      <c r="AM16" s="6"/>
      <c r="AN16" s="6"/>
      <c r="AO16" s="6"/>
      <c r="AP16" s="6"/>
      <c r="AQ16" s="421"/>
      <c r="AR16" s="6"/>
      <c r="AS16" s="6"/>
      <c r="AT16" s="6"/>
      <c r="AU16" s="6"/>
      <c r="AV16" s="275">
        <f>C16+H16+M16+R16+W16+AB16+AG16+AL16+AQ16</f>
        <v>10341</v>
      </c>
      <c r="AW16" s="10">
        <f>D16+I16+N16+S16+X16+AC16+AH16+AM16+AR16</f>
        <v>13133</v>
      </c>
      <c r="AX16" s="10">
        <f t="shared" si="34"/>
        <v>13818</v>
      </c>
      <c r="AY16" s="10">
        <f t="shared" si="35"/>
        <v>13818</v>
      </c>
      <c r="AZ16" s="10">
        <f t="shared" si="36"/>
        <v>13818</v>
      </c>
      <c r="BA16" s="182"/>
    </row>
    <row r="17" spans="1:53" ht="12.75" hidden="1" customHeight="1" x14ac:dyDescent="0.2">
      <c r="A17" s="60">
        <v>121</v>
      </c>
      <c r="B17" s="149" t="s">
        <v>573</v>
      </c>
      <c r="C17" s="444">
        <v>0</v>
      </c>
      <c r="D17" s="180">
        <v>0</v>
      </c>
      <c r="E17" s="180">
        <v>0</v>
      </c>
      <c r="F17" s="180">
        <v>0</v>
      </c>
      <c r="G17" s="180">
        <v>0</v>
      </c>
      <c r="H17" s="421"/>
      <c r="I17" s="6"/>
      <c r="J17" s="6"/>
      <c r="K17" s="6"/>
      <c r="L17" s="6"/>
      <c r="M17" s="421"/>
      <c r="N17" s="6"/>
      <c r="O17" s="6"/>
      <c r="P17" s="6"/>
      <c r="Q17" s="6"/>
      <c r="R17" s="421"/>
      <c r="S17" s="6"/>
      <c r="T17" s="6"/>
      <c r="U17" s="6"/>
      <c r="V17" s="6"/>
      <c r="W17" s="421"/>
      <c r="X17" s="6"/>
      <c r="Y17" s="6"/>
      <c r="Z17" s="6"/>
      <c r="AA17" s="6"/>
      <c r="AB17" s="421"/>
      <c r="AC17" s="6"/>
      <c r="AD17" s="6"/>
      <c r="AE17" s="6"/>
      <c r="AF17" s="6"/>
      <c r="AG17" s="421"/>
      <c r="AH17" s="6"/>
      <c r="AI17" s="6"/>
      <c r="AJ17" s="6"/>
      <c r="AK17" s="6"/>
      <c r="AL17" s="421"/>
      <c r="AM17" s="6"/>
      <c r="AN17" s="6"/>
      <c r="AO17" s="6"/>
      <c r="AP17" s="6"/>
      <c r="AQ17" s="421"/>
      <c r="AR17" s="6"/>
      <c r="AS17" s="6"/>
      <c r="AT17" s="6"/>
      <c r="AU17" s="6"/>
      <c r="AV17" s="275">
        <f t="shared" ref="AV17:AV23" si="52">C17+H17+M17+R17+W17+AB17+AG17+AL17+AQ17</f>
        <v>0</v>
      </c>
      <c r="AW17" s="10">
        <f t="shared" ref="AW17:AW23" si="53">D17+I17+N17+S17+X17+AC17+AH17+AM17+AR17</f>
        <v>0</v>
      </c>
      <c r="AX17" s="10">
        <f t="shared" ref="AX17:AX25" si="54">E17+J17+O17+T17+Y17+AD17+AI17+AN17+AS17</f>
        <v>0</v>
      </c>
      <c r="AY17" s="10">
        <f t="shared" ref="AY17:AY25" si="55">F17+K17+P17+U17+Z17+AE17+AJ17+AO17+AT17</f>
        <v>0</v>
      </c>
      <c r="AZ17" s="10">
        <f t="shared" ref="AZ17:AZ25" si="56">G17+L17+Q17+V17+AA17+AF17+AK17+AP17+AU17</f>
        <v>0</v>
      </c>
      <c r="BA17" s="182"/>
    </row>
    <row r="18" spans="1:53" ht="12.75" customHeight="1" x14ac:dyDescent="0.2">
      <c r="A18" s="60">
        <v>121</v>
      </c>
      <c r="B18" s="149" t="s">
        <v>921</v>
      </c>
      <c r="C18" s="444">
        <v>188</v>
      </c>
      <c r="D18" s="180">
        <v>16</v>
      </c>
      <c r="E18" s="180">
        <v>16</v>
      </c>
      <c r="F18" s="180">
        <f>16+60</f>
        <v>76</v>
      </c>
      <c r="G18" s="180">
        <v>75</v>
      </c>
      <c r="H18" s="421"/>
      <c r="I18" s="6"/>
      <c r="J18" s="6"/>
      <c r="K18" s="6"/>
      <c r="L18" s="6"/>
      <c r="M18" s="421"/>
      <c r="N18" s="6"/>
      <c r="O18" s="6"/>
      <c r="P18" s="6"/>
      <c r="Q18" s="6"/>
      <c r="R18" s="421"/>
      <c r="S18" s="6"/>
      <c r="T18" s="6"/>
      <c r="U18" s="6"/>
      <c r="V18" s="6"/>
      <c r="W18" s="421"/>
      <c r="X18" s="6"/>
      <c r="Y18" s="6"/>
      <c r="Z18" s="6"/>
      <c r="AA18" s="6"/>
      <c r="AB18" s="421"/>
      <c r="AC18" s="6"/>
      <c r="AD18" s="6"/>
      <c r="AE18" s="6"/>
      <c r="AF18" s="6"/>
      <c r="AG18" s="421"/>
      <c r="AH18" s="6"/>
      <c r="AI18" s="6"/>
      <c r="AJ18" s="6"/>
      <c r="AK18" s="6"/>
      <c r="AL18" s="421"/>
      <c r="AM18" s="6"/>
      <c r="AN18" s="6"/>
      <c r="AO18" s="6"/>
      <c r="AP18" s="6"/>
      <c r="AQ18" s="421"/>
      <c r="AR18" s="6"/>
      <c r="AS18" s="6"/>
      <c r="AT18" s="6"/>
      <c r="AU18" s="6"/>
      <c r="AV18" s="275">
        <f t="shared" si="52"/>
        <v>188</v>
      </c>
      <c r="AW18" s="10">
        <f t="shared" si="53"/>
        <v>16</v>
      </c>
      <c r="AX18" s="10">
        <f t="shared" si="54"/>
        <v>16</v>
      </c>
      <c r="AY18" s="10">
        <f t="shared" si="55"/>
        <v>76</v>
      </c>
      <c r="AZ18" s="10">
        <f t="shared" si="56"/>
        <v>75</v>
      </c>
      <c r="BA18" s="182"/>
    </row>
    <row r="19" spans="1:53" ht="12.75" customHeight="1" x14ac:dyDescent="0.2">
      <c r="A19" s="60">
        <v>121</v>
      </c>
      <c r="B19" s="149" t="s">
        <v>297</v>
      </c>
      <c r="C19" s="444">
        <v>1188</v>
      </c>
      <c r="D19" s="180">
        <v>2096</v>
      </c>
      <c r="E19" s="180">
        <f>2096+103</f>
        <v>2199</v>
      </c>
      <c r="F19" s="180">
        <f>2096+103</f>
        <v>2199</v>
      </c>
      <c r="G19" s="180">
        <f>2096+103</f>
        <v>2199</v>
      </c>
      <c r="H19" s="421"/>
      <c r="I19" s="6"/>
      <c r="J19" s="6"/>
      <c r="K19" s="6"/>
      <c r="L19" s="6"/>
      <c r="M19" s="421"/>
      <c r="N19" s="6"/>
      <c r="O19" s="6"/>
      <c r="P19" s="6"/>
      <c r="Q19" s="6"/>
      <c r="R19" s="421"/>
      <c r="S19" s="6"/>
      <c r="T19" s="6"/>
      <c r="U19" s="6"/>
      <c r="V19" s="6"/>
      <c r="W19" s="421"/>
      <c r="X19" s="6"/>
      <c r="Y19" s="6"/>
      <c r="Z19" s="6"/>
      <c r="AA19" s="6"/>
      <c r="AB19" s="421"/>
      <c r="AC19" s="6"/>
      <c r="AD19" s="6"/>
      <c r="AE19" s="6"/>
      <c r="AF19" s="6"/>
      <c r="AG19" s="421"/>
      <c r="AH19" s="6"/>
      <c r="AI19" s="6"/>
      <c r="AJ19" s="6"/>
      <c r="AK19" s="6"/>
      <c r="AL19" s="421"/>
      <c r="AM19" s="6"/>
      <c r="AN19" s="6"/>
      <c r="AO19" s="6"/>
      <c r="AP19" s="6"/>
      <c r="AQ19" s="421"/>
      <c r="AR19" s="6"/>
      <c r="AS19" s="6"/>
      <c r="AT19" s="6"/>
      <c r="AU19" s="6"/>
      <c r="AV19" s="275">
        <f t="shared" si="52"/>
        <v>1188</v>
      </c>
      <c r="AW19" s="10">
        <f t="shared" si="53"/>
        <v>2096</v>
      </c>
      <c r="AX19" s="10">
        <f t="shared" si="54"/>
        <v>2199</v>
      </c>
      <c r="AY19" s="10">
        <f t="shared" si="55"/>
        <v>2199</v>
      </c>
      <c r="AZ19" s="10">
        <f t="shared" si="56"/>
        <v>2199</v>
      </c>
      <c r="BA19" s="182"/>
    </row>
    <row r="20" spans="1:53" ht="12.75" customHeight="1" x14ac:dyDescent="0.2">
      <c r="A20" s="60">
        <v>121</v>
      </c>
      <c r="B20" s="8" t="s">
        <v>531</v>
      </c>
      <c r="C20" s="275">
        <v>1644</v>
      </c>
      <c r="D20" s="10">
        <v>2928</v>
      </c>
      <c r="E20" s="10">
        <v>2928</v>
      </c>
      <c r="F20" s="10">
        <v>2928</v>
      </c>
      <c r="G20" s="10">
        <v>2928</v>
      </c>
      <c r="H20" s="275"/>
      <c r="I20" s="10"/>
      <c r="J20" s="10"/>
      <c r="K20" s="10"/>
      <c r="L20" s="10"/>
      <c r="M20" s="275"/>
      <c r="N20" s="10"/>
      <c r="O20" s="10"/>
      <c r="P20" s="10"/>
      <c r="Q20" s="10"/>
      <c r="R20" s="275"/>
      <c r="S20" s="10"/>
      <c r="T20" s="10"/>
      <c r="U20" s="10"/>
      <c r="V20" s="10"/>
      <c r="W20" s="275"/>
      <c r="X20" s="10"/>
      <c r="Y20" s="10"/>
      <c r="Z20" s="10"/>
      <c r="AA20" s="10"/>
      <c r="AB20" s="275"/>
      <c r="AC20" s="10"/>
      <c r="AD20" s="10"/>
      <c r="AE20" s="10"/>
      <c r="AF20" s="10"/>
      <c r="AG20" s="275"/>
      <c r="AH20" s="10"/>
      <c r="AI20" s="10"/>
      <c r="AJ20" s="10"/>
      <c r="AK20" s="10"/>
      <c r="AL20" s="275"/>
      <c r="AM20" s="10"/>
      <c r="AN20" s="10"/>
      <c r="AO20" s="10"/>
      <c r="AP20" s="10"/>
      <c r="AQ20" s="275"/>
      <c r="AR20" s="10"/>
      <c r="AS20" s="10"/>
      <c r="AT20" s="10"/>
      <c r="AU20" s="10"/>
      <c r="AV20" s="275">
        <f t="shared" si="52"/>
        <v>1644</v>
      </c>
      <c r="AW20" s="10">
        <f t="shared" si="53"/>
        <v>2928</v>
      </c>
      <c r="AX20" s="10">
        <f t="shared" si="54"/>
        <v>2928</v>
      </c>
      <c r="AY20" s="10">
        <f t="shared" si="55"/>
        <v>2928</v>
      </c>
      <c r="AZ20" s="10">
        <f t="shared" si="56"/>
        <v>2928</v>
      </c>
      <c r="BA20" s="182"/>
    </row>
    <row r="21" spans="1:53" ht="12.75" customHeight="1" x14ac:dyDescent="0.2">
      <c r="A21" s="60">
        <v>122</v>
      </c>
      <c r="B21" s="8" t="s">
        <v>911</v>
      </c>
      <c r="C21" s="275">
        <v>339</v>
      </c>
      <c r="D21" s="10">
        <v>0</v>
      </c>
      <c r="E21" s="10">
        <f>250+180</f>
        <v>430</v>
      </c>
      <c r="F21" s="10">
        <f>250+180</f>
        <v>430</v>
      </c>
      <c r="G21" s="10">
        <v>100</v>
      </c>
      <c r="H21" s="275"/>
      <c r="I21" s="10"/>
      <c r="J21" s="10"/>
      <c r="K21" s="10"/>
      <c r="L21" s="10"/>
      <c r="M21" s="275"/>
      <c r="N21" s="10"/>
      <c r="O21" s="10"/>
      <c r="P21" s="10"/>
      <c r="Q21" s="10"/>
      <c r="R21" s="275"/>
      <c r="S21" s="10"/>
      <c r="T21" s="10"/>
      <c r="U21" s="10"/>
      <c r="V21" s="10"/>
      <c r="W21" s="275">
        <v>0</v>
      </c>
      <c r="X21" s="10">
        <v>0</v>
      </c>
      <c r="Y21" s="10">
        <v>350</v>
      </c>
      <c r="Z21" s="10">
        <v>350</v>
      </c>
      <c r="AA21" s="10">
        <v>0</v>
      </c>
      <c r="AB21" s="275"/>
      <c r="AC21" s="10"/>
      <c r="AD21" s="10"/>
      <c r="AE21" s="10"/>
      <c r="AF21" s="10"/>
      <c r="AG21" s="275">
        <f>286+300</f>
        <v>586</v>
      </c>
      <c r="AH21" s="10">
        <f>287+300</f>
        <v>587</v>
      </c>
      <c r="AI21" s="10">
        <f>287+300-287</f>
        <v>300</v>
      </c>
      <c r="AJ21" s="10">
        <f>287+300-287</f>
        <v>300</v>
      </c>
      <c r="AK21" s="10">
        <v>300</v>
      </c>
      <c r="AL21" s="275"/>
      <c r="AM21" s="10"/>
      <c r="AN21" s="10"/>
      <c r="AO21" s="10"/>
      <c r="AP21" s="10"/>
      <c r="AQ21" s="275"/>
      <c r="AR21" s="10"/>
      <c r="AS21" s="10"/>
      <c r="AT21" s="10"/>
      <c r="AU21" s="10"/>
      <c r="AV21" s="275">
        <f t="shared" si="52"/>
        <v>925</v>
      </c>
      <c r="AW21" s="10">
        <f t="shared" si="53"/>
        <v>587</v>
      </c>
      <c r="AX21" s="10">
        <f t="shared" si="54"/>
        <v>1080</v>
      </c>
      <c r="AY21" s="10">
        <f t="shared" si="55"/>
        <v>1080</v>
      </c>
      <c r="AZ21" s="10">
        <f t="shared" si="56"/>
        <v>400</v>
      </c>
      <c r="BA21" s="182"/>
    </row>
    <row r="22" spans="1:53" ht="12.75" customHeight="1" x14ac:dyDescent="0.2">
      <c r="A22" s="60">
        <v>123</v>
      </c>
      <c r="B22" s="8" t="s">
        <v>509</v>
      </c>
      <c r="C22" s="275">
        <v>141</v>
      </c>
      <c r="D22" s="10">
        <v>0</v>
      </c>
      <c r="E22" s="10">
        <v>0</v>
      </c>
      <c r="F22" s="10">
        <v>141</v>
      </c>
      <c r="G22" s="10">
        <v>141</v>
      </c>
      <c r="H22" s="275"/>
      <c r="I22" s="10"/>
      <c r="J22" s="10"/>
      <c r="K22" s="10"/>
      <c r="L22" s="10"/>
      <c r="M22" s="275"/>
      <c r="N22" s="10"/>
      <c r="O22" s="10"/>
      <c r="P22" s="10"/>
      <c r="Q22" s="10"/>
      <c r="R22" s="275"/>
      <c r="S22" s="10"/>
      <c r="T22" s="10"/>
      <c r="U22" s="10"/>
      <c r="V22" s="10"/>
      <c r="W22" s="275"/>
      <c r="X22" s="10"/>
      <c r="Y22" s="10"/>
      <c r="Z22" s="10"/>
      <c r="AA22" s="10"/>
      <c r="AB22" s="275"/>
      <c r="AC22" s="10"/>
      <c r="AD22" s="10"/>
      <c r="AE22" s="10"/>
      <c r="AF22" s="10"/>
      <c r="AG22" s="275"/>
      <c r="AH22" s="10"/>
      <c r="AI22" s="10"/>
      <c r="AJ22" s="10"/>
      <c r="AK22" s="10"/>
      <c r="AL22" s="275"/>
      <c r="AM22" s="10"/>
      <c r="AN22" s="10"/>
      <c r="AO22" s="10"/>
      <c r="AP22" s="10"/>
      <c r="AQ22" s="275"/>
      <c r="AR22" s="10"/>
      <c r="AS22" s="10"/>
      <c r="AT22" s="10"/>
      <c r="AU22" s="10"/>
      <c r="AV22" s="275">
        <f t="shared" si="52"/>
        <v>141</v>
      </c>
      <c r="AW22" s="10">
        <f t="shared" si="53"/>
        <v>0</v>
      </c>
      <c r="AX22" s="10">
        <f t="shared" si="54"/>
        <v>0</v>
      </c>
      <c r="AY22" s="10">
        <f t="shared" si="55"/>
        <v>141</v>
      </c>
      <c r="AZ22" s="10">
        <f t="shared" si="56"/>
        <v>141</v>
      </c>
      <c r="BA22" s="182"/>
    </row>
    <row r="23" spans="1:53" ht="12.75" customHeight="1" x14ac:dyDescent="0.2">
      <c r="A23" s="60">
        <v>123</v>
      </c>
      <c r="B23" s="8" t="s">
        <v>492</v>
      </c>
      <c r="C23" s="275">
        <v>185</v>
      </c>
      <c r="D23" s="10">
        <v>200</v>
      </c>
      <c r="E23" s="10">
        <v>200</v>
      </c>
      <c r="F23" s="10">
        <f>200-141</f>
        <v>59</v>
      </c>
      <c r="G23" s="10">
        <v>43</v>
      </c>
      <c r="H23" s="275">
        <v>25</v>
      </c>
      <c r="I23" s="10">
        <v>50</v>
      </c>
      <c r="J23" s="10">
        <v>50</v>
      </c>
      <c r="K23" s="10">
        <f>50-50</f>
        <v>0</v>
      </c>
      <c r="L23" s="10">
        <v>0</v>
      </c>
      <c r="M23" s="275"/>
      <c r="N23" s="10"/>
      <c r="O23" s="10"/>
      <c r="P23" s="10"/>
      <c r="Q23" s="10"/>
      <c r="R23" s="275"/>
      <c r="S23" s="10"/>
      <c r="T23" s="10"/>
      <c r="U23" s="10"/>
      <c r="V23" s="10"/>
      <c r="W23" s="275"/>
      <c r="X23" s="10"/>
      <c r="Y23" s="10"/>
      <c r="Z23" s="10"/>
      <c r="AA23" s="10"/>
      <c r="AB23" s="275"/>
      <c r="AC23" s="10"/>
      <c r="AD23" s="10"/>
      <c r="AE23" s="10"/>
      <c r="AF23" s="10"/>
      <c r="AG23" s="275">
        <v>967</v>
      </c>
      <c r="AH23" s="10">
        <v>600</v>
      </c>
      <c r="AI23" s="10">
        <v>600</v>
      </c>
      <c r="AJ23" s="10">
        <f>600-10</f>
        <v>590</v>
      </c>
      <c r="AK23" s="10">
        <v>459</v>
      </c>
      <c r="AL23" s="275"/>
      <c r="AM23" s="10"/>
      <c r="AN23" s="10"/>
      <c r="AO23" s="10"/>
      <c r="AP23" s="10"/>
      <c r="AQ23" s="275"/>
      <c r="AR23" s="10"/>
      <c r="AS23" s="10"/>
      <c r="AT23" s="10"/>
      <c r="AU23" s="10"/>
      <c r="AV23" s="275">
        <f t="shared" si="52"/>
        <v>1177</v>
      </c>
      <c r="AW23" s="10">
        <f t="shared" si="53"/>
        <v>850</v>
      </c>
      <c r="AX23" s="10">
        <f t="shared" si="54"/>
        <v>850</v>
      </c>
      <c r="AY23" s="10">
        <f t="shared" si="55"/>
        <v>649</v>
      </c>
      <c r="AZ23" s="10">
        <f t="shared" si="56"/>
        <v>502</v>
      </c>
      <c r="BA23" s="182"/>
    </row>
    <row r="24" spans="1:53" ht="13.5" customHeight="1" x14ac:dyDescent="0.2">
      <c r="A24" s="75" t="s">
        <v>197</v>
      </c>
      <c r="B24" s="123" t="s">
        <v>270</v>
      </c>
      <c r="C24" s="445">
        <f t="shared" ref="C24:AL24" si="57">SUM(C9+C15)</f>
        <v>14026</v>
      </c>
      <c r="D24" s="171">
        <f t="shared" ref="D24:E24" si="58">SUM(D9+D15)</f>
        <v>18373</v>
      </c>
      <c r="E24" s="171">
        <f t="shared" si="58"/>
        <v>19591</v>
      </c>
      <c r="F24" s="171">
        <f t="shared" ref="F24:G24" si="59">SUM(F9+F15)</f>
        <v>19651</v>
      </c>
      <c r="G24" s="171">
        <f t="shared" si="59"/>
        <v>19304</v>
      </c>
      <c r="H24" s="445">
        <f t="shared" si="57"/>
        <v>12369</v>
      </c>
      <c r="I24" s="171">
        <f t="shared" ref="I24:J24" si="60">SUM(I9+I15)</f>
        <v>11863</v>
      </c>
      <c r="J24" s="171">
        <f t="shared" si="60"/>
        <v>11513</v>
      </c>
      <c r="K24" s="171">
        <f t="shared" ref="K24:L24" si="61">SUM(K9+K15)</f>
        <v>11702</v>
      </c>
      <c r="L24" s="171">
        <f t="shared" si="61"/>
        <v>11678</v>
      </c>
      <c r="M24" s="445">
        <f t="shared" si="57"/>
        <v>4669</v>
      </c>
      <c r="N24" s="171">
        <f t="shared" ref="N24:O24" si="62">SUM(N9+N15)</f>
        <v>4885</v>
      </c>
      <c r="O24" s="171">
        <f t="shared" si="62"/>
        <v>4885</v>
      </c>
      <c r="P24" s="171">
        <f t="shared" ref="P24:Q24" si="63">SUM(P9+P15)</f>
        <v>4895</v>
      </c>
      <c r="Q24" s="171">
        <f t="shared" si="63"/>
        <v>4895</v>
      </c>
      <c r="R24" s="445">
        <f t="shared" si="57"/>
        <v>0</v>
      </c>
      <c r="S24" s="171">
        <f t="shared" ref="S24:T24" si="64">SUM(S9+S15)</f>
        <v>0</v>
      </c>
      <c r="T24" s="171">
        <f t="shared" si="64"/>
        <v>0</v>
      </c>
      <c r="U24" s="171">
        <f t="shared" ref="U24:V24" si="65">SUM(U9+U15)</f>
        <v>0</v>
      </c>
      <c r="V24" s="171">
        <f t="shared" si="65"/>
        <v>0</v>
      </c>
      <c r="W24" s="445">
        <f t="shared" si="57"/>
        <v>0</v>
      </c>
      <c r="X24" s="171">
        <f t="shared" ref="X24:Y24" si="66">SUM(X9+X15)</f>
        <v>0</v>
      </c>
      <c r="Y24" s="171">
        <f t="shared" si="66"/>
        <v>350</v>
      </c>
      <c r="Z24" s="171">
        <f t="shared" ref="Z24:AA24" si="67">SUM(Z9+Z15)</f>
        <v>350</v>
      </c>
      <c r="AA24" s="171">
        <f t="shared" si="67"/>
        <v>0</v>
      </c>
      <c r="AB24" s="445">
        <f t="shared" si="57"/>
        <v>0</v>
      </c>
      <c r="AC24" s="171">
        <f t="shared" ref="AC24:AD24" si="68">SUM(AC9+AC15)</f>
        <v>0</v>
      </c>
      <c r="AD24" s="171">
        <f t="shared" si="68"/>
        <v>0</v>
      </c>
      <c r="AE24" s="171">
        <f t="shared" ref="AE24:AF24" si="69">SUM(AE9+AE15)</f>
        <v>0</v>
      </c>
      <c r="AF24" s="171">
        <f t="shared" si="69"/>
        <v>0</v>
      </c>
      <c r="AG24" s="445">
        <f t="shared" si="57"/>
        <v>1553</v>
      </c>
      <c r="AH24" s="171">
        <f t="shared" ref="AH24:AI24" si="70">SUM(AH9+AH15)</f>
        <v>1187</v>
      </c>
      <c r="AI24" s="171">
        <f t="shared" si="70"/>
        <v>1187</v>
      </c>
      <c r="AJ24" s="171">
        <f t="shared" ref="AJ24:AK24" si="71">SUM(AJ9+AJ15)</f>
        <v>1177</v>
      </c>
      <c r="AK24" s="171">
        <f t="shared" si="71"/>
        <v>1006</v>
      </c>
      <c r="AL24" s="445">
        <f t="shared" si="57"/>
        <v>0</v>
      </c>
      <c r="AM24" s="171">
        <f t="shared" ref="AM24:AN24" si="72">SUM(AM9+AM15)</f>
        <v>0</v>
      </c>
      <c r="AN24" s="171">
        <f t="shared" si="72"/>
        <v>0</v>
      </c>
      <c r="AO24" s="171">
        <f t="shared" ref="AO24:AS24" si="73">SUM(AO9+AO15)</f>
        <v>0</v>
      </c>
      <c r="AP24" s="171">
        <f t="shared" si="73"/>
        <v>0</v>
      </c>
      <c r="AQ24" s="445">
        <f t="shared" si="73"/>
        <v>0</v>
      </c>
      <c r="AR24" s="171">
        <f t="shared" si="73"/>
        <v>0</v>
      </c>
      <c r="AS24" s="171">
        <f t="shared" si="73"/>
        <v>0</v>
      </c>
      <c r="AT24" s="171">
        <f t="shared" ref="AT24:AU24" si="74">SUM(AT9+AT15)</f>
        <v>146</v>
      </c>
      <c r="AU24" s="171">
        <f t="shared" si="74"/>
        <v>145</v>
      </c>
      <c r="AV24" s="445">
        <f t="shared" ref="AV24:AW29" si="75">C24+H24+M24+R24+W24+AB24+AG24+AL24+AQ24</f>
        <v>32617</v>
      </c>
      <c r="AW24" s="171">
        <f t="shared" si="75"/>
        <v>36308</v>
      </c>
      <c r="AX24" s="171">
        <f t="shared" si="54"/>
        <v>37526</v>
      </c>
      <c r="AY24" s="171">
        <f t="shared" si="55"/>
        <v>37921</v>
      </c>
      <c r="AZ24" s="171">
        <f t="shared" si="56"/>
        <v>37028</v>
      </c>
      <c r="BA24" s="182"/>
    </row>
    <row r="25" spans="1:53" ht="13.5" customHeight="1" x14ac:dyDescent="0.2">
      <c r="A25" s="60"/>
      <c r="B25" s="8" t="s">
        <v>27</v>
      </c>
      <c r="C25" s="275">
        <v>1815</v>
      </c>
      <c r="D25" s="10">
        <v>2466</v>
      </c>
      <c r="E25" s="10">
        <f>2466+102+21</f>
        <v>2589</v>
      </c>
      <c r="F25" s="10">
        <f>2466+102+21-9</f>
        <v>2580</v>
      </c>
      <c r="G25" s="10">
        <v>2520</v>
      </c>
      <c r="H25" s="275">
        <v>1086</v>
      </c>
      <c r="I25" s="10">
        <v>1168</v>
      </c>
      <c r="J25" s="10">
        <v>1168</v>
      </c>
      <c r="K25" s="10">
        <v>1168</v>
      </c>
      <c r="L25" s="10">
        <v>1168</v>
      </c>
      <c r="M25" s="275">
        <v>607</v>
      </c>
      <c r="N25" s="10">
        <v>635</v>
      </c>
      <c r="O25" s="10">
        <v>635</v>
      </c>
      <c r="P25" s="10">
        <f>635+2</f>
        <v>637</v>
      </c>
      <c r="Q25" s="10">
        <v>636</v>
      </c>
      <c r="R25" s="275"/>
      <c r="S25" s="10"/>
      <c r="T25" s="10"/>
      <c r="U25" s="10"/>
      <c r="V25" s="10"/>
      <c r="W25" s="275"/>
      <c r="X25" s="10"/>
      <c r="Y25" s="10"/>
      <c r="Z25" s="10"/>
      <c r="AA25" s="10"/>
      <c r="AB25" s="275"/>
      <c r="AC25" s="10"/>
      <c r="AD25" s="10"/>
      <c r="AE25" s="10"/>
      <c r="AF25" s="10"/>
      <c r="AG25" s="275">
        <v>33</v>
      </c>
      <c r="AH25" s="10">
        <v>34</v>
      </c>
      <c r="AI25" s="10">
        <v>34</v>
      </c>
      <c r="AJ25" s="10">
        <f>34-2-19-9</f>
        <v>4</v>
      </c>
      <c r="AK25" s="10">
        <v>0</v>
      </c>
      <c r="AL25" s="275"/>
      <c r="AM25" s="10"/>
      <c r="AN25" s="10"/>
      <c r="AO25" s="10"/>
      <c r="AP25" s="10"/>
      <c r="AQ25" s="275">
        <v>0</v>
      </c>
      <c r="AR25" s="10">
        <v>0</v>
      </c>
      <c r="AS25" s="10">
        <v>0</v>
      </c>
      <c r="AT25" s="10">
        <v>9</v>
      </c>
      <c r="AU25" s="10">
        <v>9</v>
      </c>
      <c r="AV25" s="275">
        <f t="shared" si="75"/>
        <v>3541</v>
      </c>
      <c r="AW25" s="10">
        <f t="shared" si="75"/>
        <v>4303</v>
      </c>
      <c r="AX25" s="10">
        <f t="shared" si="54"/>
        <v>4426</v>
      </c>
      <c r="AY25" s="10">
        <f t="shared" si="55"/>
        <v>4398</v>
      </c>
      <c r="AZ25" s="10">
        <f t="shared" si="56"/>
        <v>4333</v>
      </c>
      <c r="BA25" s="182"/>
    </row>
    <row r="26" spans="1:53" x14ac:dyDescent="0.2">
      <c r="A26" s="60"/>
      <c r="B26" s="8" t="s">
        <v>428</v>
      </c>
      <c r="C26" s="275">
        <v>99</v>
      </c>
      <c r="D26" s="10">
        <v>153</v>
      </c>
      <c r="E26" s="10">
        <v>153</v>
      </c>
      <c r="F26" s="10">
        <v>153</v>
      </c>
      <c r="G26" s="10">
        <v>77</v>
      </c>
      <c r="H26" s="275">
        <v>52</v>
      </c>
      <c r="I26" s="10">
        <v>62</v>
      </c>
      <c r="J26" s="10">
        <v>62</v>
      </c>
      <c r="K26" s="10">
        <f>62+19</f>
        <v>81</v>
      </c>
      <c r="L26" s="10">
        <v>81</v>
      </c>
      <c r="M26" s="275">
        <v>17</v>
      </c>
      <c r="N26" s="10">
        <v>18</v>
      </c>
      <c r="O26" s="10">
        <v>18</v>
      </c>
      <c r="P26" s="10">
        <f>18+9</f>
        <v>27</v>
      </c>
      <c r="Q26" s="10">
        <v>27</v>
      </c>
      <c r="R26" s="275"/>
      <c r="S26" s="10"/>
      <c r="T26" s="10"/>
      <c r="U26" s="10"/>
      <c r="V26" s="10"/>
      <c r="W26" s="275"/>
      <c r="X26" s="10"/>
      <c r="Y26" s="10"/>
      <c r="Z26" s="10"/>
      <c r="AA26" s="10"/>
      <c r="AB26" s="275"/>
      <c r="AC26" s="10"/>
      <c r="AD26" s="10"/>
      <c r="AE26" s="10"/>
      <c r="AF26" s="10"/>
      <c r="AG26" s="275">
        <v>0</v>
      </c>
      <c r="AH26" s="10">
        <v>0</v>
      </c>
      <c r="AI26" s="10">
        <v>0</v>
      </c>
      <c r="AJ26" s="10">
        <v>0</v>
      </c>
      <c r="AK26" s="10">
        <v>0</v>
      </c>
      <c r="AL26" s="275"/>
      <c r="AM26" s="10"/>
      <c r="AN26" s="10"/>
      <c r="AO26" s="10"/>
      <c r="AP26" s="10"/>
      <c r="AQ26" s="275"/>
      <c r="AR26" s="10"/>
      <c r="AS26" s="10"/>
      <c r="AT26" s="10"/>
      <c r="AU26" s="10"/>
      <c r="AV26" s="275">
        <f t="shared" si="75"/>
        <v>168</v>
      </c>
      <c r="AW26" s="10">
        <f t="shared" si="75"/>
        <v>233</v>
      </c>
      <c r="AX26" s="10">
        <f t="shared" ref="AX26:AX29" si="76">E26+J26+O26+T26+Y26+AD26+AI26+AN26+AS26</f>
        <v>233</v>
      </c>
      <c r="AY26" s="10">
        <f t="shared" ref="AY26:AY29" si="77">F26+K26+P26+U26+Z26+AE26+AJ26+AO26+AT26</f>
        <v>261</v>
      </c>
      <c r="AZ26" s="10">
        <f t="shared" ref="AZ26:AZ29" si="78">G26+L26+Q26+V26+AA26+AF26+AK26+AP26+AU26</f>
        <v>185</v>
      </c>
      <c r="BA26" s="182"/>
    </row>
    <row r="27" spans="1:53" ht="13.5" customHeight="1" x14ac:dyDescent="0.2">
      <c r="A27" s="75" t="s">
        <v>198</v>
      </c>
      <c r="B27" s="123" t="s">
        <v>82</v>
      </c>
      <c r="C27" s="445">
        <f t="shared" ref="C27:T27" si="79">SUM(C25:C26)</f>
        <v>1914</v>
      </c>
      <c r="D27" s="171">
        <f t="shared" si="79"/>
        <v>2619</v>
      </c>
      <c r="E27" s="171">
        <f t="shared" si="79"/>
        <v>2742</v>
      </c>
      <c r="F27" s="171">
        <f t="shared" ref="F27:G27" si="80">SUM(F25:F26)</f>
        <v>2733</v>
      </c>
      <c r="G27" s="171">
        <f t="shared" si="80"/>
        <v>2597</v>
      </c>
      <c r="H27" s="445">
        <f t="shared" si="79"/>
        <v>1138</v>
      </c>
      <c r="I27" s="171">
        <f t="shared" si="79"/>
        <v>1230</v>
      </c>
      <c r="J27" s="171">
        <f t="shared" si="79"/>
        <v>1230</v>
      </c>
      <c r="K27" s="171">
        <f t="shared" ref="K27:L27" si="81">SUM(K25:K26)</f>
        <v>1249</v>
      </c>
      <c r="L27" s="171">
        <f t="shared" si="81"/>
        <v>1249</v>
      </c>
      <c r="M27" s="445">
        <f t="shared" si="79"/>
        <v>624</v>
      </c>
      <c r="N27" s="171">
        <f t="shared" si="79"/>
        <v>653</v>
      </c>
      <c r="O27" s="171">
        <f t="shared" si="79"/>
        <v>653</v>
      </c>
      <c r="P27" s="171">
        <f t="shared" ref="P27:Q27" si="82">SUM(P25:P26)</f>
        <v>664</v>
      </c>
      <c r="Q27" s="171">
        <f t="shared" si="82"/>
        <v>663</v>
      </c>
      <c r="R27" s="445">
        <f t="shared" si="79"/>
        <v>0</v>
      </c>
      <c r="S27" s="171">
        <f t="shared" si="79"/>
        <v>0</v>
      </c>
      <c r="T27" s="171">
        <f t="shared" si="79"/>
        <v>0</v>
      </c>
      <c r="U27" s="171">
        <f t="shared" ref="U27:V27" si="83">SUM(U25:U26)</f>
        <v>0</v>
      </c>
      <c r="V27" s="171">
        <f t="shared" si="83"/>
        <v>0</v>
      </c>
      <c r="W27" s="445">
        <f t="shared" ref="W27:AL27" si="84">SUM(W25:W26)</f>
        <v>0</v>
      </c>
      <c r="X27" s="171">
        <f t="shared" ref="X27:Y27" si="85">SUM(X25:X26)</f>
        <v>0</v>
      </c>
      <c r="Y27" s="171">
        <f t="shared" si="85"/>
        <v>0</v>
      </c>
      <c r="Z27" s="171">
        <f t="shared" ref="Z27:AA27" si="86">SUM(Z25:Z26)</f>
        <v>0</v>
      </c>
      <c r="AA27" s="171">
        <f t="shared" si="86"/>
        <v>0</v>
      </c>
      <c r="AB27" s="445">
        <f t="shared" si="84"/>
        <v>0</v>
      </c>
      <c r="AC27" s="171">
        <f t="shared" ref="AC27:AD27" si="87">SUM(AC25:AC26)</f>
        <v>0</v>
      </c>
      <c r="AD27" s="171">
        <f t="shared" si="87"/>
        <v>0</v>
      </c>
      <c r="AE27" s="171">
        <f t="shared" ref="AE27:AF27" si="88">SUM(AE25:AE26)</f>
        <v>0</v>
      </c>
      <c r="AF27" s="171">
        <f t="shared" si="88"/>
        <v>0</v>
      </c>
      <c r="AG27" s="445">
        <f t="shared" si="84"/>
        <v>33</v>
      </c>
      <c r="AH27" s="171">
        <f t="shared" ref="AH27:AI27" si="89">SUM(AH25:AH26)</f>
        <v>34</v>
      </c>
      <c r="AI27" s="171">
        <f t="shared" si="89"/>
        <v>34</v>
      </c>
      <c r="AJ27" s="171">
        <f t="shared" ref="AJ27:AK27" si="90">SUM(AJ25:AJ26)</f>
        <v>4</v>
      </c>
      <c r="AK27" s="171">
        <f t="shared" si="90"/>
        <v>0</v>
      </c>
      <c r="AL27" s="445">
        <f t="shared" si="84"/>
        <v>0</v>
      </c>
      <c r="AM27" s="171">
        <f t="shared" ref="AM27:AN27" si="91">SUM(AM25:AM26)</f>
        <v>0</v>
      </c>
      <c r="AN27" s="171">
        <f t="shared" si="91"/>
        <v>0</v>
      </c>
      <c r="AO27" s="171">
        <f t="shared" ref="AO27:AS27" si="92">SUM(AO25:AO26)</f>
        <v>0</v>
      </c>
      <c r="AP27" s="171">
        <f t="shared" si="92"/>
        <v>0</v>
      </c>
      <c r="AQ27" s="445">
        <f t="shared" si="92"/>
        <v>0</v>
      </c>
      <c r="AR27" s="171">
        <f t="shared" si="92"/>
        <v>0</v>
      </c>
      <c r="AS27" s="171">
        <f t="shared" si="92"/>
        <v>0</v>
      </c>
      <c r="AT27" s="171">
        <f t="shared" ref="AT27:AU27" si="93">SUM(AT25:AT26)</f>
        <v>9</v>
      </c>
      <c r="AU27" s="171">
        <f t="shared" si="93"/>
        <v>9</v>
      </c>
      <c r="AV27" s="445">
        <f t="shared" si="75"/>
        <v>3709</v>
      </c>
      <c r="AW27" s="171">
        <f t="shared" si="75"/>
        <v>4536</v>
      </c>
      <c r="AX27" s="171">
        <f t="shared" si="76"/>
        <v>4659</v>
      </c>
      <c r="AY27" s="171">
        <f t="shared" si="77"/>
        <v>4659</v>
      </c>
      <c r="AZ27" s="171">
        <f t="shared" si="78"/>
        <v>4518</v>
      </c>
      <c r="BA27" s="182"/>
    </row>
    <row r="28" spans="1:53" ht="13.5" customHeight="1" x14ac:dyDescent="0.2">
      <c r="A28" s="75" t="s">
        <v>238</v>
      </c>
      <c r="B28" s="13" t="s">
        <v>260</v>
      </c>
      <c r="C28" s="421">
        <f t="shared" ref="C28:AL28" si="94">SUM(C29:C36)</f>
        <v>506</v>
      </c>
      <c r="D28" s="6">
        <f t="shared" ref="D28:E28" si="95">SUM(D29:D36)</f>
        <v>580</v>
      </c>
      <c r="E28" s="6">
        <f t="shared" si="95"/>
        <v>560</v>
      </c>
      <c r="F28" s="6">
        <f t="shared" ref="F28:G28" si="96">SUM(F29:F36)</f>
        <v>560</v>
      </c>
      <c r="G28" s="6">
        <f t="shared" si="96"/>
        <v>304</v>
      </c>
      <c r="H28" s="421">
        <f t="shared" si="94"/>
        <v>2360</v>
      </c>
      <c r="I28" s="6">
        <f t="shared" ref="I28:J28" si="97">SUM(I29:I36)</f>
        <v>2070</v>
      </c>
      <c r="J28" s="6">
        <f t="shared" si="97"/>
        <v>1890</v>
      </c>
      <c r="K28" s="6">
        <f t="shared" ref="K28:L28" si="98">SUM(K29:K36)</f>
        <v>1890</v>
      </c>
      <c r="L28" s="6">
        <f t="shared" si="98"/>
        <v>1376</v>
      </c>
      <c r="M28" s="421">
        <f t="shared" si="94"/>
        <v>771</v>
      </c>
      <c r="N28" s="6">
        <f t="shared" ref="N28:O28" si="99">SUM(N29:N36)</f>
        <v>930</v>
      </c>
      <c r="O28" s="6">
        <f t="shared" si="99"/>
        <v>1030</v>
      </c>
      <c r="P28" s="6">
        <f t="shared" ref="P28:Q28" si="100">SUM(P29:P36)</f>
        <v>987</v>
      </c>
      <c r="Q28" s="6">
        <f t="shared" si="100"/>
        <v>755</v>
      </c>
      <c r="R28" s="421">
        <f t="shared" si="94"/>
        <v>40</v>
      </c>
      <c r="S28" s="6">
        <f t="shared" ref="S28:T28" si="101">SUM(S29:S36)</f>
        <v>70</v>
      </c>
      <c r="T28" s="6">
        <f t="shared" si="101"/>
        <v>150</v>
      </c>
      <c r="U28" s="6">
        <f t="shared" ref="U28:V28" si="102">SUM(U29:U36)</f>
        <v>190</v>
      </c>
      <c r="V28" s="6">
        <f t="shared" si="102"/>
        <v>172</v>
      </c>
      <c r="W28" s="421">
        <f t="shared" si="94"/>
        <v>0</v>
      </c>
      <c r="X28" s="6">
        <f t="shared" ref="X28:Y28" si="103">SUM(X29:X36)</f>
        <v>0</v>
      </c>
      <c r="Y28" s="6">
        <f t="shared" si="103"/>
        <v>0</v>
      </c>
      <c r="Z28" s="6">
        <f t="shared" ref="Z28:AA28" si="104">SUM(Z29:Z36)</f>
        <v>0</v>
      </c>
      <c r="AA28" s="6">
        <f t="shared" si="104"/>
        <v>0</v>
      </c>
      <c r="AB28" s="421">
        <f t="shared" si="94"/>
        <v>0</v>
      </c>
      <c r="AC28" s="6">
        <f t="shared" ref="AC28:AD28" si="105">SUM(AC29:AC36)</f>
        <v>0</v>
      </c>
      <c r="AD28" s="6">
        <f t="shared" si="105"/>
        <v>0</v>
      </c>
      <c r="AE28" s="6">
        <f t="shared" ref="AE28:AF28" si="106">SUM(AE29:AE36)</f>
        <v>0</v>
      </c>
      <c r="AF28" s="6">
        <f t="shared" si="106"/>
        <v>0</v>
      </c>
      <c r="AG28" s="421">
        <f t="shared" si="94"/>
        <v>346</v>
      </c>
      <c r="AH28" s="6">
        <f t="shared" ref="AH28:AI28" si="107">SUM(AH29:AH36)</f>
        <v>450</v>
      </c>
      <c r="AI28" s="6">
        <f t="shared" si="107"/>
        <v>450</v>
      </c>
      <c r="AJ28" s="6">
        <f t="shared" ref="AJ28:AK28" si="108">SUM(AJ29:AJ36)</f>
        <v>397</v>
      </c>
      <c r="AK28" s="6">
        <f t="shared" si="108"/>
        <v>186</v>
      </c>
      <c r="AL28" s="421">
        <f t="shared" si="94"/>
        <v>0</v>
      </c>
      <c r="AM28" s="6">
        <f t="shared" ref="AM28:AN28" si="109">SUM(AM29:AM36)</f>
        <v>0</v>
      </c>
      <c r="AN28" s="6">
        <f t="shared" si="109"/>
        <v>20</v>
      </c>
      <c r="AO28" s="6">
        <f t="shared" ref="AO28:AS28" si="110">SUM(AO29:AO36)</f>
        <v>25</v>
      </c>
      <c r="AP28" s="6">
        <f t="shared" si="110"/>
        <v>25</v>
      </c>
      <c r="AQ28" s="421">
        <f t="shared" si="110"/>
        <v>0</v>
      </c>
      <c r="AR28" s="6">
        <f t="shared" si="110"/>
        <v>0</v>
      </c>
      <c r="AS28" s="6">
        <f t="shared" si="110"/>
        <v>0</v>
      </c>
      <c r="AT28" s="6">
        <f t="shared" ref="AT28:AU28" si="111">SUM(AT29:AT36)</f>
        <v>51</v>
      </c>
      <c r="AU28" s="6">
        <f t="shared" si="111"/>
        <v>51</v>
      </c>
      <c r="AV28" s="421">
        <f t="shared" si="75"/>
        <v>4023</v>
      </c>
      <c r="AW28" s="6">
        <f t="shared" si="75"/>
        <v>4100</v>
      </c>
      <c r="AX28" s="6">
        <f t="shared" si="76"/>
        <v>4100</v>
      </c>
      <c r="AY28" s="6">
        <f t="shared" si="77"/>
        <v>4100</v>
      </c>
      <c r="AZ28" s="6">
        <f t="shared" si="78"/>
        <v>2869</v>
      </c>
      <c r="BA28" s="182"/>
    </row>
    <row r="29" spans="1:53" ht="13.5" customHeight="1" x14ac:dyDescent="0.2">
      <c r="A29" s="60" t="s">
        <v>239</v>
      </c>
      <c r="B29" s="8" t="s">
        <v>330</v>
      </c>
      <c r="C29" s="275"/>
      <c r="D29" s="10"/>
      <c r="E29" s="10"/>
      <c r="F29" s="10"/>
      <c r="G29" s="10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10"/>
      <c r="Y29" s="10"/>
      <c r="Z29" s="10"/>
      <c r="AA29" s="10"/>
      <c r="AB29" s="275"/>
      <c r="AC29" s="10"/>
      <c r="AD29" s="10"/>
      <c r="AE29" s="10"/>
      <c r="AF29" s="10"/>
      <c r="AG29" s="275">
        <f>101+12</f>
        <v>113</v>
      </c>
      <c r="AH29" s="10">
        <f>120+30</f>
        <v>150</v>
      </c>
      <c r="AI29" s="10">
        <f>120+30</f>
        <v>150</v>
      </c>
      <c r="AJ29" s="10">
        <f>120+30</f>
        <v>150</v>
      </c>
      <c r="AK29" s="10">
        <v>67</v>
      </c>
      <c r="AL29" s="275"/>
      <c r="AM29" s="10"/>
      <c r="AN29" s="10"/>
      <c r="AO29" s="10"/>
      <c r="AP29" s="10"/>
      <c r="AQ29" s="275"/>
      <c r="AR29" s="10"/>
      <c r="AS29" s="10"/>
      <c r="AT29" s="10"/>
      <c r="AU29" s="10"/>
      <c r="AV29" s="275">
        <f t="shared" si="75"/>
        <v>113</v>
      </c>
      <c r="AW29" s="10">
        <f t="shared" si="75"/>
        <v>150</v>
      </c>
      <c r="AX29" s="10">
        <f t="shared" si="76"/>
        <v>150</v>
      </c>
      <c r="AY29" s="10">
        <f t="shared" si="77"/>
        <v>150</v>
      </c>
      <c r="AZ29" s="10">
        <f t="shared" si="78"/>
        <v>67</v>
      </c>
      <c r="BA29" s="182"/>
    </row>
    <row r="30" spans="1:53" ht="13.5" customHeight="1" x14ac:dyDescent="0.2">
      <c r="A30" s="60" t="s">
        <v>240</v>
      </c>
      <c r="B30" s="8" t="s">
        <v>261</v>
      </c>
      <c r="C30" s="275"/>
      <c r="D30" s="10"/>
      <c r="E30" s="10"/>
      <c r="F30" s="10"/>
      <c r="G30" s="10"/>
      <c r="H30" s="275"/>
      <c r="I30" s="10"/>
      <c r="J30" s="10"/>
      <c r="K30" s="10"/>
      <c r="L30" s="10"/>
      <c r="M30" s="275"/>
      <c r="N30" s="10"/>
      <c r="O30" s="10"/>
      <c r="P30" s="10"/>
      <c r="Q30" s="10"/>
      <c r="R30" s="275"/>
      <c r="S30" s="10"/>
      <c r="T30" s="10"/>
      <c r="U30" s="10"/>
      <c r="V30" s="10"/>
      <c r="W30" s="275"/>
      <c r="X30" s="10"/>
      <c r="Y30" s="10"/>
      <c r="Z30" s="10"/>
      <c r="AA30" s="10"/>
      <c r="AB30" s="275"/>
      <c r="AC30" s="10"/>
      <c r="AD30" s="10"/>
      <c r="AE30" s="10"/>
      <c r="AF30" s="10"/>
      <c r="AG30" s="275"/>
      <c r="AH30" s="10"/>
      <c r="AI30" s="10"/>
      <c r="AJ30" s="10"/>
      <c r="AK30" s="10"/>
      <c r="AL30" s="275"/>
      <c r="AM30" s="10"/>
      <c r="AN30" s="10"/>
      <c r="AO30" s="10"/>
      <c r="AP30" s="10"/>
      <c r="AQ30" s="275"/>
      <c r="AR30" s="10"/>
      <c r="AS30" s="10"/>
      <c r="AT30" s="10"/>
      <c r="AU30" s="10"/>
      <c r="AV30" s="275">
        <f t="shared" ref="AV30:AV35" si="112">C30+H30+M30+R30+W30+AB30+AG30+AL30+AQ30</f>
        <v>0</v>
      </c>
      <c r="AW30" s="10">
        <f t="shared" ref="AW30:AW35" si="113">D30+I30+N30+S30+X30+AC30+AH30+AM30+AR30</f>
        <v>0</v>
      </c>
      <c r="AX30" s="10">
        <f t="shared" ref="AX30:AX35" si="114">E30+J30+O30+T30+Y30+AD30+AI30+AN30+AS30</f>
        <v>0</v>
      </c>
      <c r="AY30" s="10">
        <f t="shared" ref="AY30:AY35" si="115">F30+K30+P30+U30+Z30+AE30+AJ30+AO30+AT30</f>
        <v>0</v>
      </c>
      <c r="AZ30" s="10">
        <f t="shared" ref="AZ30:AZ35" si="116">G30+L30+Q30+V30+AA30+AF30+AK30+AP30+AU30</f>
        <v>0</v>
      </c>
      <c r="BA30" s="182"/>
    </row>
    <row r="31" spans="1:53" ht="13.5" customHeight="1" x14ac:dyDescent="0.2">
      <c r="A31" s="60"/>
      <c r="B31" s="8" t="s">
        <v>281</v>
      </c>
      <c r="C31" s="275">
        <v>180</v>
      </c>
      <c r="D31" s="10">
        <v>180</v>
      </c>
      <c r="E31" s="10">
        <v>180</v>
      </c>
      <c r="F31" s="10">
        <v>180</v>
      </c>
      <c r="G31" s="10">
        <v>54</v>
      </c>
      <c r="H31" s="275"/>
      <c r="I31" s="10"/>
      <c r="J31" s="10"/>
      <c r="K31" s="10"/>
      <c r="L31" s="10"/>
      <c r="M31" s="275">
        <v>2</v>
      </c>
      <c r="N31" s="10">
        <v>0</v>
      </c>
      <c r="O31" s="10">
        <v>0</v>
      </c>
      <c r="P31" s="10">
        <v>8</v>
      </c>
      <c r="Q31" s="10">
        <v>8</v>
      </c>
      <c r="R31" s="275"/>
      <c r="S31" s="10"/>
      <c r="T31" s="10"/>
      <c r="U31" s="10"/>
      <c r="V31" s="10"/>
      <c r="W31" s="275"/>
      <c r="X31" s="10"/>
      <c r="Y31" s="10"/>
      <c r="Z31" s="10"/>
      <c r="AA31" s="10"/>
      <c r="AB31" s="275"/>
      <c r="AC31" s="10"/>
      <c r="AD31" s="10"/>
      <c r="AE31" s="10"/>
      <c r="AF31" s="10"/>
      <c r="AG31" s="275">
        <v>21</v>
      </c>
      <c r="AH31" s="10">
        <v>30</v>
      </c>
      <c r="AI31" s="10">
        <v>30</v>
      </c>
      <c r="AJ31" s="10">
        <f>30-5-8</f>
        <v>17</v>
      </c>
      <c r="AK31" s="10">
        <v>0</v>
      </c>
      <c r="AL31" s="275"/>
      <c r="AM31" s="10"/>
      <c r="AN31" s="10"/>
      <c r="AO31" s="10"/>
      <c r="AP31" s="10"/>
      <c r="AQ31" s="275"/>
      <c r="AR31" s="10"/>
      <c r="AS31" s="10"/>
      <c r="AT31" s="10"/>
      <c r="AU31" s="10"/>
      <c r="AV31" s="275">
        <f t="shared" si="112"/>
        <v>203</v>
      </c>
      <c r="AW31" s="10">
        <f t="shared" si="113"/>
        <v>210</v>
      </c>
      <c r="AX31" s="10">
        <f t="shared" si="114"/>
        <v>210</v>
      </c>
      <c r="AY31" s="10">
        <f t="shared" si="115"/>
        <v>205</v>
      </c>
      <c r="AZ31" s="10">
        <f t="shared" si="116"/>
        <v>62</v>
      </c>
      <c r="BA31" s="182"/>
    </row>
    <row r="32" spans="1:53" ht="13.5" customHeight="1" x14ac:dyDescent="0.2">
      <c r="A32" s="60"/>
      <c r="B32" s="8" t="s">
        <v>282</v>
      </c>
      <c r="C32" s="275"/>
      <c r="D32" s="10"/>
      <c r="E32" s="10"/>
      <c r="F32" s="10"/>
      <c r="G32" s="10"/>
      <c r="H32" s="275">
        <v>746</v>
      </c>
      <c r="I32" s="10">
        <v>900</v>
      </c>
      <c r="J32" s="10">
        <f>900-100</f>
        <v>800</v>
      </c>
      <c r="K32" s="10">
        <f>900-100</f>
        <v>800</v>
      </c>
      <c r="L32" s="10">
        <v>498</v>
      </c>
      <c r="M32" s="275">
        <v>576</v>
      </c>
      <c r="N32" s="10">
        <v>700</v>
      </c>
      <c r="O32" s="10">
        <f>700+100</f>
        <v>800</v>
      </c>
      <c r="P32" s="10">
        <f>700+100</f>
        <v>800</v>
      </c>
      <c r="Q32" s="10">
        <v>709</v>
      </c>
      <c r="R32" s="275">
        <v>40</v>
      </c>
      <c r="S32" s="10">
        <v>70</v>
      </c>
      <c r="T32" s="10">
        <f>70+80</f>
        <v>150</v>
      </c>
      <c r="U32" s="10">
        <f>70+80</f>
        <v>150</v>
      </c>
      <c r="V32" s="10">
        <v>132</v>
      </c>
      <c r="W32" s="275"/>
      <c r="X32" s="10"/>
      <c r="Y32" s="10"/>
      <c r="Z32" s="10"/>
      <c r="AA32" s="10"/>
      <c r="AB32" s="275"/>
      <c r="AC32" s="10"/>
      <c r="AD32" s="10"/>
      <c r="AE32" s="10"/>
      <c r="AF32" s="10"/>
      <c r="AG32" s="275"/>
      <c r="AH32" s="10"/>
      <c r="AI32" s="10"/>
      <c r="AJ32" s="10"/>
      <c r="AK32" s="10"/>
      <c r="AL32" s="275"/>
      <c r="AM32" s="10"/>
      <c r="AN32" s="10"/>
      <c r="AO32" s="10"/>
      <c r="AP32" s="10"/>
      <c r="AQ32" s="275"/>
      <c r="AR32" s="10"/>
      <c r="AS32" s="10"/>
      <c r="AT32" s="10"/>
      <c r="AU32" s="10"/>
      <c r="AV32" s="275">
        <f t="shared" si="112"/>
        <v>1362</v>
      </c>
      <c r="AW32" s="10">
        <f t="shared" si="113"/>
        <v>1670</v>
      </c>
      <c r="AX32" s="10">
        <f t="shared" si="114"/>
        <v>1750</v>
      </c>
      <c r="AY32" s="10">
        <f t="shared" si="115"/>
        <v>1750</v>
      </c>
      <c r="AZ32" s="10">
        <f t="shared" si="116"/>
        <v>1339</v>
      </c>
      <c r="BA32" s="182"/>
    </row>
    <row r="33" spans="1:55" ht="13.5" customHeight="1" x14ac:dyDescent="0.2">
      <c r="A33" s="60"/>
      <c r="B33" s="8" t="s">
        <v>283</v>
      </c>
      <c r="C33" s="275">
        <v>158</v>
      </c>
      <c r="D33" s="10">
        <v>200</v>
      </c>
      <c r="E33" s="10">
        <v>200</v>
      </c>
      <c r="F33" s="10">
        <v>200</v>
      </c>
      <c r="G33" s="10">
        <v>105</v>
      </c>
      <c r="H33" s="275">
        <v>107</v>
      </c>
      <c r="I33" s="10">
        <v>170</v>
      </c>
      <c r="J33" s="10">
        <v>170</v>
      </c>
      <c r="K33" s="10">
        <v>170</v>
      </c>
      <c r="L33" s="10">
        <v>82</v>
      </c>
      <c r="M33" s="275"/>
      <c r="N33" s="10"/>
      <c r="O33" s="10"/>
      <c r="P33" s="10"/>
      <c r="Q33" s="10"/>
      <c r="R33" s="275"/>
      <c r="S33" s="10"/>
      <c r="T33" s="10"/>
      <c r="U33" s="10"/>
      <c r="V33" s="10"/>
      <c r="W33" s="275"/>
      <c r="X33" s="10"/>
      <c r="Y33" s="10"/>
      <c r="Z33" s="10"/>
      <c r="AA33" s="10"/>
      <c r="AB33" s="275"/>
      <c r="AC33" s="10"/>
      <c r="AD33" s="10"/>
      <c r="AE33" s="10"/>
      <c r="AF33" s="10"/>
      <c r="AG33" s="275">
        <v>0</v>
      </c>
      <c r="AH33" s="10">
        <v>50</v>
      </c>
      <c r="AI33" s="10">
        <v>50</v>
      </c>
      <c r="AJ33" s="10">
        <f>50-40</f>
        <v>10</v>
      </c>
      <c r="AK33" s="10">
        <v>0</v>
      </c>
      <c r="AL33" s="275"/>
      <c r="AM33" s="10"/>
      <c r="AN33" s="10"/>
      <c r="AO33" s="10"/>
      <c r="AP33" s="10"/>
      <c r="AQ33" s="275"/>
      <c r="AR33" s="10"/>
      <c r="AS33" s="10"/>
      <c r="AT33" s="10"/>
      <c r="AU33" s="10"/>
      <c r="AV33" s="275">
        <f t="shared" si="112"/>
        <v>265</v>
      </c>
      <c r="AW33" s="10">
        <f t="shared" si="113"/>
        <v>420</v>
      </c>
      <c r="AX33" s="10">
        <f t="shared" si="114"/>
        <v>420</v>
      </c>
      <c r="AY33" s="10">
        <f t="shared" si="115"/>
        <v>380</v>
      </c>
      <c r="AZ33" s="10">
        <f t="shared" si="116"/>
        <v>187</v>
      </c>
      <c r="BA33" s="182"/>
    </row>
    <row r="34" spans="1:55" ht="13.5" customHeight="1" x14ac:dyDescent="0.2">
      <c r="A34" s="60"/>
      <c r="B34" s="8" t="s">
        <v>309</v>
      </c>
      <c r="C34" s="275">
        <v>168</v>
      </c>
      <c r="D34" s="10">
        <v>200</v>
      </c>
      <c r="E34" s="10">
        <f>200-20</f>
        <v>180</v>
      </c>
      <c r="F34" s="10">
        <f>200-20</f>
        <v>180</v>
      </c>
      <c r="G34" s="10">
        <v>145</v>
      </c>
      <c r="H34" s="275">
        <v>1336</v>
      </c>
      <c r="I34" s="10">
        <v>900</v>
      </c>
      <c r="J34" s="10">
        <f>900-80</f>
        <v>820</v>
      </c>
      <c r="K34" s="10">
        <f>900-80</f>
        <v>820</v>
      </c>
      <c r="L34" s="10">
        <v>746</v>
      </c>
      <c r="M34" s="275">
        <v>169</v>
      </c>
      <c r="N34" s="10">
        <v>150</v>
      </c>
      <c r="O34" s="10">
        <v>150</v>
      </c>
      <c r="P34" s="10">
        <v>150</v>
      </c>
      <c r="Q34" s="10">
        <v>18</v>
      </c>
      <c r="R34" s="275">
        <v>0</v>
      </c>
      <c r="S34" s="10">
        <v>0</v>
      </c>
      <c r="T34" s="10">
        <v>0</v>
      </c>
      <c r="U34" s="10">
        <v>40</v>
      </c>
      <c r="V34" s="10">
        <v>40</v>
      </c>
      <c r="W34" s="275"/>
      <c r="X34" s="10"/>
      <c r="Y34" s="10"/>
      <c r="Z34" s="10"/>
      <c r="AA34" s="10"/>
      <c r="AB34" s="275"/>
      <c r="AC34" s="10"/>
      <c r="AD34" s="10"/>
      <c r="AE34" s="10"/>
      <c r="AF34" s="10"/>
      <c r="AG34" s="275">
        <v>212</v>
      </c>
      <c r="AH34" s="10">
        <v>220</v>
      </c>
      <c r="AI34" s="10">
        <v>220</v>
      </c>
      <c r="AJ34" s="10">
        <v>220</v>
      </c>
      <c r="AK34" s="10">
        <v>119</v>
      </c>
      <c r="AL34" s="275">
        <v>0</v>
      </c>
      <c r="AM34" s="10">
        <v>0</v>
      </c>
      <c r="AN34" s="10">
        <v>20</v>
      </c>
      <c r="AO34" s="10">
        <f>20+5</f>
        <v>25</v>
      </c>
      <c r="AP34" s="10">
        <v>25</v>
      </c>
      <c r="AQ34" s="275"/>
      <c r="AR34" s="10"/>
      <c r="AS34" s="10"/>
      <c r="AT34" s="10"/>
      <c r="AU34" s="10"/>
      <c r="AV34" s="275">
        <f t="shared" si="112"/>
        <v>1885</v>
      </c>
      <c r="AW34" s="10">
        <f t="shared" si="113"/>
        <v>1470</v>
      </c>
      <c r="AX34" s="10">
        <f t="shared" si="114"/>
        <v>1390</v>
      </c>
      <c r="AY34" s="10">
        <f t="shared" si="115"/>
        <v>1435</v>
      </c>
      <c r="AZ34" s="10">
        <f t="shared" si="116"/>
        <v>1093</v>
      </c>
      <c r="BA34" s="182"/>
    </row>
    <row r="35" spans="1:55" ht="13.5" customHeight="1" x14ac:dyDescent="0.2">
      <c r="A35" s="60"/>
      <c r="B35" s="8" t="s">
        <v>289</v>
      </c>
      <c r="C35" s="275"/>
      <c r="D35" s="10"/>
      <c r="E35" s="10"/>
      <c r="F35" s="10"/>
      <c r="G35" s="10"/>
      <c r="H35" s="275">
        <v>171</v>
      </c>
      <c r="I35" s="10">
        <v>100</v>
      </c>
      <c r="J35" s="10">
        <v>100</v>
      </c>
      <c r="K35" s="10">
        <v>100</v>
      </c>
      <c r="L35" s="10">
        <v>50</v>
      </c>
      <c r="M35" s="275">
        <v>24</v>
      </c>
      <c r="N35" s="10">
        <v>80</v>
      </c>
      <c r="O35" s="10">
        <v>80</v>
      </c>
      <c r="P35" s="10">
        <f>80-51</f>
        <v>29</v>
      </c>
      <c r="Q35" s="10">
        <v>20</v>
      </c>
      <c r="R35" s="275"/>
      <c r="S35" s="10"/>
      <c r="T35" s="10"/>
      <c r="U35" s="10"/>
      <c r="V35" s="10"/>
      <c r="W35" s="275"/>
      <c r="X35" s="10"/>
      <c r="Y35" s="10"/>
      <c r="Z35" s="10"/>
      <c r="AA35" s="10"/>
      <c r="AB35" s="275"/>
      <c r="AC35" s="10"/>
      <c r="AD35" s="10"/>
      <c r="AE35" s="10"/>
      <c r="AF35" s="10"/>
      <c r="AG35" s="275"/>
      <c r="AH35" s="10"/>
      <c r="AI35" s="10"/>
      <c r="AJ35" s="10"/>
      <c r="AK35" s="10"/>
      <c r="AL35" s="275"/>
      <c r="AM35" s="10"/>
      <c r="AN35" s="10"/>
      <c r="AO35" s="10"/>
      <c r="AP35" s="10"/>
      <c r="AQ35" s="275">
        <v>0</v>
      </c>
      <c r="AR35" s="10">
        <v>0</v>
      </c>
      <c r="AS35" s="10">
        <v>0</v>
      </c>
      <c r="AT35" s="10">
        <v>51</v>
      </c>
      <c r="AU35" s="10">
        <v>51</v>
      </c>
      <c r="AV35" s="275">
        <f t="shared" si="112"/>
        <v>195</v>
      </c>
      <c r="AW35" s="10">
        <f t="shared" si="113"/>
        <v>180</v>
      </c>
      <c r="AX35" s="10">
        <f t="shared" si="114"/>
        <v>180</v>
      </c>
      <c r="AY35" s="10">
        <f t="shared" si="115"/>
        <v>180</v>
      </c>
      <c r="AZ35" s="10">
        <f t="shared" si="116"/>
        <v>121</v>
      </c>
      <c r="BA35" s="182"/>
    </row>
    <row r="36" spans="1:55" ht="13.5" hidden="1" customHeight="1" x14ac:dyDescent="0.2">
      <c r="A36" s="60"/>
      <c r="B36" s="8" t="s">
        <v>498</v>
      </c>
      <c r="C36" s="275"/>
      <c r="D36" s="10"/>
      <c r="E36" s="10"/>
      <c r="F36" s="10"/>
      <c r="G36" s="10"/>
      <c r="H36" s="275"/>
      <c r="I36" s="10"/>
      <c r="J36" s="10"/>
      <c r="K36" s="10"/>
      <c r="L36" s="10"/>
      <c r="M36" s="275"/>
      <c r="N36" s="10"/>
      <c r="O36" s="10"/>
      <c r="P36" s="10"/>
      <c r="Q36" s="10"/>
      <c r="R36" s="275"/>
      <c r="S36" s="10"/>
      <c r="T36" s="10"/>
      <c r="U36" s="10"/>
      <c r="V36" s="10"/>
      <c r="W36" s="275"/>
      <c r="X36" s="10"/>
      <c r="Y36" s="10"/>
      <c r="Z36" s="10"/>
      <c r="AA36" s="10"/>
      <c r="AB36" s="275"/>
      <c r="AC36" s="10"/>
      <c r="AD36" s="10"/>
      <c r="AE36" s="10"/>
      <c r="AF36" s="10"/>
      <c r="AG36" s="275"/>
      <c r="AH36" s="10"/>
      <c r="AI36" s="10"/>
      <c r="AJ36" s="10"/>
      <c r="AK36" s="10"/>
      <c r="AL36" s="275"/>
      <c r="AM36" s="10"/>
      <c r="AN36" s="10"/>
      <c r="AO36" s="10"/>
      <c r="AP36" s="10"/>
      <c r="AQ36" s="275"/>
      <c r="AR36" s="10"/>
      <c r="AS36" s="10"/>
      <c r="AT36" s="10"/>
      <c r="AU36" s="10"/>
      <c r="AV36" s="275">
        <f t="shared" ref="AV36:AV72" si="117">C36+H36+M36+R36+W36+AB36+AG36+AL36</f>
        <v>0</v>
      </c>
      <c r="AW36" s="10">
        <f t="shared" ref="AW36:AW72" si="118">D36+I36+N36+S36+X36+AC36+AH36+AM36</f>
        <v>0</v>
      </c>
      <c r="AX36" s="10">
        <f t="shared" ref="AX36:AX72" si="119">E36+J36+O36+T36+Y36+AD36+AI36+AN36</f>
        <v>0</v>
      </c>
      <c r="AY36" s="10">
        <f t="shared" ref="AY36:AY72" si="120">F36+K36+P36+U36+Z36+AE36+AJ36+AO36</f>
        <v>0</v>
      </c>
      <c r="AZ36" s="10">
        <f t="shared" ref="AZ36:AZ72" si="121">G36+L36+Q36+V36+AA36+AF36+AK36+AP36</f>
        <v>0</v>
      </c>
      <c r="BA36" s="182"/>
    </row>
    <row r="37" spans="1:55" ht="13.5" customHeight="1" x14ac:dyDescent="0.2">
      <c r="A37" s="75" t="s">
        <v>241</v>
      </c>
      <c r="B37" s="13" t="s">
        <v>262</v>
      </c>
      <c r="C37" s="421">
        <f t="shared" ref="C37:T37" si="122">SUM(C38:C39)</f>
        <v>560</v>
      </c>
      <c r="D37" s="6">
        <f t="shared" si="122"/>
        <v>600</v>
      </c>
      <c r="E37" s="6">
        <f t="shared" si="122"/>
        <v>548</v>
      </c>
      <c r="F37" s="6">
        <f t="shared" ref="F37:G37" si="123">SUM(F38:F39)</f>
        <v>548</v>
      </c>
      <c r="G37" s="6">
        <f t="shared" si="123"/>
        <v>401</v>
      </c>
      <c r="H37" s="421">
        <f t="shared" si="122"/>
        <v>0</v>
      </c>
      <c r="I37" s="6">
        <f t="shared" si="122"/>
        <v>0</v>
      </c>
      <c r="J37" s="6">
        <f t="shared" si="122"/>
        <v>0</v>
      </c>
      <c r="K37" s="6">
        <f t="shared" ref="K37:L37" si="124">SUM(K38:K39)</f>
        <v>0</v>
      </c>
      <c r="L37" s="6">
        <f t="shared" si="124"/>
        <v>0</v>
      </c>
      <c r="M37" s="421">
        <f t="shared" si="122"/>
        <v>0</v>
      </c>
      <c r="N37" s="6">
        <f t="shared" si="122"/>
        <v>0</v>
      </c>
      <c r="O37" s="6">
        <f t="shared" si="122"/>
        <v>0</v>
      </c>
      <c r="P37" s="6">
        <f t="shared" ref="P37:Q37" si="125">SUM(P38:P39)</f>
        <v>0</v>
      </c>
      <c r="Q37" s="6">
        <f t="shared" si="125"/>
        <v>0</v>
      </c>
      <c r="R37" s="421">
        <f t="shared" si="122"/>
        <v>0</v>
      </c>
      <c r="S37" s="6">
        <f t="shared" si="122"/>
        <v>0</v>
      </c>
      <c r="T37" s="6">
        <f t="shared" si="122"/>
        <v>0</v>
      </c>
      <c r="U37" s="6">
        <f t="shared" ref="U37:V37" si="126">SUM(U38:U39)</f>
        <v>0</v>
      </c>
      <c r="V37" s="6">
        <f t="shared" si="126"/>
        <v>0</v>
      </c>
      <c r="W37" s="421">
        <f t="shared" ref="W37:AL37" si="127">SUM(W38:W39)</f>
        <v>0</v>
      </c>
      <c r="X37" s="6">
        <f t="shared" ref="X37:Y37" si="128">SUM(X38:X39)</f>
        <v>0</v>
      </c>
      <c r="Y37" s="6">
        <f t="shared" si="128"/>
        <v>0</v>
      </c>
      <c r="Z37" s="6">
        <f t="shared" ref="Z37:AA37" si="129">SUM(Z38:Z39)</f>
        <v>0</v>
      </c>
      <c r="AA37" s="6">
        <f t="shared" si="129"/>
        <v>0</v>
      </c>
      <c r="AB37" s="421">
        <f t="shared" si="127"/>
        <v>0</v>
      </c>
      <c r="AC37" s="6">
        <f t="shared" ref="AC37:AD37" si="130">SUM(AC38:AC39)</f>
        <v>0</v>
      </c>
      <c r="AD37" s="6">
        <f t="shared" si="130"/>
        <v>0</v>
      </c>
      <c r="AE37" s="6">
        <f t="shared" ref="AE37:AF37" si="131">SUM(AE38:AE39)</f>
        <v>0</v>
      </c>
      <c r="AF37" s="6">
        <f t="shared" si="131"/>
        <v>0</v>
      </c>
      <c r="AG37" s="421">
        <f t="shared" si="127"/>
        <v>0</v>
      </c>
      <c r="AH37" s="6">
        <f t="shared" ref="AH37:AI37" si="132">SUM(AH38:AH39)</f>
        <v>0</v>
      </c>
      <c r="AI37" s="6">
        <f t="shared" si="132"/>
        <v>0</v>
      </c>
      <c r="AJ37" s="6">
        <f t="shared" ref="AJ37:AK37" si="133">SUM(AJ38:AJ39)</f>
        <v>0</v>
      </c>
      <c r="AK37" s="6">
        <f t="shared" si="133"/>
        <v>0</v>
      </c>
      <c r="AL37" s="421">
        <f t="shared" si="127"/>
        <v>236</v>
      </c>
      <c r="AM37" s="6">
        <f t="shared" ref="AM37:AN37" si="134">SUM(AM38:AM39)</f>
        <v>280</v>
      </c>
      <c r="AN37" s="6">
        <f t="shared" si="134"/>
        <v>280</v>
      </c>
      <c r="AO37" s="6">
        <f t="shared" ref="AO37:AS37" si="135">SUM(AO38:AO39)</f>
        <v>280</v>
      </c>
      <c r="AP37" s="6">
        <f t="shared" si="135"/>
        <v>179</v>
      </c>
      <c r="AQ37" s="421">
        <f t="shared" si="135"/>
        <v>0</v>
      </c>
      <c r="AR37" s="6">
        <f t="shared" si="135"/>
        <v>0</v>
      </c>
      <c r="AS37" s="6">
        <f t="shared" si="135"/>
        <v>0</v>
      </c>
      <c r="AT37" s="6">
        <f t="shared" ref="AT37:AU37" si="136">SUM(AT38:AT39)</f>
        <v>0</v>
      </c>
      <c r="AU37" s="6">
        <f t="shared" si="136"/>
        <v>0</v>
      </c>
      <c r="AV37" s="421">
        <f t="shared" ref="AV37:AW41" si="137">C37+H37+M37+R37+W37+AB37+AG37+AL37+AQ37</f>
        <v>796</v>
      </c>
      <c r="AW37" s="6">
        <f t="shared" si="137"/>
        <v>880</v>
      </c>
      <c r="AX37" s="6">
        <f t="shared" ref="AX37:AZ38" si="138">E37+J37+O37+T37+Y37+AD37+AI37+AN37+AS37</f>
        <v>828</v>
      </c>
      <c r="AY37" s="6">
        <f t="shared" si="138"/>
        <v>828</v>
      </c>
      <c r="AZ37" s="6">
        <f t="shared" si="138"/>
        <v>580</v>
      </c>
      <c r="BA37" s="182"/>
    </row>
    <row r="38" spans="1:55" ht="13.5" customHeight="1" x14ac:dyDescent="0.2">
      <c r="A38" s="60" t="s">
        <v>242</v>
      </c>
      <c r="B38" s="8" t="s">
        <v>327</v>
      </c>
      <c r="C38" s="275">
        <v>517</v>
      </c>
      <c r="D38" s="10">
        <v>520</v>
      </c>
      <c r="E38" s="10">
        <f>520-52</f>
        <v>468</v>
      </c>
      <c r="F38" s="10">
        <f>520-52</f>
        <v>468</v>
      </c>
      <c r="G38" s="10">
        <v>363</v>
      </c>
      <c r="H38" s="275"/>
      <c r="I38" s="10"/>
      <c r="J38" s="10"/>
      <c r="K38" s="10"/>
      <c r="L38" s="10"/>
      <c r="M38" s="275"/>
      <c r="N38" s="10"/>
      <c r="O38" s="10"/>
      <c r="P38" s="10"/>
      <c r="Q38" s="10"/>
      <c r="R38" s="275"/>
      <c r="S38" s="10"/>
      <c r="T38" s="10"/>
      <c r="U38" s="10"/>
      <c r="V38" s="10"/>
      <c r="W38" s="275"/>
      <c r="X38" s="10"/>
      <c r="Y38" s="10"/>
      <c r="Z38" s="10"/>
      <c r="AA38" s="10"/>
      <c r="AB38" s="275"/>
      <c r="AC38" s="10"/>
      <c r="AD38" s="10"/>
      <c r="AE38" s="10"/>
      <c r="AF38" s="10"/>
      <c r="AG38" s="275"/>
      <c r="AH38" s="10"/>
      <c r="AI38" s="10"/>
      <c r="AJ38" s="10"/>
      <c r="AK38" s="10"/>
      <c r="AL38" s="275">
        <v>226</v>
      </c>
      <c r="AM38" s="10">
        <v>250</v>
      </c>
      <c r="AN38" s="10">
        <v>250</v>
      </c>
      <c r="AO38" s="10">
        <v>250</v>
      </c>
      <c r="AP38" s="10">
        <v>163</v>
      </c>
      <c r="AQ38" s="275"/>
      <c r="AR38" s="10"/>
      <c r="AS38" s="10"/>
      <c r="AT38" s="10"/>
      <c r="AU38" s="10"/>
      <c r="AV38" s="275">
        <f t="shared" si="137"/>
        <v>743</v>
      </c>
      <c r="AW38" s="10">
        <f t="shared" si="137"/>
        <v>770</v>
      </c>
      <c r="AX38" s="10">
        <f t="shared" si="138"/>
        <v>718</v>
      </c>
      <c r="AY38" s="10">
        <f t="shared" si="138"/>
        <v>718</v>
      </c>
      <c r="AZ38" s="10">
        <f t="shared" si="138"/>
        <v>526</v>
      </c>
      <c r="BA38" s="182"/>
    </row>
    <row r="39" spans="1:55" ht="13.5" customHeight="1" x14ac:dyDescent="0.2">
      <c r="A39" s="60" t="s">
        <v>243</v>
      </c>
      <c r="B39" s="8" t="s">
        <v>284</v>
      </c>
      <c r="C39" s="275">
        <v>43</v>
      </c>
      <c r="D39" s="10">
        <v>80</v>
      </c>
      <c r="E39" s="10">
        <v>80</v>
      </c>
      <c r="F39" s="10">
        <v>80</v>
      </c>
      <c r="G39" s="10">
        <v>38</v>
      </c>
      <c r="H39" s="275"/>
      <c r="I39" s="275"/>
      <c r="J39" s="275"/>
      <c r="K39" s="275"/>
      <c r="L39" s="275"/>
      <c r="M39" s="275"/>
      <c r="N39" s="10"/>
      <c r="O39" s="10"/>
      <c r="P39" s="10"/>
      <c r="Q39" s="10"/>
      <c r="R39" s="275"/>
      <c r="S39" s="275"/>
      <c r="T39" s="275"/>
      <c r="U39" s="275"/>
      <c r="V39" s="275"/>
      <c r="W39" s="275"/>
      <c r="X39" s="10"/>
      <c r="Y39" s="10"/>
      <c r="Z39" s="10"/>
      <c r="AA39" s="10"/>
      <c r="AB39" s="275"/>
      <c r="AC39" s="10"/>
      <c r="AD39" s="10"/>
      <c r="AE39" s="10"/>
      <c r="AF39" s="10"/>
      <c r="AG39" s="275"/>
      <c r="AH39" s="10"/>
      <c r="AI39" s="10"/>
      <c r="AJ39" s="10"/>
      <c r="AK39" s="10"/>
      <c r="AL39" s="275">
        <v>10</v>
      </c>
      <c r="AM39" s="10">
        <v>30</v>
      </c>
      <c r="AN39" s="10">
        <v>30</v>
      </c>
      <c r="AO39" s="10">
        <v>30</v>
      </c>
      <c r="AP39" s="10">
        <v>16</v>
      </c>
      <c r="AQ39" s="275"/>
      <c r="AR39" s="10"/>
      <c r="AS39" s="10"/>
      <c r="AT39" s="10"/>
      <c r="AU39" s="10"/>
      <c r="AV39" s="275">
        <f t="shared" si="137"/>
        <v>53</v>
      </c>
      <c r="AW39" s="10">
        <f t="shared" si="137"/>
        <v>110</v>
      </c>
      <c r="AX39" s="10">
        <f t="shared" ref="AX39:AX41" si="139">E39+J39+O39+T39+Y39+AD39+AI39+AN39+AS39</f>
        <v>110</v>
      </c>
      <c r="AY39" s="10">
        <f t="shared" ref="AY39:AY41" si="140">F39+K39+P39+U39+Z39+AE39+AJ39+AO39+AT39</f>
        <v>110</v>
      </c>
      <c r="AZ39" s="10">
        <f t="shared" ref="AZ39:AZ41" si="141">G39+L39+Q39+V39+AA39+AF39+AK39+AP39+AU39</f>
        <v>54</v>
      </c>
      <c r="BA39" s="182"/>
    </row>
    <row r="40" spans="1:55" ht="13.5" customHeight="1" x14ac:dyDescent="0.2">
      <c r="A40" s="75" t="s">
        <v>244</v>
      </c>
      <c r="B40" s="13" t="s">
        <v>263</v>
      </c>
      <c r="C40" s="421">
        <f t="shared" ref="C40:AL40" si="142">SUM(C41:C61)</f>
        <v>3198</v>
      </c>
      <c r="D40" s="6">
        <f t="shared" ref="D40:E40" si="143">SUM(D41:D61)</f>
        <v>5490</v>
      </c>
      <c r="E40" s="6">
        <f t="shared" si="143"/>
        <v>6448</v>
      </c>
      <c r="F40" s="6">
        <f t="shared" ref="F40:G40" si="144">SUM(F41:F61)</f>
        <v>6498</v>
      </c>
      <c r="G40" s="6">
        <f t="shared" si="144"/>
        <v>5599</v>
      </c>
      <c r="H40" s="421">
        <f t="shared" si="142"/>
        <v>6391</v>
      </c>
      <c r="I40" s="6">
        <f t="shared" ref="I40:J40" si="145">SUM(I41:I61)</f>
        <v>5894</v>
      </c>
      <c r="J40" s="6">
        <f t="shared" si="145"/>
        <v>6801</v>
      </c>
      <c r="K40" s="6">
        <f t="shared" ref="K40:L40" si="146">SUM(K41:K61)</f>
        <v>7969</v>
      </c>
      <c r="L40" s="6">
        <f t="shared" si="146"/>
        <v>5613</v>
      </c>
      <c r="M40" s="421">
        <f t="shared" si="142"/>
        <v>540</v>
      </c>
      <c r="N40" s="6">
        <f t="shared" ref="N40:O40" si="147">SUM(N41:N61)</f>
        <v>747</v>
      </c>
      <c r="O40" s="6">
        <f t="shared" si="147"/>
        <v>697</v>
      </c>
      <c r="P40" s="6">
        <f t="shared" ref="P40:Q40" si="148">SUM(P41:P61)</f>
        <v>897</v>
      </c>
      <c r="Q40" s="6">
        <f t="shared" si="148"/>
        <v>822</v>
      </c>
      <c r="R40" s="421">
        <f t="shared" si="142"/>
        <v>424</v>
      </c>
      <c r="S40" s="6">
        <f t="shared" ref="S40:T40" si="149">SUM(S41:S61)</f>
        <v>270</v>
      </c>
      <c r="T40" s="6">
        <f t="shared" si="149"/>
        <v>790</v>
      </c>
      <c r="U40" s="6">
        <f t="shared" ref="U40:V40" si="150">SUM(U41:U61)</f>
        <v>1140</v>
      </c>
      <c r="V40" s="6">
        <f t="shared" si="150"/>
        <v>821</v>
      </c>
      <c r="W40" s="421">
        <f t="shared" si="142"/>
        <v>2038</v>
      </c>
      <c r="X40" s="6">
        <f t="shared" ref="X40:Y40" si="151">SUM(X41:X61)</f>
        <v>3715</v>
      </c>
      <c r="Y40" s="6">
        <f t="shared" si="151"/>
        <v>3295</v>
      </c>
      <c r="Z40" s="6">
        <f t="shared" ref="Z40:AA40" si="152">SUM(Z41:Z61)</f>
        <v>3245</v>
      </c>
      <c r="AA40" s="6">
        <f t="shared" si="152"/>
        <v>2326</v>
      </c>
      <c r="AB40" s="421">
        <f t="shared" si="142"/>
        <v>4575</v>
      </c>
      <c r="AC40" s="6">
        <f t="shared" ref="AC40:AD40" si="153">SUM(AC41:AC61)</f>
        <v>4800</v>
      </c>
      <c r="AD40" s="6">
        <f t="shared" si="153"/>
        <v>3845</v>
      </c>
      <c r="AE40" s="6">
        <f t="shared" ref="AE40:AF40" si="154">SUM(AE41:AE61)</f>
        <v>3845</v>
      </c>
      <c r="AF40" s="6">
        <f t="shared" si="154"/>
        <v>3531</v>
      </c>
      <c r="AG40" s="421">
        <f t="shared" si="142"/>
        <v>2168</v>
      </c>
      <c r="AH40" s="6">
        <f t="shared" ref="AH40:AI40" si="155">SUM(AH41:AH61)</f>
        <v>1210</v>
      </c>
      <c r="AI40" s="6">
        <f t="shared" si="155"/>
        <v>1500</v>
      </c>
      <c r="AJ40" s="6">
        <f t="shared" ref="AJ40:AK40" si="156">SUM(AJ41:AJ61)</f>
        <v>1685</v>
      </c>
      <c r="AK40" s="6">
        <f t="shared" si="156"/>
        <v>1662</v>
      </c>
      <c r="AL40" s="421">
        <f t="shared" si="142"/>
        <v>1591</v>
      </c>
      <c r="AM40" s="6">
        <f t="shared" ref="AM40:AN40" si="157">SUM(AM41:AM61)</f>
        <v>2012</v>
      </c>
      <c r="AN40" s="6">
        <f t="shared" si="157"/>
        <v>2162</v>
      </c>
      <c r="AO40" s="6">
        <f t="shared" ref="AO40:AS40" si="158">SUM(AO41:AO61)</f>
        <v>2194</v>
      </c>
      <c r="AP40" s="6">
        <f t="shared" si="158"/>
        <v>1922</v>
      </c>
      <c r="AQ40" s="421">
        <f t="shared" si="158"/>
        <v>0</v>
      </c>
      <c r="AR40" s="6">
        <f t="shared" si="158"/>
        <v>0</v>
      </c>
      <c r="AS40" s="6">
        <f t="shared" si="158"/>
        <v>0</v>
      </c>
      <c r="AT40" s="6">
        <f t="shared" ref="AT40:AU40" si="159">SUM(AT41:AT61)</f>
        <v>0</v>
      </c>
      <c r="AU40" s="6">
        <f t="shared" si="159"/>
        <v>0</v>
      </c>
      <c r="AV40" s="421">
        <f t="shared" si="137"/>
        <v>20925</v>
      </c>
      <c r="AW40" s="6">
        <f t="shared" si="137"/>
        <v>24138</v>
      </c>
      <c r="AX40" s="6">
        <f t="shared" si="139"/>
        <v>25538</v>
      </c>
      <c r="AY40" s="6">
        <f t="shared" si="140"/>
        <v>27473</v>
      </c>
      <c r="AZ40" s="6">
        <f t="shared" si="141"/>
        <v>22296</v>
      </c>
      <c r="BA40" s="182"/>
    </row>
    <row r="41" spans="1:55" ht="13.5" customHeight="1" x14ac:dyDescent="0.2">
      <c r="A41" s="60" t="s">
        <v>245</v>
      </c>
      <c r="B41" s="8" t="s">
        <v>280</v>
      </c>
      <c r="C41" s="275">
        <v>858</v>
      </c>
      <c r="D41" s="10">
        <v>850</v>
      </c>
      <c r="E41" s="10">
        <f>850-200</f>
        <v>650</v>
      </c>
      <c r="F41" s="10">
        <f>850-200</f>
        <v>650</v>
      </c>
      <c r="G41" s="10">
        <v>558</v>
      </c>
      <c r="H41" s="275">
        <v>2673</v>
      </c>
      <c r="I41" s="10">
        <v>2250</v>
      </c>
      <c r="J41" s="10">
        <v>2250</v>
      </c>
      <c r="K41" s="10">
        <v>2250</v>
      </c>
      <c r="L41" s="10">
        <v>289</v>
      </c>
      <c r="M41" s="275"/>
      <c r="N41" s="10"/>
      <c r="O41" s="10"/>
      <c r="P41" s="10"/>
      <c r="Q41" s="10"/>
      <c r="R41" s="275">
        <v>244</v>
      </c>
      <c r="S41" s="10">
        <v>250</v>
      </c>
      <c r="T41" s="10">
        <f>250-100</f>
        <v>150</v>
      </c>
      <c r="U41" s="10">
        <f>250-100</f>
        <v>150</v>
      </c>
      <c r="V41" s="10">
        <v>31</v>
      </c>
      <c r="W41" s="275">
        <v>1521</v>
      </c>
      <c r="X41" s="10">
        <v>3000</v>
      </c>
      <c r="Y41" s="10">
        <f>3000-400</f>
        <v>2600</v>
      </c>
      <c r="Z41" s="10">
        <f>3000-400</f>
        <v>2600</v>
      </c>
      <c r="AA41" s="10">
        <v>1756</v>
      </c>
      <c r="AB41" s="275"/>
      <c r="AC41" s="10"/>
      <c r="AD41" s="10"/>
      <c r="AE41" s="10"/>
      <c r="AF41" s="10"/>
      <c r="AG41" s="275">
        <f>22+60</f>
        <v>82</v>
      </c>
      <c r="AH41" s="10">
        <f>50+100</f>
        <v>150</v>
      </c>
      <c r="AI41" s="10">
        <f>50+100</f>
        <v>150</v>
      </c>
      <c r="AJ41" s="10">
        <f>50+100</f>
        <v>150</v>
      </c>
      <c r="AK41" s="10">
        <v>134</v>
      </c>
      <c r="AL41" s="275">
        <v>1127</v>
      </c>
      <c r="AM41" s="10">
        <v>1300</v>
      </c>
      <c r="AN41" s="10">
        <f>1300+200</f>
        <v>1500</v>
      </c>
      <c r="AO41" s="10">
        <f>1300+200</f>
        <v>1500</v>
      </c>
      <c r="AP41" s="10">
        <v>1422</v>
      </c>
      <c r="AQ41" s="275"/>
      <c r="AR41" s="10"/>
      <c r="AS41" s="10"/>
      <c r="AT41" s="10"/>
      <c r="AU41" s="10"/>
      <c r="AV41" s="275">
        <f t="shared" si="137"/>
        <v>6505</v>
      </c>
      <c r="AW41" s="10">
        <f t="shared" si="137"/>
        <v>7800</v>
      </c>
      <c r="AX41" s="10">
        <f t="shared" si="139"/>
        <v>7300</v>
      </c>
      <c r="AY41" s="10">
        <f t="shared" si="140"/>
        <v>7300</v>
      </c>
      <c r="AZ41" s="10">
        <f t="shared" si="141"/>
        <v>4190</v>
      </c>
      <c r="BA41" s="182"/>
    </row>
    <row r="42" spans="1:55" ht="13.5" customHeight="1" x14ac:dyDescent="0.2">
      <c r="A42" s="60" t="s">
        <v>287</v>
      </c>
      <c r="B42" s="8" t="s">
        <v>288</v>
      </c>
      <c r="C42" s="275"/>
      <c r="D42" s="10"/>
      <c r="E42" s="10"/>
      <c r="F42" s="10"/>
      <c r="G42" s="10"/>
      <c r="H42" s="275"/>
      <c r="I42" s="10"/>
      <c r="J42" s="10"/>
      <c r="K42" s="10"/>
      <c r="L42" s="10"/>
      <c r="M42" s="275"/>
      <c r="N42" s="10"/>
      <c r="O42" s="10"/>
      <c r="P42" s="10"/>
      <c r="Q42" s="10"/>
      <c r="R42" s="275"/>
      <c r="S42" s="10"/>
      <c r="T42" s="10"/>
      <c r="U42" s="10"/>
      <c r="V42" s="10"/>
      <c r="W42" s="275"/>
      <c r="X42" s="10"/>
      <c r="Y42" s="10"/>
      <c r="Z42" s="10"/>
      <c r="AA42" s="10"/>
      <c r="AB42" s="275">
        <v>4575</v>
      </c>
      <c r="AC42" s="10">
        <v>4800</v>
      </c>
      <c r="AD42" s="10">
        <f>4800-600-355</f>
        <v>3845</v>
      </c>
      <c r="AE42" s="10">
        <f>4800-600-355</f>
        <v>3845</v>
      </c>
      <c r="AF42" s="10">
        <v>3531</v>
      </c>
      <c r="AG42" s="275"/>
      <c r="AH42" s="10"/>
      <c r="AI42" s="10"/>
      <c r="AJ42" s="10"/>
      <c r="AK42" s="10"/>
      <c r="AL42" s="275"/>
      <c r="AM42" s="10"/>
      <c r="AN42" s="10"/>
      <c r="AO42" s="10"/>
      <c r="AP42" s="10"/>
      <c r="AQ42" s="275"/>
      <c r="AR42" s="10"/>
      <c r="AS42" s="10"/>
      <c r="AT42" s="10"/>
      <c r="AU42" s="10"/>
      <c r="AV42" s="275">
        <f t="shared" ref="AV42:AV60" si="160">C42+H42+M42+R42+W42+AB42+AG42+AL42+AQ42</f>
        <v>4575</v>
      </c>
      <c r="AW42" s="10">
        <f t="shared" ref="AW42:AW60" si="161">D42+I42+N42+S42+X42+AC42+AH42+AM42+AR42</f>
        <v>4800</v>
      </c>
      <c r="AX42" s="10">
        <f t="shared" ref="AX42:AX60" si="162">E42+J42+O42+T42+Y42+AD42+AI42+AN42+AS42</f>
        <v>3845</v>
      </c>
      <c r="AY42" s="10">
        <f t="shared" ref="AY42:AY60" si="163">F42+K42+P42+U42+Z42+AE42+AJ42+AO42+AT42</f>
        <v>3845</v>
      </c>
      <c r="AZ42" s="10">
        <f t="shared" ref="AZ42:AZ60" si="164">G42+L42+Q42+V42+AA42+AF42+AK42+AP42+AU42</f>
        <v>3531</v>
      </c>
      <c r="BC42" s="7"/>
    </row>
    <row r="43" spans="1:55" ht="13.5" customHeight="1" x14ac:dyDescent="0.2">
      <c r="A43" s="60" t="s">
        <v>246</v>
      </c>
      <c r="B43" s="8" t="s">
        <v>279</v>
      </c>
      <c r="C43" s="275"/>
      <c r="D43" s="10"/>
      <c r="E43" s="10"/>
      <c r="F43" s="10"/>
      <c r="G43" s="10"/>
      <c r="H43" s="275">
        <v>30</v>
      </c>
      <c r="I43" s="10">
        <v>100</v>
      </c>
      <c r="J43" s="10">
        <f>100-60</f>
        <v>40</v>
      </c>
      <c r="K43" s="10">
        <f>100-60</f>
        <v>40</v>
      </c>
      <c r="L43" s="10">
        <v>5</v>
      </c>
      <c r="M43" s="275"/>
      <c r="N43" s="10"/>
      <c r="O43" s="10"/>
      <c r="P43" s="10"/>
      <c r="Q43" s="10"/>
      <c r="R43" s="275"/>
      <c r="S43" s="10"/>
      <c r="T43" s="10"/>
      <c r="U43" s="10"/>
      <c r="V43" s="10"/>
      <c r="W43" s="275">
        <v>46</v>
      </c>
      <c r="X43" s="10">
        <v>100</v>
      </c>
      <c r="Y43" s="10">
        <f>100-20</f>
        <v>80</v>
      </c>
      <c r="Z43" s="10">
        <f>100-20</f>
        <v>80</v>
      </c>
      <c r="AA43" s="10">
        <v>59</v>
      </c>
      <c r="AB43" s="275"/>
      <c r="AC43" s="10"/>
      <c r="AD43" s="10"/>
      <c r="AE43" s="10"/>
      <c r="AF43" s="10"/>
      <c r="AG43" s="275"/>
      <c r="AH43" s="10">
        <v>0</v>
      </c>
      <c r="AI43" s="10">
        <v>80</v>
      </c>
      <c r="AJ43" s="10">
        <v>80</v>
      </c>
      <c r="AK43" s="10">
        <v>80</v>
      </c>
      <c r="AL43" s="275"/>
      <c r="AM43" s="10"/>
      <c r="AN43" s="10"/>
      <c r="AO43" s="10"/>
      <c r="AP43" s="10"/>
      <c r="AQ43" s="275"/>
      <c r="AR43" s="10"/>
      <c r="AS43" s="10"/>
      <c r="AT43" s="10"/>
      <c r="AU43" s="10"/>
      <c r="AV43" s="275">
        <f t="shared" si="160"/>
        <v>76</v>
      </c>
      <c r="AW43" s="10">
        <f t="shared" si="161"/>
        <v>200</v>
      </c>
      <c r="AX43" s="10">
        <f t="shared" si="162"/>
        <v>200</v>
      </c>
      <c r="AY43" s="10">
        <f t="shared" si="163"/>
        <v>200</v>
      </c>
      <c r="AZ43" s="10">
        <f t="shared" si="164"/>
        <v>144</v>
      </c>
      <c r="BA43" s="182"/>
    </row>
    <row r="44" spans="1:55" ht="13.5" customHeight="1" x14ac:dyDescent="0.2">
      <c r="A44" s="60" t="s">
        <v>247</v>
      </c>
      <c r="B44" s="8" t="s">
        <v>278</v>
      </c>
      <c r="C44" s="275">
        <v>210</v>
      </c>
      <c r="D44" s="10">
        <v>200</v>
      </c>
      <c r="E44" s="10">
        <f>200-50</f>
        <v>150</v>
      </c>
      <c r="F44" s="10">
        <f>200-50+50</f>
        <v>200</v>
      </c>
      <c r="G44" s="10">
        <v>199</v>
      </c>
      <c r="H44" s="275">
        <v>1876</v>
      </c>
      <c r="I44" s="10">
        <v>300</v>
      </c>
      <c r="J44" s="10">
        <f>300+(486+50)+50+50+190</f>
        <v>1126</v>
      </c>
      <c r="K44" s="10">
        <f>300+(486+50)+50+50+190</f>
        <v>1126</v>
      </c>
      <c r="L44" s="10">
        <v>1073</v>
      </c>
      <c r="M44" s="275">
        <v>145</v>
      </c>
      <c r="N44" s="10">
        <v>400</v>
      </c>
      <c r="O44" s="10">
        <f>400-50</f>
        <v>350</v>
      </c>
      <c r="P44" s="10">
        <f>400-50+200</f>
        <v>550</v>
      </c>
      <c r="Q44" s="10">
        <v>537</v>
      </c>
      <c r="R44" s="275">
        <v>0</v>
      </c>
      <c r="S44" s="10">
        <v>0</v>
      </c>
      <c r="T44" s="10">
        <v>60</v>
      </c>
      <c r="U44" s="10">
        <f>60+350</f>
        <v>410</v>
      </c>
      <c r="V44" s="10">
        <v>390</v>
      </c>
      <c r="W44" s="275">
        <v>5</v>
      </c>
      <c r="X44" s="10">
        <v>50</v>
      </c>
      <c r="Y44" s="10">
        <v>50</v>
      </c>
      <c r="Z44" s="10">
        <f>50-50</f>
        <v>0</v>
      </c>
      <c r="AA44" s="10">
        <v>0</v>
      </c>
      <c r="AB44" s="275"/>
      <c r="AC44" s="10"/>
      <c r="AD44" s="10"/>
      <c r="AE44" s="10"/>
      <c r="AF44" s="10"/>
      <c r="AG44" s="275">
        <v>57</v>
      </c>
      <c r="AH44" s="10">
        <v>60</v>
      </c>
      <c r="AI44" s="10">
        <f>60-60</f>
        <v>0</v>
      </c>
      <c r="AJ44" s="10">
        <v>5</v>
      </c>
      <c r="AK44" s="10">
        <v>2</v>
      </c>
      <c r="AL44" s="275">
        <v>37</v>
      </c>
      <c r="AM44" s="10">
        <v>50</v>
      </c>
      <c r="AN44" s="10">
        <f>50-50</f>
        <v>0</v>
      </c>
      <c r="AO44" s="10">
        <f>50-50</f>
        <v>0</v>
      </c>
      <c r="AP44" s="10">
        <v>0</v>
      </c>
      <c r="AQ44" s="275"/>
      <c r="AR44" s="10"/>
      <c r="AS44" s="10"/>
      <c r="AT44" s="10"/>
      <c r="AU44" s="10"/>
      <c r="AV44" s="275">
        <f t="shared" si="160"/>
        <v>2330</v>
      </c>
      <c r="AW44" s="10">
        <f t="shared" si="161"/>
        <v>1060</v>
      </c>
      <c r="AX44" s="10">
        <f t="shared" si="162"/>
        <v>1736</v>
      </c>
      <c r="AY44" s="10">
        <f t="shared" si="163"/>
        <v>2291</v>
      </c>
      <c r="AZ44" s="10">
        <f t="shared" si="164"/>
        <v>2201</v>
      </c>
      <c r="BA44" s="182"/>
    </row>
    <row r="45" spans="1:55" ht="13.5" customHeight="1" x14ac:dyDescent="0.2">
      <c r="A45" s="60" t="s">
        <v>248</v>
      </c>
      <c r="B45" s="8" t="s">
        <v>277</v>
      </c>
      <c r="C45" s="275">
        <v>0</v>
      </c>
      <c r="D45" s="10">
        <v>627</v>
      </c>
      <c r="E45" s="10">
        <v>627</v>
      </c>
      <c r="F45" s="10">
        <v>627</v>
      </c>
      <c r="G45" s="10">
        <v>626</v>
      </c>
      <c r="H45" s="275">
        <v>50</v>
      </c>
      <c r="I45" s="10">
        <v>1528</v>
      </c>
      <c r="J45" s="10">
        <f>1528+295</f>
        <v>1823</v>
      </c>
      <c r="K45" s="10">
        <f>1528+295+1080+120</f>
        <v>3023</v>
      </c>
      <c r="L45" s="10">
        <v>2916</v>
      </c>
      <c r="M45" s="275"/>
      <c r="N45" s="10"/>
      <c r="O45" s="10"/>
      <c r="P45" s="10"/>
      <c r="Q45" s="10"/>
      <c r="R45" s="275"/>
      <c r="S45" s="10"/>
      <c r="T45" s="10"/>
      <c r="U45" s="10"/>
      <c r="V45" s="10"/>
      <c r="W45" s="275"/>
      <c r="X45" s="10"/>
      <c r="Y45" s="10"/>
      <c r="Z45" s="10"/>
      <c r="AA45" s="10"/>
      <c r="AB45" s="275"/>
      <c r="AC45" s="10"/>
      <c r="AD45" s="10"/>
      <c r="AE45" s="10"/>
      <c r="AF45" s="10"/>
      <c r="AG45" s="275"/>
      <c r="AH45" s="10"/>
      <c r="AI45" s="10"/>
      <c r="AJ45" s="10"/>
      <c r="AK45" s="10"/>
      <c r="AL45" s="275"/>
      <c r="AM45" s="10"/>
      <c r="AN45" s="10"/>
      <c r="AO45" s="10"/>
      <c r="AP45" s="10"/>
      <c r="AQ45" s="275"/>
      <c r="AR45" s="10"/>
      <c r="AS45" s="10"/>
      <c r="AT45" s="10"/>
      <c r="AU45" s="10"/>
      <c r="AV45" s="275">
        <f t="shared" si="160"/>
        <v>50</v>
      </c>
      <c r="AW45" s="10">
        <f t="shared" si="161"/>
        <v>2155</v>
      </c>
      <c r="AX45" s="10">
        <f t="shared" si="162"/>
        <v>2450</v>
      </c>
      <c r="AY45" s="10">
        <f t="shared" si="163"/>
        <v>3650</v>
      </c>
      <c r="AZ45" s="10">
        <f t="shared" si="164"/>
        <v>3542</v>
      </c>
      <c r="BA45" s="182"/>
    </row>
    <row r="46" spans="1:55" ht="13.5" customHeight="1" x14ac:dyDescent="0.2">
      <c r="A46" s="60" t="s">
        <v>249</v>
      </c>
      <c r="B46" s="8" t="s">
        <v>276</v>
      </c>
      <c r="C46" s="275">
        <v>347</v>
      </c>
      <c r="D46" s="10">
        <f>250+(1100+278+240)</f>
        <v>1868</v>
      </c>
      <c r="E46" s="10">
        <f>250+40-66+(1100+278+240-40)</f>
        <v>1802</v>
      </c>
      <c r="F46" s="10">
        <f>250+40-66+(1100+278+240-40)</f>
        <v>1802</v>
      </c>
      <c r="G46" s="10">
        <v>1706</v>
      </c>
      <c r="H46" s="275">
        <v>535</v>
      </c>
      <c r="I46" s="10"/>
      <c r="J46" s="10"/>
      <c r="K46" s="10"/>
      <c r="L46" s="10"/>
      <c r="M46" s="275"/>
      <c r="N46" s="10"/>
      <c r="O46" s="10"/>
      <c r="P46" s="10"/>
      <c r="Q46" s="10"/>
      <c r="R46" s="275"/>
      <c r="S46" s="10"/>
      <c r="T46" s="10"/>
      <c r="U46" s="10"/>
      <c r="V46" s="10"/>
      <c r="W46" s="275"/>
      <c r="X46" s="10"/>
      <c r="Y46" s="10"/>
      <c r="Z46" s="10"/>
      <c r="AA46" s="10"/>
      <c r="AB46" s="275"/>
      <c r="AC46" s="10"/>
      <c r="AD46" s="10"/>
      <c r="AE46" s="10"/>
      <c r="AF46" s="10"/>
      <c r="AG46" s="275"/>
      <c r="AH46" s="10"/>
      <c r="AI46" s="10"/>
      <c r="AJ46" s="10"/>
      <c r="AK46" s="10"/>
      <c r="AL46" s="275"/>
      <c r="AM46" s="10"/>
      <c r="AN46" s="10"/>
      <c r="AO46" s="10"/>
      <c r="AP46" s="10"/>
      <c r="AQ46" s="275"/>
      <c r="AR46" s="10"/>
      <c r="AS46" s="10"/>
      <c r="AT46" s="10"/>
      <c r="AU46" s="10"/>
      <c r="AV46" s="275">
        <f t="shared" si="160"/>
        <v>882</v>
      </c>
      <c r="AW46" s="10">
        <f t="shared" si="161"/>
        <v>1868</v>
      </c>
      <c r="AX46" s="10">
        <f t="shared" si="162"/>
        <v>1802</v>
      </c>
      <c r="AY46" s="10">
        <f t="shared" si="163"/>
        <v>1802</v>
      </c>
      <c r="AZ46" s="10">
        <f t="shared" si="164"/>
        <v>1706</v>
      </c>
      <c r="BA46" s="182"/>
    </row>
    <row r="47" spans="1:55" ht="13.5" customHeight="1" x14ac:dyDescent="0.2">
      <c r="A47" s="60"/>
      <c r="B47" s="8" t="s">
        <v>293</v>
      </c>
      <c r="C47" s="424">
        <v>28</v>
      </c>
      <c r="D47" s="8">
        <v>30</v>
      </c>
      <c r="E47" s="8">
        <f>30-17</f>
        <v>13</v>
      </c>
      <c r="F47" s="8">
        <f>30-17</f>
        <v>13</v>
      </c>
      <c r="G47" s="8">
        <v>13</v>
      </c>
      <c r="H47" s="275">
        <v>38</v>
      </c>
      <c r="I47" s="10">
        <v>40</v>
      </c>
      <c r="J47" s="10">
        <f>40+17</f>
        <v>57</v>
      </c>
      <c r="K47" s="10">
        <f>40+17</f>
        <v>57</v>
      </c>
      <c r="L47" s="10">
        <v>57</v>
      </c>
      <c r="M47" s="275">
        <v>21</v>
      </c>
      <c r="N47" s="10">
        <v>30</v>
      </c>
      <c r="O47" s="10">
        <v>30</v>
      </c>
      <c r="P47" s="10">
        <v>30</v>
      </c>
      <c r="Q47" s="10">
        <v>13</v>
      </c>
      <c r="R47" s="275"/>
      <c r="S47" s="10"/>
      <c r="T47" s="10"/>
      <c r="U47" s="10"/>
      <c r="V47" s="10"/>
      <c r="W47" s="275"/>
      <c r="X47" s="10"/>
      <c r="Y47" s="10"/>
      <c r="Z47" s="10"/>
      <c r="AA47" s="10"/>
      <c r="AB47" s="275"/>
      <c r="AC47" s="10"/>
      <c r="AD47" s="10"/>
      <c r="AE47" s="10"/>
      <c r="AF47" s="10"/>
      <c r="AG47" s="275"/>
      <c r="AH47" s="10"/>
      <c r="AI47" s="10"/>
      <c r="AJ47" s="10"/>
      <c r="AK47" s="10"/>
      <c r="AL47" s="424"/>
      <c r="AM47" s="8"/>
      <c r="AN47" s="8"/>
      <c r="AO47" s="8"/>
      <c r="AP47" s="8"/>
      <c r="AQ47" s="424"/>
      <c r="AR47" s="8"/>
      <c r="AS47" s="8"/>
      <c r="AT47" s="8"/>
      <c r="AU47" s="8"/>
      <c r="AV47" s="275">
        <f t="shared" si="160"/>
        <v>87</v>
      </c>
      <c r="AW47" s="10">
        <f t="shared" si="161"/>
        <v>100</v>
      </c>
      <c r="AX47" s="10">
        <f t="shared" si="162"/>
        <v>100</v>
      </c>
      <c r="AY47" s="10">
        <f t="shared" si="163"/>
        <v>100</v>
      </c>
      <c r="AZ47" s="10">
        <f t="shared" si="164"/>
        <v>83</v>
      </c>
      <c r="BA47" s="182"/>
    </row>
    <row r="48" spans="1:55" ht="13.5" customHeight="1" x14ac:dyDescent="0.2">
      <c r="A48" s="60"/>
      <c r="B48" s="8" t="s">
        <v>578</v>
      </c>
      <c r="C48" s="424"/>
      <c r="D48" s="8"/>
      <c r="E48" s="8"/>
      <c r="F48" s="8"/>
      <c r="G48" s="8"/>
      <c r="H48" s="275"/>
      <c r="I48" s="10"/>
      <c r="J48" s="10"/>
      <c r="K48" s="10"/>
      <c r="L48" s="10"/>
      <c r="M48" s="275"/>
      <c r="N48" s="10"/>
      <c r="O48" s="10"/>
      <c r="P48" s="10"/>
      <c r="Q48" s="10"/>
      <c r="R48" s="275"/>
      <c r="S48" s="10"/>
      <c r="T48" s="10"/>
      <c r="U48" s="10"/>
      <c r="V48" s="10"/>
      <c r="W48" s="275"/>
      <c r="X48" s="10"/>
      <c r="Y48" s="10"/>
      <c r="Z48" s="10"/>
      <c r="AA48" s="10"/>
      <c r="AB48" s="275"/>
      <c r="AC48" s="10"/>
      <c r="AD48" s="10"/>
      <c r="AE48" s="10"/>
      <c r="AF48" s="10"/>
      <c r="AG48" s="275"/>
      <c r="AH48" s="10"/>
      <c r="AI48" s="10"/>
      <c r="AJ48" s="10"/>
      <c r="AK48" s="10"/>
      <c r="AL48" s="424">
        <v>365</v>
      </c>
      <c r="AM48" s="8">
        <f>(85+170)+317</f>
        <v>572</v>
      </c>
      <c r="AN48" s="8">
        <f>(85+170)+317</f>
        <v>572</v>
      </c>
      <c r="AO48" s="8">
        <f>(85+170)+317</f>
        <v>572</v>
      </c>
      <c r="AP48" s="8">
        <v>401</v>
      </c>
      <c r="AQ48" s="424"/>
      <c r="AR48" s="8"/>
      <c r="AS48" s="8"/>
      <c r="AT48" s="8"/>
      <c r="AU48" s="8"/>
      <c r="AV48" s="275">
        <f t="shared" si="160"/>
        <v>365</v>
      </c>
      <c r="AW48" s="10">
        <f t="shared" si="161"/>
        <v>572</v>
      </c>
      <c r="AX48" s="10">
        <f t="shared" si="162"/>
        <v>572</v>
      </c>
      <c r="AY48" s="10">
        <f t="shared" si="163"/>
        <v>572</v>
      </c>
      <c r="AZ48" s="10">
        <f t="shared" si="164"/>
        <v>401</v>
      </c>
      <c r="BA48" s="182"/>
    </row>
    <row r="49" spans="1:55" ht="13.5" customHeight="1" x14ac:dyDescent="0.2">
      <c r="A49" s="60"/>
      <c r="B49" s="8" t="s">
        <v>77</v>
      </c>
      <c r="C49" s="424"/>
      <c r="D49" s="8"/>
      <c r="E49" s="8"/>
      <c r="F49" s="8"/>
      <c r="G49" s="8"/>
      <c r="H49" s="275"/>
      <c r="I49" s="10"/>
      <c r="J49" s="10"/>
      <c r="K49" s="10"/>
      <c r="L49" s="10"/>
      <c r="M49" s="275"/>
      <c r="N49" s="10"/>
      <c r="O49" s="10"/>
      <c r="P49" s="10"/>
      <c r="Q49" s="10"/>
      <c r="R49" s="275"/>
      <c r="S49" s="10"/>
      <c r="T49" s="10"/>
      <c r="U49" s="10"/>
      <c r="V49" s="10"/>
      <c r="W49" s="275"/>
      <c r="X49" s="10"/>
      <c r="Y49" s="10"/>
      <c r="Z49" s="10"/>
      <c r="AA49" s="10"/>
      <c r="AB49" s="275"/>
      <c r="AC49" s="10"/>
      <c r="AD49" s="10"/>
      <c r="AE49" s="10"/>
      <c r="AF49" s="10"/>
      <c r="AG49" s="275"/>
      <c r="AH49" s="10"/>
      <c r="AI49" s="10"/>
      <c r="AJ49" s="10"/>
      <c r="AK49" s="10"/>
      <c r="AL49" s="424">
        <v>35</v>
      </c>
      <c r="AM49" s="8">
        <v>0</v>
      </c>
      <c r="AN49" s="8">
        <v>0</v>
      </c>
      <c r="AO49" s="8">
        <v>0</v>
      </c>
      <c r="AP49" s="8">
        <v>0</v>
      </c>
      <c r="AQ49" s="424"/>
      <c r="AR49" s="8"/>
      <c r="AS49" s="8"/>
      <c r="AT49" s="8"/>
      <c r="AU49" s="8"/>
      <c r="AV49" s="275">
        <f t="shared" si="160"/>
        <v>35</v>
      </c>
      <c r="AW49" s="10">
        <f t="shared" si="161"/>
        <v>0</v>
      </c>
      <c r="AX49" s="10">
        <f t="shared" si="162"/>
        <v>0</v>
      </c>
      <c r="AY49" s="10">
        <f t="shared" si="163"/>
        <v>0</v>
      </c>
      <c r="AZ49" s="10">
        <f t="shared" si="164"/>
        <v>0</v>
      </c>
      <c r="BA49" s="182"/>
    </row>
    <row r="50" spans="1:55" ht="13.5" customHeight="1" x14ac:dyDescent="0.2">
      <c r="A50" s="60"/>
      <c r="B50" s="8" t="s">
        <v>447</v>
      </c>
      <c r="C50" s="413"/>
      <c r="D50" s="12"/>
      <c r="E50" s="12"/>
      <c r="F50" s="12"/>
      <c r="G50" s="12"/>
      <c r="H50" s="275">
        <v>90</v>
      </c>
      <c r="I50" s="10">
        <f>30+240</f>
        <v>270</v>
      </c>
      <c r="J50" s="10">
        <f>30+240</f>
        <v>270</v>
      </c>
      <c r="K50" s="10">
        <f>30+240</f>
        <v>270</v>
      </c>
      <c r="L50" s="10">
        <v>270</v>
      </c>
      <c r="M50" s="275"/>
      <c r="N50" s="10"/>
      <c r="O50" s="10"/>
      <c r="P50" s="10"/>
      <c r="Q50" s="10"/>
      <c r="R50" s="275"/>
      <c r="S50" s="10"/>
      <c r="T50" s="10"/>
      <c r="U50" s="10"/>
      <c r="V50" s="10"/>
      <c r="W50" s="275"/>
      <c r="X50" s="10"/>
      <c r="Y50" s="10"/>
      <c r="Z50" s="10"/>
      <c r="AA50" s="10"/>
      <c r="AB50" s="275"/>
      <c r="AC50" s="10"/>
      <c r="AD50" s="10"/>
      <c r="AE50" s="10"/>
      <c r="AF50" s="10"/>
      <c r="AG50" s="275"/>
      <c r="AH50" s="10"/>
      <c r="AI50" s="10"/>
      <c r="AJ50" s="10"/>
      <c r="AK50" s="10"/>
      <c r="AL50" s="275"/>
      <c r="AM50" s="10"/>
      <c r="AN50" s="10"/>
      <c r="AO50" s="10"/>
      <c r="AP50" s="10"/>
      <c r="AQ50" s="275"/>
      <c r="AR50" s="10"/>
      <c r="AS50" s="10"/>
      <c r="AT50" s="10"/>
      <c r="AU50" s="10"/>
      <c r="AV50" s="275">
        <f t="shared" si="160"/>
        <v>90</v>
      </c>
      <c r="AW50" s="10">
        <f t="shared" si="161"/>
        <v>270</v>
      </c>
      <c r="AX50" s="10">
        <f t="shared" si="162"/>
        <v>270</v>
      </c>
      <c r="AY50" s="10">
        <f t="shared" si="163"/>
        <v>270</v>
      </c>
      <c r="AZ50" s="10">
        <f t="shared" si="164"/>
        <v>270</v>
      </c>
      <c r="BA50" s="182"/>
    </row>
    <row r="51" spans="1:55" ht="13.5" customHeight="1" x14ac:dyDescent="0.2">
      <c r="A51" s="60"/>
      <c r="B51" s="8" t="s">
        <v>526</v>
      </c>
      <c r="C51" s="275">
        <v>450</v>
      </c>
      <c r="D51" s="10">
        <v>500</v>
      </c>
      <c r="E51" s="10">
        <f>500-100</f>
        <v>400</v>
      </c>
      <c r="F51" s="10">
        <f>500-100</f>
        <v>400</v>
      </c>
      <c r="G51" s="10">
        <v>0</v>
      </c>
      <c r="H51" s="275"/>
      <c r="I51" s="10"/>
      <c r="J51" s="10"/>
      <c r="K51" s="10"/>
      <c r="L51" s="10"/>
      <c r="M51" s="275"/>
      <c r="N51" s="10"/>
      <c r="O51" s="10"/>
      <c r="P51" s="10"/>
      <c r="Q51" s="10"/>
      <c r="R51" s="275"/>
      <c r="S51" s="10"/>
      <c r="T51" s="10"/>
      <c r="U51" s="10"/>
      <c r="V51" s="10"/>
      <c r="W51" s="275"/>
      <c r="X51" s="10"/>
      <c r="Y51" s="10"/>
      <c r="Z51" s="10"/>
      <c r="AA51" s="10"/>
      <c r="AB51" s="275"/>
      <c r="AC51" s="10"/>
      <c r="AD51" s="10"/>
      <c r="AE51" s="10"/>
      <c r="AF51" s="10"/>
      <c r="AG51" s="275"/>
      <c r="AH51" s="10"/>
      <c r="AI51" s="10"/>
      <c r="AJ51" s="10"/>
      <c r="AK51" s="10"/>
      <c r="AL51" s="275"/>
      <c r="AM51" s="10"/>
      <c r="AN51" s="10"/>
      <c r="AO51" s="10"/>
      <c r="AP51" s="10"/>
      <c r="AQ51" s="275"/>
      <c r="AR51" s="10"/>
      <c r="AS51" s="10"/>
      <c r="AT51" s="10"/>
      <c r="AU51" s="10"/>
      <c r="AV51" s="275">
        <f t="shared" si="160"/>
        <v>450</v>
      </c>
      <c r="AW51" s="10">
        <f t="shared" si="161"/>
        <v>500</v>
      </c>
      <c r="AX51" s="10">
        <f t="shared" si="162"/>
        <v>400</v>
      </c>
      <c r="AY51" s="10">
        <f t="shared" si="163"/>
        <v>400</v>
      </c>
      <c r="AZ51" s="10">
        <f t="shared" si="164"/>
        <v>0</v>
      </c>
      <c r="BA51" s="182"/>
    </row>
    <row r="52" spans="1:55" s="405" customFormat="1" ht="25.5" x14ac:dyDescent="0.2">
      <c r="A52" s="403"/>
      <c r="B52" s="281" t="s">
        <v>652</v>
      </c>
      <c r="C52" s="438"/>
      <c r="D52" s="84"/>
      <c r="E52" s="84"/>
      <c r="F52" s="84"/>
      <c r="G52" s="84"/>
      <c r="H52" s="438">
        <v>0</v>
      </c>
      <c r="I52" s="84">
        <v>255</v>
      </c>
      <c r="J52" s="84">
        <v>255</v>
      </c>
      <c r="K52" s="84">
        <f>255-32</f>
        <v>223</v>
      </c>
      <c r="L52" s="84">
        <v>135</v>
      </c>
      <c r="M52" s="438"/>
      <c r="N52" s="84"/>
      <c r="O52" s="84"/>
      <c r="P52" s="84"/>
      <c r="Q52" s="84"/>
      <c r="R52" s="438"/>
      <c r="S52" s="84"/>
      <c r="T52" s="84"/>
      <c r="U52" s="84"/>
      <c r="V52" s="84"/>
      <c r="W52" s="438"/>
      <c r="X52" s="84"/>
      <c r="Y52" s="84"/>
      <c r="Z52" s="84"/>
      <c r="AA52" s="84"/>
      <c r="AB52" s="438"/>
      <c r="AC52" s="84"/>
      <c r="AD52" s="84"/>
      <c r="AE52" s="84"/>
      <c r="AF52" s="84"/>
      <c r="AG52" s="438"/>
      <c r="AH52" s="84"/>
      <c r="AI52" s="84"/>
      <c r="AJ52" s="84"/>
      <c r="AK52" s="84"/>
      <c r="AL52" s="438">
        <v>0</v>
      </c>
      <c r="AM52" s="84">
        <v>0</v>
      </c>
      <c r="AN52" s="84">
        <v>0</v>
      </c>
      <c r="AO52" s="84">
        <v>32</v>
      </c>
      <c r="AP52" s="84">
        <v>32</v>
      </c>
      <c r="AQ52" s="438"/>
      <c r="AR52" s="84"/>
      <c r="AS52" s="84"/>
      <c r="AT52" s="84"/>
      <c r="AU52" s="84"/>
      <c r="AV52" s="275">
        <f t="shared" si="160"/>
        <v>0</v>
      </c>
      <c r="AW52" s="10">
        <f t="shared" si="161"/>
        <v>255</v>
      </c>
      <c r="AX52" s="10">
        <f t="shared" si="162"/>
        <v>255</v>
      </c>
      <c r="AY52" s="10">
        <f t="shared" si="163"/>
        <v>255</v>
      </c>
      <c r="AZ52" s="10">
        <f t="shared" si="164"/>
        <v>167</v>
      </c>
      <c r="BA52" s="404"/>
    </row>
    <row r="53" spans="1:55" s="405" customFormat="1" ht="25.5" x14ac:dyDescent="0.2">
      <c r="A53" s="403"/>
      <c r="B53" s="281" t="s">
        <v>653</v>
      </c>
      <c r="C53" s="438"/>
      <c r="D53" s="84"/>
      <c r="E53" s="84"/>
      <c r="F53" s="84"/>
      <c r="G53" s="84"/>
      <c r="H53" s="438">
        <v>0</v>
      </c>
      <c r="I53" s="84">
        <v>350</v>
      </c>
      <c r="J53" s="84">
        <v>350</v>
      </c>
      <c r="K53" s="84">
        <v>350</v>
      </c>
      <c r="L53" s="84">
        <v>350</v>
      </c>
      <c r="M53" s="438"/>
      <c r="N53" s="84"/>
      <c r="O53" s="84"/>
      <c r="P53" s="84"/>
      <c r="Q53" s="84"/>
      <c r="R53" s="438"/>
      <c r="S53" s="84"/>
      <c r="T53" s="84"/>
      <c r="U53" s="84"/>
      <c r="V53" s="84"/>
      <c r="W53" s="438"/>
      <c r="X53" s="84"/>
      <c r="Y53" s="84"/>
      <c r="Z53" s="84"/>
      <c r="AA53" s="84"/>
      <c r="AB53" s="438"/>
      <c r="AC53" s="84"/>
      <c r="AD53" s="84"/>
      <c r="AE53" s="84"/>
      <c r="AF53" s="84"/>
      <c r="AG53" s="438"/>
      <c r="AH53" s="84"/>
      <c r="AI53" s="84"/>
      <c r="AJ53" s="84"/>
      <c r="AK53" s="84"/>
      <c r="AL53" s="438"/>
      <c r="AM53" s="84"/>
      <c r="AN53" s="84"/>
      <c r="AO53" s="84"/>
      <c r="AP53" s="84"/>
      <c r="AQ53" s="438"/>
      <c r="AR53" s="84"/>
      <c r="AS53" s="84"/>
      <c r="AT53" s="84"/>
      <c r="AU53" s="84"/>
      <c r="AV53" s="275">
        <f t="shared" si="160"/>
        <v>0</v>
      </c>
      <c r="AW53" s="10">
        <f t="shared" si="161"/>
        <v>350</v>
      </c>
      <c r="AX53" s="10">
        <f t="shared" si="162"/>
        <v>350</v>
      </c>
      <c r="AY53" s="10">
        <f t="shared" si="163"/>
        <v>350</v>
      </c>
      <c r="AZ53" s="10">
        <f t="shared" si="164"/>
        <v>350</v>
      </c>
      <c r="BA53" s="404"/>
    </row>
    <row r="54" spans="1:55" s="405" customFormat="1" ht="25.5" x14ac:dyDescent="0.2">
      <c r="A54" s="403"/>
      <c r="B54" s="281" t="s">
        <v>698</v>
      </c>
      <c r="C54" s="438"/>
      <c r="D54" s="84"/>
      <c r="E54" s="84"/>
      <c r="F54" s="84"/>
      <c r="G54" s="84"/>
      <c r="H54" s="438">
        <v>0</v>
      </c>
      <c r="I54" s="84">
        <v>0</v>
      </c>
      <c r="J54" s="84">
        <v>100</v>
      </c>
      <c r="K54" s="84">
        <v>100</v>
      </c>
      <c r="L54" s="84">
        <v>100</v>
      </c>
      <c r="M54" s="438"/>
      <c r="N54" s="84"/>
      <c r="O54" s="84"/>
      <c r="P54" s="84"/>
      <c r="Q54" s="84"/>
      <c r="R54" s="438"/>
      <c r="S54" s="84"/>
      <c r="T54" s="84"/>
      <c r="U54" s="84"/>
      <c r="V54" s="84"/>
      <c r="W54" s="438"/>
      <c r="X54" s="84"/>
      <c r="Y54" s="84"/>
      <c r="Z54" s="84"/>
      <c r="AA54" s="84"/>
      <c r="AB54" s="438"/>
      <c r="AC54" s="84"/>
      <c r="AD54" s="84"/>
      <c r="AE54" s="84"/>
      <c r="AF54" s="84"/>
      <c r="AG54" s="438"/>
      <c r="AH54" s="84"/>
      <c r="AI54" s="84"/>
      <c r="AJ54" s="84"/>
      <c r="AK54" s="84"/>
      <c r="AL54" s="438"/>
      <c r="AM54" s="84"/>
      <c r="AN54" s="84"/>
      <c r="AO54" s="84"/>
      <c r="AP54" s="84"/>
      <c r="AQ54" s="438"/>
      <c r="AR54" s="84"/>
      <c r="AS54" s="84"/>
      <c r="AT54" s="84"/>
      <c r="AU54" s="84"/>
      <c r="AV54" s="275">
        <f t="shared" si="160"/>
        <v>0</v>
      </c>
      <c r="AW54" s="10">
        <f t="shared" si="161"/>
        <v>0</v>
      </c>
      <c r="AX54" s="10">
        <f t="shared" si="162"/>
        <v>100</v>
      </c>
      <c r="AY54" s="10">
        <f t="shared" si="163"/>
        <v>100</v>
      </c>
      <c r="AZ54" s="10">
        <f t="shared" si="164"/>
        <v>100</v>
      </c>
      <c r="BA54" s="404"/>
    </row>
    <row r="55" spans="1:55" ht="13.5" customHeight="1" x14ac:dyDescent="0.2">
      <c r="A55" s="60"/>
      <c r="B55" s="8" t="s">
        <v>693</v>
      </c>
      <c r="C55" s="275">
        <v>0</v>
      </c>
      <c r="D55" s="10">
        <v>0</v>
      </c>
      <c r="E55" s="10">
        <v>1350</v>
      </c>
      <c r="F55" s="10">
        <v>1350</v>
      </c>
      <c r="G55" s="10">
        <v>1350</v>
      </c>
      <c r="H55" s="275"/>
      <c r="I55" s="10"/>
      <c r="J55" s="10"/>
      <c r="K55" s="10"/>
      <c r="L55" s="10"/>
      <c r="M55" s="275"/>
      <c r="N55" s="10"/>
      <c r="O55" s="10"/>
      <c r="P55" s="10"/>
      <c r="Q55" s="10"/>
      <c r="R55" s="275"/>
      <c r="S55" s="10"/>
      <c r="T55" s="10"/>
      <c r="U55" s="10"/>
      <c r="V55" s="10"/>
      <c r="W55" s="275"/>
      <c r="X55" s="10"/>
      <c r="Y55" s="10"/>
      <c r="Z55" s="10"/>
      <c r="AA55" s="10"/>
      <c r="AB55" s="275"/>
      <c r="AC55" s="10"/>
      <c r="AD55" s="10"/>
      <c r="AE55" s="10"/>
      <c r="AF55" s="10"/>
      <c r="AG55" s="275"/>
      <c r="AH55" s="10"/>
      <c r="AI55" s="10"/>
      <c r="AJ55" s="10"/>
      <c r="AK55" s="10"/>
      <c r="AL55" s="275"/>
      <c r="AM55" s="10"/>
      <c r="AN55" s="10"/>
      <c r="AO55" s="10"/>
      <c r="AP55" s="10"/>
      <c r="AQ55" s="275"/>
      <c r="AR55" s="10"/>
      <c r="AS55" s="10"/>
      <c r="AT55" s="10"/>
      <c r="AU55" s="10"/>
      <c r="AV55" s="275">
        <f t="shared" si="160"/>
        <v>0</v>
      </c>
      <c r="AW55" s="10">
        <f t="shared" si="161"/>
        <v>0</v>
      </c>
      <c r="AX55" s="10">
        <f t="shared" si="162"/>
        <v>1350</v>
      </c>
      <c r="AY55" s="10">
        <f t="shared" si="163"/>
        <v>1350</v>
      </c>
      <c r="AZ55" s="10">
        <f t="shared" si="164"/>
        <v>1350</v>
      </c>
      <c r="BA55" s="182"/>
    </row>
    <row r="56" spans="1:55" ht="13.5" customHeight="1" x14ac:dyDescent="0.2">
      <c r="A56" s="60" t="s">
        <v>250</v>
      </c>
      <c r="B56" s="8" t="s">
        <v>275</v>
      </c>
      <c r="C56" s="275"/>
      <c r="D56" s="10"/>
      <c r="E56" s="10"/>
      <c r="F56" s="10"/>
      <c r="G56" s="10"/>
      <c r="H56" s="275"/>
      <c r="I56" s="10"/>
      <c r="J56" s="10"/>
      <c r="K56" s="10"/>
      <c r="L56" s="10"/>
      <c r="M56" s="275"/>
      <c r="N56" s="10"/>
      <c r="O56" s="10"/>
      <c r="P56" s="10"/>
      <c r="Q56" s="10"/>
      <c r="R56" s="275"/>
      <c r="S56" s="10"/>
      <c r="T56" s="10"/>
      <c r="U56" s="10"/>
      <c r="V56" s="10"/>
      <c r="W56" s="275"/>
      <c r="X56" s="10"/>
      <c r="Y56" s="10"/>
      <c r="Z56" s="10"/>
      <c r="AA56" s="10"/>
      <c r="AB56" s="275"/>
      <c r="AC56" s="10"/>
      <c r="AD56" s="10"/>
      <c r="AE56" s="10"/>
      <c r="AF56" s="10"/>
      <c r="AG56" s="275"/>
      <c r="AH56" s="10"/>
      <c r="AI56" s="10"/>
      <c r="AJ56" s="10"/>
      <c r="AK56" s="10"/>
      <c r="AL56" s="275"/>
      <c r="AM56" s="10"/>
      <c r="AN56" s="10"/>
      <c r="AO56" s="10"/>
      <c r="AP56" s="10"/>
      <c r="AQ56" s="275"/>
      <c r="AR56" s="10"/>
      <c r="AS56" s="10"/>
      <c r="AT56" s="10"/>
      <c r="AU56" s="10"/>
      <c r="AV56" s="275">
        <f t="shared" si="160"/>
        <v>0</v>
      </c>
      <c r="AW56" s="10">
        <f t="shared" si="161"/>
        <v>0</v>
      </c>
      <c r="AX56" s="10">
        <f t="shared" si="162"/>
        <v>0</v>
      </c>
      <c r="AY56" s="10">
        <f t="shared" si="163"/>
        <v>0</v>
      </c>
      <c r="AZ56" s="10">
        <f t="shared" si="164"/>
        <v>0</v>
      </c>
      <c r="BA56" s="182"/>
    </row>
    <row r="57" spans="1:55" ht="13.5" customHeight="1" x14ac:dyDescent="0.2">
      <c r="A57" s="60"/>
      <c r="B57" s="8" t="s">
        <v>328</v>
      </c>
      <c r="C57" s="275">
        <v>4</v>
      </c>
      <c r="D57" s="10">
        <v>50</v>
      </c>
      <c r="E57" s="10">
        <v>50</v>
      </c>
      <c r="F57" s="10">
        <v>50</v>
      </c>
      <c r="G57" s="10">
        <v>0</v>
      </c>
      <c r="H57" s="275"/>
      <c r="I57" s="10"/>
      <c r="J57" s="10"/>
      <c r="K57" s="10"/>
      <c r="L57" s="10"/>
      <c r="M57" s="275"/>
      <c r="N57" s="10"/>
      <c r="O57" s="10"/>
      <c r="P57" s="10"/>
      <c r="Q57" s="10"/>
      <c r="R57" s="275"/>
      <c r="S57" s="10"/>
      <c r="T57" s="10"/>
      <c r="U57" s="10"/>
      <c r="V57" s="10"/>
      <c r="W57" s="275"/>
      <c r="X57" s="10"/>
      <c r="Y57" s="10"/>
      <c r="Z57" s="10"/>
      <c r="AA57" s="10"/>
      <c r="AB57" s="275"/>
      <c r="AC57" s="10"/>
      <c r="AD57" s="10"/>
      <c r="AE57" s="10"/>
      <c r="AF57" s="10"/>
      <c r="AG57" s="275"/>
      <c r="AH57" s="10"/>
      <c r="AI57" s="10"/>
      <c r="AJ57" s="10"/>
      <c r="AK57" s="10"/>
      <c r="AL57" s="275"/>
      <c r="AM57" s="10"/>
      <c r="AN57" s="10"/>
      <c r="AO57" s="10"/>
      <c r="AP57" s="10"/>
      <c r="AQ57" s="275"/>
      <c r="AR57" s="10"/>
      <c r="AS57" s="10"/>
      <c r="AT57" s="10"/>
      <c r="AU57" s="10"/>
      <c r="AV57" s="275">
        <f t="shared" si="160"/>
        <v>4</v>
      </c>
      <c r="AW57" s="10">
        <f t="shared" si="161"/>
        <v>50</v>
      </c>
      <c r="AX57" s="10">
        <f t="shared" si="162"/>
        <v>50</v>
      </c>
      <c r="AY57" s="10">
        <f t="shared" si="163"/>
        <v>50</v>
      </c>
      <c r="AZ57" s="10">
        <f t="shared" si="164"/>
        <v>0</v>
      </c>
      <c r="BA57" s="182"/>
    </row>
    <row r="58" spans="1:55" ht="13.5" customHeight="1" x14ac:dyDescent="0.2">
      <c r="A58" s="60"/>
      <c r="B58" s="8" t="s">
        <v>374</v>
      </c>
      <c r="C58" s="275">
        <v>737</v>
      </c>
      <c r="D58" s="10">
        <v>1000</v>
      </c>
      <c r="E58" s="10">
        <v>1000</v>
      </c>
      <c r="F58" s="10">
        <v>1000</v>
      </c>
      <c r="G58" s="10">
        <v>791</v>
      </c>
      <c r="H58" s="275"/>
      <c r="I58" s="10"/>
      <c r="J58" s="10"/>
      <c r="K58" s="10"/>
      <c r="L58" s="10"/>
      <c r="M58" s="275"/>
      <c r="N58" s="10"/>
      <c r="O58" s="10"/>
      <c r="P58" s="10"/>
      <c r="Q58" s="10"/>
      <c r="R58" s="275"/>
      <c r="S58" s="10"/>
      <c r="T58" s="10"/>
      <c r="U58" s="10"/>
      <c r="V58" s="10"/>
      <c r="W58" s="275"/>
      <c r="X58" s="10"/>
      <c r="Y58" s="10"/>
      <c r="Z58" s="10"/>
      <c r="AA58" s="10"/>
      <c r="AB58" s="275"/>
      <c r="AC58" s="10"/>
      <c r="AD58" s="10"/>
      <c r="AE58" s="10"/>
      <c r="AF58" s="10"/>
      <c r="AG58" s="275"/>
      <c r="AH58" s="10"/>
      <c r="AI58" s="10"/>
      <c r="AJ58" s="10"/>
      <c r="AK58" s="10"/>
      <c r="AL58" s="275"/>
      <c r="AM58" s="10"/>
      <c r="AN58" s="10"/>
      <c r="AO58" s="10"/>
      <c r="AP58" s="10"/>
      <c r="AQ58" s="275"/>
      <c r="AR58" s="10"/>
      <c r="AS58" s="10"/>
      <c r="AT58" s="10"/>
      <c r="AU58" s="10"/>
      <c r="AV58" s="275">
        <f t="shared" si="160"/>
        <v>737</v>
      </c>
      <c r="AW58" s="10">
        <f t="shared" si="161"/>
        <v>1000</v>
      </c>
      <c r="AX58" s="10">
        <f t="shared" si="162"/>
        <v>1000</v>
      </c>
      <c r="AY58" s="10">
        <f t="shared" si="163"/>
        <v>1000</v>
      </c>
      <c r="AZ58" s="10">
        <f t="shared" si="164"/>
        <v>791</v>
      </c>
      <c r="BA58" s="182"/>
    </row>
    <row r="59" spans="1:55" x14ac:dyDescent="0.2">
      <c r="A59" s="60"/>
      <c r="B59" s="8" t="s">
        <v>285</v>
      </c>
      <c r="C59" s="275">
        <v>474</v>
      </c>
      <c r="D59" s="10">
        <f>861-626</f>
        <v>235</v>
      </c>
      <c r="E59" s="10">
        <f>861-626+41</f>
        <v>276</v>
      </c>
      <c r="F59" s="10">
        <f>861-626+41</f>
        <v>276</v>
      </c>
      <c r="G59" s="10">
        <v>262</v>
      </c>
      <c r="H59" s="275">
        <v>178</v>
      </c>
      <c r="I59" s="10">
        <v>70</v>
      </c>
      <c r="J59" s="10">
        <f>70-41</f>
        <v>29</v>
      </c>
      <c r="K59" s="10">
        <f>70-41</f>
        <v>29</v>
      </c>
      <c r="L59" s="10">
        <v>20</v>
      </c>
      <c r="M59" s="275">
        <v>299</v>
      </c>
      <c r="N59" s="10">
        <f>167+50</f>
        <v>217</v>
      </c>
      <c r="O59" s="10">
        <f>167+50</f>
        <v>217</v>
      </c>
      <c r="P59" s="10">
        <f>167+50+36</f>
        <v>253</v>
      </c>
      <c r="Q59" s="10">
        <v>253</v>
      </c>
      <c r="R59" s="275"/>
      <c r="S59" s="10"/>
      <c r="T59" s="10"/>
      <c r="U59" s="10"/>
      <c r="V59" s="10"/>
      <c r="W59" s="275"/>
      <c r="X59" s="10"/>
      <c r="Y59" s="10"/>
      <c r="Z59" s="10"/>
      <c r="AA59" s="10"/>
      <c r="AB59" s="275"/>
      <c r="AC59" s="10"/>
      <c r="AD59" s="10"/>
      <c r="AE59" s="10"/>
      <c r="AF59" s="10"/>
      <c r="AG59" s="275"/>
      <c r="AH59" s="10"/>
      <c r="AI59" s="10"/>
      <c r="AJ59" s="10"/>
      <c r="AK59" s="10"/>
      <c r="AL59" s="275">
        <v>0</v>
      </c>
      <c r="AM59" s="10">
        <v>10</v>
      </c>
      <c r="AN59" s="10">
        <v>10</v>
      </c>
      <c r="AO59" s="10">
        <v>10</v>
      </c>
      <c r="AP59" s="10">
        <v>0</v>
      </c>
      <c r="AQ59" s="275"/>
      <c r="AR59" s="10"/>
      <c r="AS59" s="10"/>
      <c r="AT59" s="10"/>
      <c r="AU59" s="10"/>
      <c r="AV59" s="275">
        <f t="shared" si="160"/>
        <v>951</v>
      </c>
      <c r="AW59" s="10">
        <f t="shared" si="161"/>
        <v>532</v>
      </c>
      <c r="AX59" s="10">
        <f t="shared" si="162"/>
        <v>532</v>
      </c>
      <c r="AY59" s="10">
        <f t="shared" si="163"/>
        <v>568</v>
      </c>
      <c r="AZ59" s="10">
        <f t="shared" si="164"/>
        <v>535</v>
      </c>
      <c r="BC59" s="182"/>
    </row>
    <row r="60" spans="1:55" x14ac:dyDescent="0.2">
      <c r="A60" s="60"/>
      <c r="B60" s="8" t="s">
        <v>508</v>
      </c>
      <c r="C60" s="275">
        <v>90</v>
      </c>
      <c r="D60" s="10">
        <v>130</v>
      </c>
      <c r="E60" s="10">
        <v>130</v>
      </c>
      <c r="F60" s="10">
        <v>130</v>
      </c>
      <c r="G60" s="10">
        <v>94</v>
      </c>
      <c r="H60" s="275">
        <v>921</v>
      </c>
      <c r="I60" s="10">
        <f>700+31</f>
        <v>731</v>
      </c>
      <c r="J60" s="10">
        <f>700+31-60-170</f>
        <v>501</v>
      </c>
      <c r="K60" s="10">
        <f>700+31-60-170</f>
        <v>501</v>
      </c>
      <c r="L60" s="10">
        <v>398</v>
      </c>
      <c r="M60" s="275">
        <v>75</v>
      </c>
      <c r="N60" s="10">
        <v>100</v>
      </c>
      <c r="O60" s="10">
        <v>100</v>
      </c>
      <c r="P60" s="10">
        <f>100-36</f>
        <v>64</v>
      </c>
      <c r="Q60" s="10">
        <v>19</v>
      </c>
      <c r="R60" s="275">
        <v>180</v>
      </c>
      <c r="S60" s="10">
        <v>20</v>
      </c>
      <c r="T60" s="10">
        <f>20+60+100+400</f>
        <v>580</v>
      </c>
      <c r="U60" s="10">
        <f>20+60+100+400</f>
        <v>580</v>
      </c>
      <c r="V60" s="10">
        <v>400</v>
      </c>
      <c r="W60" s="275">
        <v>466</v>
      </c>
      <c r="X60" s="10">
        <f>50+515</f>
        <v>565</v>
      </c>
      <c r="Y60" s="10">
        <f>50+515</f>
        <v>565</v>
      </c>
      <c r="Z60" s="10">
        <f>50+515</f>
        <v>565</v>
      </c>
      <c r="AA60" s="10">
        <v>511</v>
      </c>
      <c r="AB60" s="275"/>
      <c r="AC60" s="10"/>
      <c r="AD60" s="10"/>
      <c r="AE60" s="10"/>
      <c r="AF60" s="10"/>
      <c r="AG60" s="275">
        <f>2029</f>
        <v>2029</v>
      </c>
      <c r="AH60" s="10">
        <v>1000</v>
      </c>
      <c r="AI60" s="10">
        <f>1000+100+170</f>
        <v>1270</v>
      </c>
      <c r="AJ60" s="10">
        <f>1000+100+170+180</f>
        <v>1450</v>
      </c>
      <c r="AK60" s="10">
        <v>1446</v>
      </c>
      <c r="AL60" s="275">
        <v>27</v>
      </c>
      <c r="AM60" s="10">
        <f>40+40</f>
        <v>80</v>
      </c>
      <c r="AN60" s="10">
        <f>40+40</f>
        <v>80</v>
      </c>
      <c r="AO60" s="10">
        <f>40+40</f>
        <v>80</v>
      </c>
      <c r="AP60" s="10">
        <v>67</v>
      </c>
      <c r="AQ60" s="275"/>
      <c r="AR60" s="10"/>
      <c r="AS60" s="10"/>
      <c r="AT60" s="10"/>
      <c r="AU60" s="10"/>
      <c r="AV60" s="275">
        <f t="shared" si="160"/>
        <v>3788</v>
      </c>
      <c r="AW60" s="10">
        <f t="shared" si="161"/>
        <v>2626</v>
      </c>
      <c r="AX60" s="10">
        <f t="shared" si="162"/>
        <v>3226</v>
      </c>
      <c r="AY60" s="10">
        <f t="shared" si="163"/>
        <v>3370</v>
      </c>
      <c r="AZ60" s="10">
        <f t="shared" si="164"/>
        <v>2935</v>
      </c>
      <c r="BA60" s="182"/>
    </row>
    <row r="61" spans="1:55" ht="13.5" hidden="1" customHeight="1" x14ac:dyDescent="0.2">
      <c r="A61" s="60"/>
      <c r="B61" s="8"/>
      <c r="C61" s="275"/>
      <c r="D61" s="10"/>
      <c r="E61" s="10"/>
      <c r="F61" s="10"/>
      <c r="G61" s="10"/>
      <c r="H61" s="275"/>
      <c r="I61" s="10"/>
      <c r="J61" s="10"/>
      <c r="K61" s="10"/>
      <c r="L61" s="10"/>
      <c r="M61" s="275"/>
      <c r="N61" s="10"/>
      <c r="O61" s="10"/>
      <c r="P61" s="10"/>
      <c r="Q61" s="10"/>
      <c r="R61" s="275"/>
      <c r="S61" s="10"/>
      <c r="T61" s="10"/>
      <c r="U61" s="10"/>
      <c r="V61" s="10"/>
      <c r="W61" s="275"/>
      <c r="X61" s="10"/>
      <c r="Y61" s="10"/>
      <c r="Z61" s="10"/>
      <c r="AA61" s="10"/>
      <c r="AB61" s="275"/>
      <c r="AC61" s="10"/>
      <c r="AD61" s="10"/>
      <c r="AE61" s="10"/>
      <c r="AF61" s="10"/>
      <c r="AG61" s="275"/>
      <c r="AH61" s="10"/>
      <c r="AI61" s="10"/>
      <c r="AJ61" s="10"/>
      <c r="AK61" s="10"/>
      <c r="AL61" s="275"/>
      <c r="AM61" s="10"/>
      <c r="AN61" s="10"/>
      <c r="AO61" s="10"/>
      <c r="AP61" s="10"/>
      <c r="AQ61" s="275"/>
      <c r="AR61" s="10"/>
      <c r="AS61" s="10"/>
      <c r="AT61" s="10"/>
      <c r="AU61" s="10"/>
      <c r="AV61" s="275">
        <f t="shared" si="117"/>
        <v>0</v>
      </c>
      <c r="AW61" s="10">
        <f t="shared" si="118"/>
        <v>0</v>
      </c>
      <c r="AX61" s="10">
        <f t="shared" si="119"/>
        <v>0</v>
      </c>
      <c r="AY61" s="10">
        <f t="shared" si="120"/>
        <v>0</v>
      </c>
      <c r="AZ61" s="10">
        <f t="shared" si="121"/>
        <v>0</v>
      </c>
      <c r="BA61" s="182"/>
    </row>
    <row r="62" spans="1:55" ht="13.5" customHeight="1" x14ac:dyDescent="0.2">
      <c r="A62" s="75" t="s">
        <v>251</v>
      </c>
      <c r="B62" s="13" t="s">
        <v>236</v>
      </c>
      <c r="C62" s="421">
        <f t="shared" ref="C62:T62" si="165">SUM(C63:C64)</f>
        <v>19</v>
      </c>
      <c r="D62" s="6">
        <f t="shared" si="165"/>
        <v>50</v>
      </c>
      <c r="E62" s="6">
        <f t="shared" si="165"/>
        <v>50</v>
      </c>
      <c r="F62" s="6">
        <f t="shared" ref="F62:G62" si="166">SUM(F63:F64)</f>
        <v>0</v>
      </c>
      <c r="G62" s="6">
        <f t="shared" si="166"/>
        <v>0</v>
      </c>
      <c r="H62" s="421">
        <f t="shared" si="165"/>
        <v>250</v>
      </c>
      <c r="I62" s="6">
        <f t="shared" si="165"/>
        <v>250</v>
      </c>
      <c r="J62" s="6">
        <f t="shared" si="165"/>
        <v>250</v>
      </c>
      <c r="K62" s="6">
        <f t="shared" ref="K62:L62" si="167">SUM(K63:K64)</f>
        <v>0</v>
      </c>
      <c r="L62" s="6">
        <f t="shared" si="167"/>
        <v>0</v>
      </c>
      <c r="M62" s="421">
        <f t="shared" si="165"/>
        <v>0</v>
      </c>
      <c r="N62" s="6">
        <f t="shared" si="165"/>
        <v>0</v>
      </c>
      <c r="O62" s="6">
        <f t="shared" si="165"/>
        <v>0</v>
      </c>
      <c r="P62" s="6">
        <f t="shared" ref="P62:Q62" si="168">SUM(P63:P64)</f>
        <v>0</v>
      </c>
      <c r="Q62" s="6">
        <f t="shared" si="168"/>
        <v>0</v>
      </c>
      <c r="R62" s="421">
        <f t="shared" si="165"/>
        <v>0</v>
      </c>
      <c r="S62" s="6">
        <f t="shared" si="165"/>
        <v>0</v>
      </c>
      <c r="T62" s="6">
        <f t="shared" si="165"/>
        <v>0</v>
      </c>
      <c r="U62" s="6">
        <f t="shared" ref="U62:V62" si="169">SUM(U63:U64)</f>
        <v>0</v>
      </c>
      <c r="V62" s="6">
        <f t="shared" si="169"/>
        <v>0</v>
      </c>
      <c r="W62" s="421">
        <f t="shared" ref="W62:AL62" si="170">SUM(W63:W64)</f>
        <v>0</v>
      </c>
      <c r="X62" s="6">
        <f t="shared" ref="X62:Y62" si="171">SUM(X63:X64)</f>
        <v>0</v>
      </c>
      <c r="Y62" s="6">
        <f t="shared" si="171"/>
        <v>0</v>
      </c>
      <c r="Z62" s="6">
        <f t="shared" ref="Z62:AA62" si="172">SUM(Z63:Z64)</f>
        <v>0</v>
      </c>
      <c r="AA62" s="6">
        <f t="shared" si="172"/>
        <v>0</v>
      </c>
      <c r="AB62" s="421">
        <f t="shared" si="170"/>
        <v>0</v>
      </c>
      <c r="AC62" s="6">
        <f t="shared" ref="AC62:AD62" si="173">SUM(AC63:AC64)</f>
        <v>0</v>
      </c>
      <c r="AD62" s="6">
        <f t="shared" si="173"/>
        <v>0</v>
      </c>
      <c r="AE62" s="6">
        <f t="shared" ref="AE62:AF62" si="174">SUM(AE63:AE64)</f>
        <v>0</v>
      </c>
      <c r="AF62" s="6">
        <f t="shared" si="174"/>
        <v>0</v>
      </c>
      <c r="AG62" s="421">
        <f t="shared" si="170"/>
        <v>0</v>
      </c>
      <c r="AH62" s="6">
        <f t="shared" ref="AH62:AI62" si="175">SUM(AH63:AH64)</f>
        <v>0</v>
      </c>
      <c r="AI62" s="6">
        <f t="shared" si="175"/>
        <v>0</v>
      </c>
      <c r="AJ62" s="6">
        <f t="shared" ref="AJ62:AK62" si="176">SUM(AJ63:AJ64)</f>
        <v>0</v>
      </c>
      <c r="AK62" s="6">
        <f t="shared" si="176"/>
        <v>0</v>
      </c>
      <c r="AL62" s="421">
        <f t="shared" si="170"/>
        <v>0</v>
      </c>
      <c r="AM62" s="6">
        <f t="shared" ref="AM62:AN62" si="177">SUM(AM63:AM64)</f>
        <v>0</v>
      </c>
      <c r="AN62" s="6">
        <f t="shared" si="177"/>
        <v>0</v>
      </c>
      <c r="AO62" s="6">
        <f t="shared" ref="AO62:AS62" si="178">SUM(AO63:AO64)</f>
        <v>0</v>
      </c>
      <c r="AP62" s="6">
        <f t="shared" si="178"/>
        <v>0</v>
      </c>
      <c r="AQ62" s="421">
        <f t="shared" si="178"/>
        <v>0</v>
      </c>
      <c r="AR62" s="6">
        <f t="shared" si="178"/>
        <v>0</v>
      </c>
      <c r="AS62" s="6">
        <f t="shared" si="178"/>
        <v>0</v>
      </c>
      <c r="AT62" s="6">
        <f t="shared" ref="AT62:AU62" si="179">SUM(AT63:AT64)</f>
        <v>0</v>
      </c>
      <c r="AU62" s="6">
        <f t="shared" si="179"/>
        <v>0</v>
      </c>
      <c r="AV62" s="421">
        <f t="shared" ref="AV62:AW66" si="180">C62+H62+M62+R62+W62+AB62+AG62+AL62+AQ62</f>
        <v>269</v>
      </c>
      <c r="AW62" s="6">
        <f t="shared" si="180"/>
        <v>300</v>
      </c>
      <c r="AX62" s="6">
        <f t="shared" ref="AX62:AZ63" si="181">E62+J62+O62+T62+Y62+AD62+AI62+AN62+AS62</f>
        <v>300</v>
      </c>
      <c r="AY62" s="6">
        <f t="shared" si="181"/>
        <v>0</v>
      </c>
      <c r="AZ62" s="6">
        <f t="shared" si="181"/>
        <v>0</v>
      </c>
      <c r="BA62" s="182"/>
    </row>
    <row r="63" spans="1:55" ht="13.5" customHeight="1" x14ac:dyDescent="0.2">
      <c r="A63" s="60" t="s">
        <v>252</v>
      </c>
      <c r="B63" s="8" t="s">
        <v>274</v>
      </c>
      <c r="C63" s="275"/>
      <c r="D63" s="10"/>
      <c r="E63" s="10"/>
      <c r="F63" s="10"/>
      <c r="G63" s="10"/>
      <c r="H63" s="275"/>
      <c r="I63" s="10"/>
      <c r="J63" s="10"/>
      <c r="K63" s="10"/>
      <c r="L63" s="10"/>
      <c r="M63" s="275"/>
      <c r="N63" s="10"/>
      <c r="O63" s="10"/>
      <c r="P63" s="10"/>
      <c r="Q63" s="10"/>
      <c r="R63" s="275"/>
      <c r="S63" s="10"/>
      <c r="T63" s="10"/>
      <c r="U63" s="10"/>
      <c r="V63" s="10"/>
      <c r="W63" s="275"/>
      <c r="X63" s="10"/>
      <c r="Y63" s="10"/>
      <c r="Z63" s="10"/>
      <c r="AA63" s="10"/>
      <c r="AB63" s="275"/>
      <c r="AC63" s="10"/>
      <c r="AD63" s="10"/>
      <c r="AE63" s="10"/>
      <c r="AF63" s="10"/>
      <c r="AG63" s="275"/>
      <c r="AH63" s="10"/>
      <c r="AI63" s="10"/>
      <c r="AJ63" s="10"/>
      <c r="AK63" s="10"/>
      <c r="AL63" s="275"/>
      <c r="AM63" s="10"/>
      <c r="AN63" s="10"/>
      <c r="AO63" s="10"/>
      <c r="AP63" s="10"/>
      <c r="AQ63" s="275"/>
      <c r="AR63" s="10"/>
      <c r="AS63" s="10"/>
      <c r="AT63" s="10"/>
      <c r="AU63" s="10"/>
      <c r="AV63" s="275">
        <f t="shared" si="180"/>
        <v>0</v>
      </c>
      <c r="AW63" s="10">
        <f t="shared" si="180"/>
        <v>0</v>
      </c>
      <c r="AX63" s="10">
        <f t="shared" si="181"/>
        <v>0</v>
      </c>
      <c r="AY63" s="10">
        <f t="shared" si="181"/>
        <v>0</v>
      </c>
      <c r="AZ63" s="10">
        <f t="shared" si="181"/>
        <v>0</v>
      </c>
      <c r="BA63" s="182"/>
    </row>
    <row r="64" spans="1:55" ht="13.5" customHeight="1" x14ac:dyDescent="0.2">
      <c r="A64" s="60" t="s">
        <v>253</v>
      </c>
      <c r="B64" s="8" t="s">
        <v>580</v>
      </c>
      <c r="C64" s="275">
        <v>19</v>
      </c>
      <c r="D64" s="10">
        <v>50</v>
      </c>
      <c r="E64" s="10">
        <v>50</v>
      </c>
      <c r="F64" s="10">
        <f>50-50</f>
        <v>0</v>
      </c>
      <c r="G64" s="10">
        <v>0</v>
      </c>
      <c r="H64" s="275">
        <v>250</v>
      </c>
      <c r="I64" s="10">
        <v>250</v>
      </c>
      <c r="J64" s="10">
        <v>250</v>
      </c>
      <c r="K64" s="10">
        <f>250-120-130</f>
        <v>0</v>
      </c>
      <c r="L64" s="10">
        <v>0</v>
      </c>
      <c r="M64" s="275"/>
      <c r="N64" s="10"/>
      <c r="O64" s="10"/>
      <c r="P64" s="10"/>
      <c r="Q64" s="10"/>
      <c r="R64" s="275"/>
      <c r="S64" s="10"/>
      <c r="T64" s="10"/>
      <c r="U64" s="10"/>
      <c r="V64" s="10"/>
      <c r="W64" s="275"/>
      <c r="X64" s="10"/>
      <c r="Y64" s="10"/>
      <c r="Z64" s="10"/>
      <c r="AA64" s="10"/>
      <c r="AB64" s="275"/>
      <c r="AC64" s="10"/>
      <c r="AD64" s="10"/>
      <c r="AE64" s="10"/>
      <c r="AF64" s="10"/>
      <c r="AG64" s="275"/>
      <c r="AH64" s="10"/>
      <c r="AI64" s="10"/>
      <c r="AJ64" s="10"/>
      <c r="AK64" s="10"/>
      <c r="AL64" s="275"/>
      <c r="AM64" s="10"/>
      <c r="AN64" s="10"/>
      <c r="AO64" s="10"/>
      <c r="AP64" s="10"/>
      <c r="AQ64" s="275"/>
      <c r="AR64" s="10"/>
      <c r="AS64" s="10"/>
      <c r="AT64" s="10"/>
      <c r="AU64" s="10"/>
      <c r="AV64" s="275">
        <f t="shared" si="180"/>
        <v>269</v>
      </c>
      <c r="AW64" s="10">
        <f t="shared" si="180"/>
        <v>300</v>
      </c>
      <c r="AX64" s="10">
        <f t="shared" ref="AX64:AX66" si="182">E64+J64+O64+T64+Y64+AD64+AI64+AN64+AS64</f>
        <v>300</v>
      </c>
      <c r="AY64" s="10">
        <f t="shared" ref="AY64:AY66" si="183">F64+K64+P64+U64+Z64+AE64+AJ64+AO64+AT64</f>
        <v>0</v>
      </c>
      <c r="AZ64" s="10">
        <f t="shared" ref="AZ64:AZ66" si="184">G64+L64+Q64+V64+AA64+AF64+AK64+AP64+AU64</f>
        <v>0</v>
      </c>
      <c r="BA64" s="182"/>
    </row>
    <row r="65" spans="1:54" ht="13.5" customHeight="1" x14ac:dyDescent="0.2">
      <c r="A65" s="75" t="s">
        <v>254</v>
      </c>
      <c r="B65" s="13" t="s">
        <v>237</v>
      </c>
      <c r="C65" s="421">
        <f t="shared" ref="C65:T65" si="185">SUM(C66:C72)</f>
        <v>888</v>
      </c>
      <c r="D65" s="6">
        <f t="shared" si="185"/>
        <v>1819</v>
      </c>
      <c r="E65" s="6">
        <f t="shared" si="185"/>
        <v>1849</v>
      </c>
      <c r="F65" s="6">
        <f t="shared" ref="F65:G65" si="186">SUM(F66:F72)</f>
        <v>1864</v>
      </c>
      <c r="G65" s="6">
        <f t="shared" si="186"/>
        <v>1263</v>
      </c>
      <c r="H65" s="421">
        <f t="shared" si="185"/>
        <v>2314</v>
      </c>
      <c r="I65" s="6">
        <f t="shared" si="185"/>
        <v>2282</v>
      </c>
      <c r="J65" s="6">
        <f t="shared" si="185"/>
        <v>2282</v>
      </c>
      <c r="K65" s="6">
        <f t="shared" ref="K65:L65" si="187">SUM(K66:K72)</f>
        <v>2164</v>
      </c>
      <c r="L65" s="6">
        <f t="shared" si="187"/>
        <v>1614</v>
      </c>
      <c r="M65" s="421">
        <f t="shared" si="185"/>
        <v>278</v>
      </c>
      <c r="N65" s="6">
        <f t="shared" si="185"/>
        <v>450</v>
      </c>
      <c r="O65" s="6">
        <f t="shared" si="185"/>
        <v>450</v>
      </c>
      <c r="P65" s="6">
        <f t="shared" ref="P65:Q65" si="188">SUM(P66:P72)</f>
        <v>435</v>
      </c>
      <c r="Q65" s="6">
        <f t="shared" si="188"/>
        <v>390</v>
      </c>
      <c r="R65" s="421">
        <f t="shared" si="185"/>
        <v>124</v>
      </c>
      <c r="S65" s="6">
        <f t="shared" si="185"/>
        <v>92</v>
      </c>
      <c r="T65" s="6">
        <f t="shared" si="185"/>
        <v>92</v>
      </c>
      <c r="U65" s="6">
        <f t="shared" ref="U65:V65" si="189">SUM(U66:U72)</f>
        <v>285</v>
      </c>
      <c r="V65" s="6">
        <f t="shared" si="189"/>
        <v>273</v>
      </c>
      <c r="W65" s="421">
        <f t="shared" ref="W65:AL65" si="190">SUM(W66:W72)</f>
        <v>526</v>
      </c>
      <c r="X65" s="6">
        <f t="shared" ref="X65:Y65" si="191">SUM(X66:X72)</f>
        <v>1003</v>
      </c>
      <c r="Y65" s="6">
        <f t="shared" si="191"/>
        <v>1003</v>
      </c>
      <c r="Z65" s="6">
        <f t="shared" ref="Z65:AA65" si="192">SUM(Z66:Z72)</f>
        <v>1003</v>
      </c>
      <c r="AA65" s="6">
        <f t="shared" si="192"/>
        <v>599</v>
      </c>
      <c r="AB65" s="421">
        <f t="shared" si="190"/>
        <v>1235</v>
      </c>
      <c r="AC65" s="6">
        <f t="shared" ref="AC65:AD65" si="193">SUM(AC66:AC72)</f>
        <v>1296</v>
      </c>
      <c r="AD65" s="6">
        <f t="shared" si="193"/>
        <v>1106</v>
      </c>
      <c r="AE65" s="6">
        <f t="shared" ref="AE65:AF65" si="194">SUM(AE66:AE72)</f>
        <v>1092</v>
      </c>
      <c r="AF65" s="6">
        <f t="shared" si="194"/>
        <v>953</v>
      </c>
      <c r="AG65" s="421">
        <f t="shared" si="190"/>
        <v>723</v>
      </c>
      <c r="AH65" s="6">
        <f t="shared" ref="AH65:AI65" si="195">SUM(AH66:AH72)</f>
        <v>758</v>
      </c>
      <c r="AI65" s="6">
        <f t="shared" si="195"/>
        <v>758</v>
      </c>
      <c r="AJ65" s="6">
        <f t="shared" ref="AJ65:AK65" si="196">SUM(AJ66:AJ72)</f>
        <v>649</v>
      </c>
      <c r="AK65" s="6">
        <f t="shared" si="196"/>
        <v>435</v>
      </c>
      <c r="AL65" s="421">
        <f t="shared" si="190"/>
        <v>434</v>
      </c>
      <c r="AM65" s="6">
        <f t="shared" ref="AM65:AN65" si="197">SUM(AM66:AM72)</f>
        <v>616</v>
      </c>
      <c r="AN65" s="6">
        <f t="shared" si="197"/>
        <v>616</v>
      </c>
      <c r="AO65" s="6">
        <f t="shared" ref="AO65:AS65" si="198">SUM(AO66:AO72)</f>
        <v>650</v>
      </c>
      <c r="AP65" s="6">
        <f t="shared" si="198"/>
        <v>570</v>
      </c>
      <c r="AQ65" s="421">
        <f t="shared" si="198"/>
        <v>0</v>
      </c>
      <c r="AR65" s="6">
        <f t="shared" si="198"/>
        <v>0</v>
      </c>
      <c r="AS65" s="6">
        <f t="shared" si="198"/>
        <v>0</v>
      </c>
      <c r="AT65" s="6">
        <f t="shared" ref="AT65:AU65" si="199">SUM(AT66:AT72)</f>
        <v>14</v>
      </c>
      <c r="AU65" s="6">
        <f t="shared" si="199"/>
        <v>14</v>
      </c>
      <c r="AV65" s="421">
        <f t="shared" si="180"/>
        <v>6522</v>
      </c>
      <c r="AW65" s="6">
        <f t="shared" si="180"/>
        <v>8316</v>
      </c>
      <c r="AX65" s="6">
        <f t="shared" si="182"/>
        <v>8156</v>
      </c>
      <c r="AY65" s="6">
        <f t="shared" si="183"/>
        <v>8156</v>
      </c>
      <c r="AZ65" s="6">
        <f t="shared" si="184"/>
        <v>6111</v>
      </c>
      <c r="BA65" s="182"/>
    </row>
    <row r="66" spans="1:54" ht="13.5" customHeight="1" x14ac:dyDescent="0.2">
      <c r="A66" s="60" t="s">
        <v>255</v>
      </c>
      <c r="B66" s="8" t="s">
        <v>264</v>
      </c>
      <c r="C66" s="275">
        <v>667</v>
      </c>
      <c r="D66" s="10">
        <v>1392</v>
      </c>
      <c r="E66" s="10">
        <f>1392+6</f>
        <v>1398</v>
      </c>
      <c r="F66" s="10">
        <f>1392+6</f>
        <v>1398</v>
      </c>
      <c r="G66" s="10">
        <v>848</v>
      </c>
      <c r="H66" s="275">
        <v>2148</v>
      </c>
      <c r="I66" s="10">
        <v>2212</v>
      </c>
      <c r="J66" s="10">
        <v>2212</v>
      </c>
      <c r="K66" s="10">
        <f>2212-118</f>
        <v>2094</v>
      </c>
      <c r="L66" s="10">
        <v>1582</v>
      </c>
      <c r="M66" s="275">
        <v>260</v>
      </c>
      <c r="N66" s="10">
        <v>400</v>
      </c>
      <c r="O66" s="10">
        <v>400</v>
      </c>
      <c r="P66" s="10">
        <v>400</v>
      </c>
      <c r="Q66" s="10">
        <v>359</v>
      </c>
      <c r="R66" s="275">
        <v>124</v>
      </c>
      <c r="S66" s="10">
        <v>92</v>
      </c>
      <c r="T66" s="10">
        <v>92</v>
      </c>
      <c r="U66" s="10">
        <f>92+118</f>
        <v>210</v>
      </c>
      <c r="V66" s="10">
        <v>198</v>
      </c>
      <c r="W66" s="275">
        <v>526</v>
      </c>
      <c r="X66" s="10">
        <v>1003</v>
      </c>
      <c r="Y66" s="10">
        <v>1003</v>
      </c>
      <c r="Z66" s="10">
        <v>1003</v>
      </c>
      <c r="AA66" s="10">
        <v>599</v>
      </c>
      <c r="AB66" s="275">
        <v>1235</v>
      </c>
      <c r="AC66" s="10">
        <v>1296</v>
      </c>
      <c r="AD66" s="10">
        <f>1296-190</f>
        <v>1106</v>
      </c>
      <c r="AE66" s="10">
        <f>1296-190-14</f>
        <v>1092</v>
      </c>
      <c r="AF66" s="10">
        <v>953</v>
      </c>
      <c r="AG66" s="275">
        <f>583+16</f>
        <v>599</v>
      </c>
      <c r="AH66" s="10">
        <f>543+35</f>
        <v>578</v>
      </c>
      <c r="AI66" s="10">
        <f>543+35</f>
        <v>578</v>
      </c>
      <c r="AJ66" s="10">
        <f>543+35</f>
        <v>578</v>
      </c>
      <c r="AK66" s="10">
        <v>373</v>
      </c>
      <c r="AL66" s="275">
        <v>434</v>
      </c>
      <c r="AM66" s="10">
        <v>616</v>
      </c>
      <c r="AN66" s="10">
        <v>616</v>
      </c>
      <c r="AO66" s="10">
        <v>616</v>
      </c>
      <c r="AP66" s="10">
        <v>536</v>
      </c>
      <c r="AQ66" s="275">
        <v>0</v>
      </c>
      <c r="AR66" s="10">
        <v>0</v>
      </c>
      <c r="AS66" s="10">
        <v>0</v>
      </c>
      <c r="AT66" s="10">
        <v>14</v>
      </c>
      <c r="AU66" s="10">
        <v>14</v>
      </c>
      <c r="AV66" s="275">
        <f t="shared" si="180"/>
        <v>5993</v>
      </c>
      <c r="AW66" s="10">
        <f t="shared" si="180"/>
        <v>7589</v>
      </c>
      <c r="AX66" s="10">
        <f t="shared" si="182"/>
        <v>7405</v>
      </c>
      <c r="AY66" s="10">
        <f t="shared" si="183"/>
        <v>7405</v>
      </c>
      <c r="AZ66" s="10">
        <f t="shared" si="184"/>
        <v>5462</v>
      </c>
      <c r="BA66" s="182"/>
      <c r="BB66" s="354"/>
    </row>
    <row r="67" spans="1:54" ht="13.5" customHeight="1" x14ac:dyDescent="0.2">
      <c r="A67" s="60" t="s">
        <v>256</v>
      </c>
      <c r="B67" s="8" t="s">
        <v>265</v>
      </c>
      <c r="C67" s="275"/>
      <c r="D67" s="10"/>
      <c r="E67" s="10"/>
      <c r="F67" s="10"/>
      <c r="G67" s="10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10"/>
      <c r="Y67" s="10"/>
      <c r="Z67" s="10"/>
      <c r="AA67" s="10"/>
      <c r="AB67" s="275"/>
      <c r="AC67" s="10"/>
      <c r="AD67" s="10"/>
      <c r="AE67" s="10"/>
      <c r="AF67" s="10"/>
      <c r="AG67" s="275"/>
      <c r="AH67" s="10"/>
      <c r="AI67" s="10"/>
      <c r="AJ67" s="10"/>
      <c r="AK67" s="10"/>
      <c r="AL67" s="275"/>
      <c r="AM67" s="10"/>
      <c r="AN67" s="10"/>
      <c r="AO67" s="10"/>
      <c r="AP67" s="10"/>
      <c r="AQ67" s="275"/>
      <c r="AR67" s="10"/>
      <c r="AS67" s="10"/>
      <c r="AT67" s="10"/>
      <c r="AU67" s="10"/>
      <c r="AV67" s="275">
        <f t="shared" ref="AV67:AV70" si="200">C67+H67+M67+R67+W67+AB67+AG67+AL67+AQ67</f>
        <v>0</v>
      </c>
      <c r="AW67" s="10">
        <f t="shared" ref="AW67:AW70" si="201">D67+I67+N67+S67+X67+AC67+AH67+AM67+AR67</f>
        <v>0</v>
      </c>
      <c r="AX67" s="10">
        <f t="shared" ref="AX67:AX70" si="202">E67+J67+O67+T67+Y67+AD67+AI67+AN67+AS67</f>
        <v>0</v>
      </c>
      <c r="AY67" s="10">
        <f t="shared" ref="AY67:AY70" si="203">F67+K67+P67+U67+Z67+AE67+AJ67+AO67+AT67</f>
        <v>0</v>
      </c>
      <c r="AZ67" s="10">
        <f t="shared" ref="AZ67:AZ70" si="204">G67+L67+Q67+V67+AA67+AF67+AK67+AP67+AU67</f>
        <v>0</v>
      </c>
      <c r="BA67" s="182"/>
    </row>
    <row r="68" spans="1:54" ht="13.5" customHeight="1" x14ac:dyDescent="0.2">
      <c r="A68" s="60" t="s">
        <v>257</v>
      </c>
      <c r="B68" s="8" t="s">
        <v>266</v>
      </c>
      <c r="C68" s="275">
        <v>70</v>
      </c>
      <c r="D68" s="10">
        <v>50</v>
      </c>
      <c r="E68" s="10">
        <v>50</v>
      </c>
      <c r="F68" s="10">
        <v>50</v>
      </c>
      <c r="G68" s="10">
        <v>1</v>
      </c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10"/>
      <c r="Y68" s="10"/>
      <c r="Z68" s="10"/>
      <c r="AA68" s="10"/>
      <c r="AB68" s="275"/>
      <c r="AC68" s="10"/>
      <c r="AD68" s="10"/>
      <c r="AE68" s="10"/>
      <c r="AF68" s="10"/>
      <c r="AG68" s="275"/>
      <c r="AH68" s="10"/>
      <c r="AI68" s="10"/>
      <c r="AJ68" s="10"/>
      <c r="AK68" s="10"/>
      <c r="AL68" s="275"/>
      <c r="AM68" s="10"/>
      <c r="AN68" s="10"/>
      <c r="AO68" s="10"/>
      <c r="AP68" s="10"/>
      <c r="AQ68" s="275"/>
      <c r="AR68" s="10"/>
      <c r="AS68" s="10"/>
      <c r="AT68" s="10"/>
      <c r="AU68" s="10"/>
      <c r="AV68" s="275">
        <f t="shared" si="200"/>
        <v>70</v>
      </c>
      <c r="AW68" s="10">
        <f t="shared" si="201"/>
        <v>50</v>
      </c>
      <c r="AX68" s="10">
        <f t="shared" si="202"/>
        <v>50</v>
      </c>
      <c r="AY68" s="10">
        <f t="shared" si="203"/>
        <v>50</v>
      </c>
      <c r="AZ68" s="10">
        <f t="shared" si="204"/>
        <v>1</v>
      </c>
      <c r="BA68" s="182"/>
    </row>
    <row r="69" spans="1:54" ht="13.5" hidden="1" customHeight="1" x14ac:dyDescent="0.2">
      <c r="A69" s="60" t="s">
        <v>258</v>
      </c>
      <c r="B69" s="8" t="s">
        <v>267</v>
      </c>
      <c r="C69" s="275"/>
      <c r="D69" s="10"/>
      <c r="E69" s="10"/>
      <c r="F69" s="10"/>
      <c r="G69" s="10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10"/>
      <c r="Y69" s="10"/>
      <c r="Z69" s="10"/>
      <c r="AA69" s="10"/>
      <c r="AB69" s="275"/>
      <c r="AC69" s="10"/>
      <c r="AD69" s="10"/>
      <c r="AE69" s="10"/>
      <c r="AF69" s="10"/>
      <c r="AG69" s="275"/>
      <c r="AH69" s="10"/>
      <c r="AI69" s="10"/>
      <c r="AJ69" s="10"/>
      <c r="AK69" s="10"/>
      <c r="AL69" s="275"/>
      <c r="AM69" s="10"/>
      <c r="AN69" s="10"/>
      <c r="AO69" s="10"/>
      <c r="AP69" s="10"/>
      <c r="AQ69" s="275"/>
      <c r="AR69" s="10"/>
      <c r="AS69" s="10"/>
      <c r="AT69" s="10"/>
      <c r="AU69" s="10"/>
      <c r="AV69" s="275">
        <f t="shared" si="200"/>
        <v>0</v>
      </c>
      <c r="AW69" s="10">
        <f t="shared" si="201"/>
        <v>0</v>
      </c>
      <c r="AX69" s="10">
        <f t="shared" si="202"/>
        <v>0</v>
      </c>
      <c r="AY69" s="10">
        <f t="shared" si="203"/>
        <v>0</v>
      </c>
      <c r="AZ69" s="10">
        <f t="shared" si="204"/>
        <v>0</v>
      </c>
      <c r="BA69" s="182"/>
    </row>
    <row r="70" spans="1:54" ht="13.5" customHeight="1" x14ac:dyDescent="0.2">
      <c r="A70" s="60" t="s">
        <v>259</v>
      </c>
      <c r="B70" s="8" t="s">
        <v>41</v>
      </c>
      <c r="C70" s="275">
        <v>151</v>
      </c>
      <c r="D70" s="10">
        <f>150+227</f>
        <v>377</v>
      </c>
      <c r="E70" s="10">
        <f>150+227+24</f>
        <v>401</v>
      </c>
      <c r="F70" s="10">
        <f>150+227+24+15</f>
        <v>416</v>
      </c>
      <c r="G70" s="10">
        <v>414</v>
      </c>
      <c r="H70" s="275">
        <v>166</v>
      </c>
      <c r="I70" s="10">
        <v>70</v>
      </c>
      <c r="J70" s="10">
        <v>70</v>
      </c>
      <c r="K70" s="10">
        <v>70</v>
      </c>
      <c r="L70" s="10">
        <v>32</v>
      </c>
      <c r="M70" s="413">
        <v>18</v>
      </c>
      <c r="N70" s="12">
        <v>50</v>
      </c>
      <c r="O70" s="12">
        <v>50</v>
      </c>
      <c r="P70" s="12">
        <f>50-15</f>
        <v>35</v>
      </c>
      <c r="Q70" s="12">
        <v>31</v>
      </c>
      <c r="R70" s="275">
        <v>0</v>
      </c>
      <c r="S70" s="10">
        <v>0</v>
      </c>
      <c r="T70" s="10">
        <v>0</v>
      </c>
      <c r="U70" s="10">
        <v>75</v>
      </c>
      <c r="V70" s="10">
        <v>75</v>
      </c>
      <c r="W70" s="275"/>
      <c r="X70" s="10"/>
      <c r="Y70" s="10"/>
      <c r="Z70" s="10"/>
      <c r="AA70" s="10"/>
      <c r="AB70" s="275"/>
      <c r="AC70" s="10"/>
      <c r="AD70" s="10"/>
      <c r="AE70" s="10"/>
      <c r="AF70" s="10"/>
      <c r="AG70" s="275">
        <v>124</v>
      </c>
      <c r="AH70" s="10">
        <v>180</v>
      </c>
      <c r="AI70" s="10">
        <v>180</v>
      </c>
      <c r="AJ70" s="10">
        <f>180-34-75</f>
        <v>71</v>
      </c>
      <c r="AK70" s="10">
        <v>62</v>
      </c>
      <c r="AL70" s="275">
        <v>0</v>
      </c>
      <c r="AM70" s="10">
        <v>0</v>
      </c>
      <c r="AN70" s="10">
        <v>0</v>
      </c>
      <c r="AO70" s="10">
        <v>34</v>
      </c>
      <c r="AP70" s="10">
        <v>34</v>
      </c>
      <c r="AQ70" s="275"/>
      <c r="AR70" s="10"/>
      <c r="AS70" s="10"/>
      <c r="AT70" s="10"/>
      <c r="AU70" s="10"/>
      <c r="AV70" s="275">
        <f t="shared" si="200"/>
        <v>459</v>
      </c>
      <c r="AW70" s="10">
        <f t="shared" si="201"/>
        <v>677</v>
      </c>
      <c r="AX70" s="10">
        <f t="shared" si="202"/>
        <v>701</v>
      </c>
      <c r="AY70" s="10">
        <f t="shared" si="203"/>
        <v>701</v>
      </c>
      <c r="AZ70" s="10">
        <f t="shared" si="204"/>
        <v>648</v>
      </c>
      <c r="BA70" s="182"/>
    </row>
    <row r="71" spans="1:54" ht="13.5" hidden="1" customHeight="1" x14ac:dyDescent="0.2">
      <c r="A71" s="60"/>
      <c r="B71" s="8" t="s">
        <v>513</v>
      </c>
      <c r="C71" s="275"/>
      <c r="D71" s="10"/>
      <c r="E71" s="10"/>
      <c r="F71" s="10"/>
      <c r="G71" s="10"/>
      <c r="H71" s="275"/>
      <c r="I71" s="10"/>
      <c r="J71" s="10"/>
      <c r="K71" s="10"/>
      <c r="L71" s="10"/>
      <c r="M71" s="275"/>
      <c r="N71" s="10"/>
      <c r="O71" s="10"/>
      <c r="P71" s="10"/>
      <c r="Q71" s="10"/>
      <c r="R71" s="275"/>
      <c r="S71" s="10"/>
      <c r="T71" s="10"/>
      <c r="U71" s="10"/>
      <c r="V71" s="10"/>
      <c r="W71" s="275"/>
      <c r="X71" s="10"/>
      <c r="Y71" s="10"/>
      <c r="Z71" s="10"/>
      <c r="AA71" s="10"/>
      <c r="AB71" s="275"/>
      <c r="AC71" s="10"/>
      <c r="AD71" s="10"/>
      <c r="AE71" s="10"/>
      <c r="AF71" s="10"/>
      <c r="AG71" s="275"/>
      <c r="AH71" s="10"/>
      <c r="AI71" s="10"/>
      <c r="AJ71" s="10"/>
      <c r="AK71" s="10"/>
      <c r="AL71" s="275"/>
      <c r="AM71" s="10"/>
      <c r="AN71" s="10"/>
      <c r="AO71" s="10"/>
      <c r="AP71" s="10"/>
      <c r="AQ71" s="275"/>
      <c r="AR71" s="10"/>
      <c r="AS71" s="10"/>
      <c r="AT71" s="10"/>
      <c r="AU71" s="10"/>
      <c r="AV71" s="275">
        <f t="shared" si="117"/>
        <v>0</v>
      </c>
      <c r="AW71" s="10">
        <f t="shared" si="118"/>
        <v>0</v>
      </c>
      <c r="AX71" s="10">
        <f t="shared" si="119"/>
        <v>0</v>
      </c>
      <c r="AY71" s="10">
        <f t="shared" si="120"/>
        <v>0</v>
      </c>
      <c r="AZ71" s="10">
        <f t="shared" si="121"/>
        <v>0</v>
      </c>
      <c r="BA71" s="182"/>
    </row>
    <row r="72" spans="1:54" ht="13.5" hidden="1" customHeight="1" x14ac:dyDescent="0.2">
      <c r="A72" s="60"/>
      <c r="B72" s="8" t="s">
        <v>286</v>
      </c>
      <c r="C72" s="446"/>
      <c r="D72" s="352"/>
      <c r="E72" s="352"/>
      <c r="F72" s="352"/>
      <c r="G72" s="352"/>
      <c r="H72" s="413"/>
      <c r="I72" s="12"/>
      <c r="J72" s="12"/>
      <c r="K72" s="12"/>
      <c r="L72" s="12"/>
      <c r="M72" s="446"/>
      <c r="N72" s="352"/>
      <c r="O72" s="352"/>
      <c r="P72" s="352"/>
      <c r="Q72" s="352"/>
      <c r="R72" s="413"/>
      <c r="S72" s="12"/>
      <c r="T72" s="12"/>
      <c r="U72" s="12"/>
      <c r="V72" s="12"/>
      <c r="W72" s="413"/>
      <c r="X72" s="12"/>
      <c r="Y72" s="12"/>
      <c r="Z72" s="12"/>
      <c r="AA72" s="12"/>
      <c r="AB72" s="413"/>
      <c r="AC72" s="12"/>
      <c r="AD72" s="12"/>
      <c r="AE72" s="12"/>
      <c r="AF72" s="12"/>
      <c r="AG72" s="446"/>
      <c r="AH72" s="352"/>
      <c r="AI72" s="352"/>
      <c r="AJ72" s="352"/>
      <c r="AK72" s="352"/>
      <c r="AL72" s="275"/>
      <c r="AM72" s="10"/>
      <c r="AN72" s="10"/>
      <c r="AO72" s="10"/>
      <c r="AP72" s="10"/>
      <c r="AQ72" s="275"/>
      <c r="AR72" s="10"/>
      <c r="AS72" s="10"/>
      <c r="AT72" s="10"/>
      <c r="AU72" s="10"/>
      <c r="AV72" s="275">
        <f t="shared" si="117"/>
        <v>0</v>
      </c>
      <c r="AW72" s="10">
        <f t="shared" si="118"/>
        <v>0</v>
      </c>
      <c r="AX72" s="10">
        <f t="shared" si="119"/>
        <v>0</v>
      </c>
      <c r="AY72" s="10">
        <f t="shared" si="120"/>
        <v>0</v>
      </c>
      <c r="AZ72" s="10">
        <f t="shared" si="121"/>
        <v>0</v>
      </c>
      <c r="BA72" s="182"/>
    </row>
    <row r="73" spans="1:54" ht="13.5" customHeight="1" x14ac:dyDescent="0.2">
      <c r="A73" s="75" t="s">
        <v>269</v>
      </c>
      <c r="B73" s="123" t="s">
        <v>28</v>
      </c>
      <c r="C73" s="445">
        <f t="shared" ref="C73:AL73" si="205">SUM(C28+C37+C40+C62+C65)</f>
        <v>5171</v>
      </c>
      <c r="D73" s="171">
        <f t="shared" ref="D73:E73" si="206">SUM(D28+D37+D40+D62+D65)</f>
        <v>8539</v>
      </c>
      <c r="E73" s="171">
        <f t="shared" si="206"/>
        <v>9455</v>
      </c>
      <c r="F73" s="171">
        <f t="shared" ref="F73:G73" si="207">SUM(F28+F37+F40+F62+F65)</f>
        <v>9470</v>
      </c>
      <c r="G73" s="171">
        <f t="shared" si="207"/>
        <v>7567</v>
      </c>
      <c r="H73" s="445">
        <f t="shared" si="205"/>
        <v>11315</v>
      </c>
      <c r="I73" s="171">
        <f t="shared" ref="I73:J73" si="208">SUM(I28+I37+I40+I62+I65)</f>
        <v>10496</v>
      </c>
      <c r="J73" s="171">
        <f t="shared" si="208"/>
        <v>11223</v>
      </c>
      <c r="K73" s="171">
        <f t="shared" ref="K73:L73" si="209">SUM(K28+K37+K40+K62+K65)</f>
        <v>12023</v>
      </c>
      <c r="L73" s="171">
        <f t="shared" si="209"/>
        <v>8603</v>
      </c>
      <c r="M73" s="445">
        <f t="shared" si="205"/>
        <v>1589</v>
      </c>
      <c r="N73" s="171">
        <f t="shared" ref="N73:O73" si="210">SUM(N28+N37+N40+N62+N65)</f>
        <v>2127</v>
      </c>
      <c r="O73" s="171">
        <f t="shared" si="210"/>
        <v>2177</v>
      </c>
      <c r="P73" s="171">
        <f t="shared" ref="P73:Q73" si="211">SUM(P28+P37+P40+P62+P65)</f>
        <v>2319</v>
      </c>
      <c r="Q73" s="171">
        <f t="shared" si="211"/>
        <v>1967</v>
      </c>
      <c r="R73" s="445">
        <f t="shared" si="205"/>
        <v>588</v>
      </c>
      <c r="S73" s="171">
        <f t="shared" ref="S73:T73" si="212">SUM(S28+S37+S40+S62+S65)</f>
        <v>432</v>
      </c>
      <c r="T73" s="171">
        <f t="shared" si="212"/>
        <v>1032</v>
      </c>
      <c r="U73" s="171">
        <f t="shared" ref="U73:V73" si="213">SUM(U28+U37+U40+U62+U65)</f>
        <v>1615</v>
      </c>
      <c r="V73" s="171">
        <f t="shared" si="213"/>
        <v>1266</v>
      </c>
      <c r="W73" s="445">
        <f t="shared" si="205"/>
        <v>2564</v>
      </c>
      <c r="X73" s="171">
        <f t="shared" ref="X73:Y73" si="214">SUM(X28+X37+X40+X62+X65)</f>
        <v>4718</v>
      </c>
      <c r="Y73" s="171">
        <f t="shared" si="214"/>
        <v>4298</v>
      </c>
      <c r="Z73" s="171">
        <f t="shared" ref="Z73:AA73" si="215">SUM(Z28+Z37+Z40+Z62+Z65)</f>
        <v>4248</v>
      </c>
      <c r="AA73" s="171">
        <f t="shared" si="215"/>
        <v>2925</v>
      </c>
      <c r="AB73" s="445">
        <f t="shared" si="205"/>
        <v>5810</v>
      </c>
      <c r="AC73" s="171">
        <f t="shared" ref="AC73:AD73" si="216">SUM(AC28+AC37+AC40+AC62+AC65)</f>
        <v>6096</v>
      </c>
      <c r="AD73" s="171">
        <f t="shared" si="216"/>
        <v>4951</v>
      </c>
      <c r="AE73" s="171">
        <f t="shared" ref="AE73:AF73" si="217">SUM(AE28+AE37+AE40+AE62+AE65)</f>
        <v>4937</v>
      </c>
      <c r="AF73" s="171">
        <f t="shared" si="217"/>
        <v>4484</v>
      </c>
      <c r="AG73" s="445">
        <f t="shared" si="205"/>
        <v>3237</v>
      </c>
      <c r="AH73" s="171">
        <f t="shared" ref="AH73:AI73" si="218">SUM(AH28+AH37+AH40+AH62+AH65)</f>
        <v>2418</v>
      </c>
      <c r="AI73" s="171">
        <f t="shared" si="218"/>
        <v>2708</v>
      </c>
      <c r="AJ73" s="171">
        <f t="shared" ref="AJ73:AK73" si="219">SUM(AJ28+AJ37+AJ40+AJ62+AJ65)</f>
        <v>2731</v>
      </c>
      <c r="AK73" s="171">
        <f t="shared" si="219"/>
        <v>2283</v>
      </c>
      <c r="AL73" s="445">
        <f t="shared" si="205"/>
        <v>2261</v>
      </c>
      <c r="AM73" s="171">
        <f t="shared" ref="AM73:AN73" si="220">SUM(AM28+AM37+AM40+AM62+AM65)</f>
        <v>2908</v>
      </c>
      <c r="AN73" s="171">
        <f t="shared" si="220"/>
        <v>3078</v>
      </c>
      <c r="AO73" s="171">
        <f t="shared" ref="AO73:AS73" si="221">SUM(AO28+AO37+AO40+AO62+AO65)</f>
        <v>3149</v>
      </c>
      <c r="AP73" s="171">
        <f t="shared" si="221"/>
        <v>2696</v>
      </c>
      <c r="AQ73" s="445">
        <f t="shared" si="221"/>
        <v>0</v>
      </c>
      <c r="AR73" s="171">
        <f t="shared" si="221"/>
        <v>0</v>
      </c>
      <c r="AS73" s="171">
        <f t="shared" si="221"/>
        <v>0</v>
      </c>
      <c r="AT73" s="171">
        <f t="shared" ref="AT73:AU73" si="222">SUM(AT28+AT37+AT40+AT62+AT65)</f>
        <v>65</v>
      </c>
      <c r="AU73" s="171">
        <f t="shared" si="222"/>
        <v>65</v>
      </c>
      <c r="AV73" s="445">
        <f>C73+H73+M73+R73+W73+AB73+AG73+AL73+AQ73</f>
        <v>32535</v>
      </c>
      <c r="AW73" s="171">
        <f>D73+I73+N73+S73+X73+AC73+AH73+AM73+AR73</f>
        <v>37734</v>
      </c>
      <c r="AX73" s="171">
        <f t="shared" ref="AX73:AZ78" si="223">E73+J73+O73+T73+Y73+AD73+AI73+AN73+AS73</f>
        <v>38922</v>
      </c>
      <c r="AY73" s="171">
        <f t="shared" ref="AY73" si="224">F73+K73+P73+U73+Z73+AE73+AJ73+AO73+AT73</f>
        <v>40557</v>
      </c>
      <c r="AZ73" s="171">
        <f t="shared" ref="AZ73" si="225">G73+L73+Q73+V73+AA73+AF73+AK73+AP73+AU73</f>
        <v>31856</v>
      </c>
      <c r="BA73" s="182"/>
    </row>
    <row r="74" spans="1:54" ht="13.5" customHeight="1" x14ac:dyDescent="0.2">
      <c r="A74" s="174" t="s">
        <v>268</v>
      </c>
      <c r="B74" s="123" t="s">
        <v>372</v>
      </c>
      <c r="C74" s="445"/>
      <c r="D74" s="171"/>
      <c r="E74" s="171"/>
      <c r="F74" s="171"/>
      <c r="G74" s="171"/>
      <c r="H74" s="445"/>
      <c r="I74" s="171"/>
      <c r="J74" s="171"/>
      <c r="K74" s="171"/>
      <c r="L74" s="171"/>
      <c r="M74" s="445"/>
      <c r="N74" s="171"/>
      <c r="O74" s="171"/>
      <c r="P74" s="171"/>
      <c r="Q74" s="171"/>
      <c r="R74" s="445"/>
      <c r="S74" s="171"/>
      <c r="T74" s="171"/>
      <c r="U74" s="171"/>
      <c r="V74" s="171"/>
      <c r="W74" s="445"/>
      <c r="X74" s="171"/>
      <c r="Y74" s="171"/>
      <c r="Z74" s="171"/>
      <c r="AA74" s="171"/>
      <c r="AB74" s="445">
        <v>3589</v>
      </c>
      <c r="AC74" s="171">
        <f>1050+450</f>
        <v>1500</v>
      </c>
      <c r="AD74" s="171">
        <f>1050+450</f>
        <v>1500</v>
      </c>
      <c r="AE74" s="171">
        <f>1050+450+208+1640</f>
        <v>3348</v>
      </c>
      <c r="AF74" s="171">
        <v>3330</v>
      </c>
      <c r="AG74" s="445"/>
      <c r="AH74" s="171"/>
      <c r="AI74" s="171"/>
      <c r="AJ74" s="171"/>
      <c r="AK74" s="171"/>
      <c r="AL74" s="445"/>
      <c r="AM74" s="171"/>
      <c r="AN74" s="171"/>
      <c r="AO74" s="171"/>
      <c r="AP74" s="171"/>
      <c r="AQ74" s="445"/>
      <c r="AR74" s="171"/>
      <c r="AS74" s="171"/>
      <c r="AT74" s="171"/>
      <c r="AU74" s="171"/>
      <c r="AV74" s="445">
        <f>C74+H74+M74+R74+W74+AB74+AG74+AL74+AQ74</f>
        <v>3589</v>
      </c>
      <c r="AW74" s="171">
        <f t="shared" ref="AW74:AW77" si="226">D74+I74+N74+S74+X74+AC74+AH74+AM74+AR74</f>
        <v>1500</v>
      </c>
      <c r="AX74" s="171">
        <f t="shared" si="223"/>
        <v>1500</v>
      </c>
      <c r="AY74" s="171">
        <f t="shared" si="223"/>
        <v>3348</v>
      </c>
      <c r="AZ74" s="171">
        <f t="shared" si="223"/>
        <v>3330</v>
      </c>
      <c r="BA74" s="182"/>
    </row>
    <row r="75" spans="1:54" s="265" customFormat="1" ht="13.5" hidden="1" customHeight="1" x14ac:dyDescent="0.25">
      <c r="A75" s="355"/>
      <c r="B75" s="356" t="s">
        <v>579</v>
      </c>
      <c r="C75" s="447"/>
      <c r="D75" s="357"/>
      <c r="E75" s="357"/>
      <c r="F75" s="357"/>
      <c r="G75" s="357"/>
      <c r="H75" s="447"/>
      <c r="I75" s="357"/>
      <c r="J75" s="357"/>
      <c r="K75" s="357"/>
      <c r="L75" s="357"/>
      <c r="M75" s="447"/>
      <c r="N75" s="357"/>
      <c r="O75" s="357"/>
      <c r="P75" s="357"/>
      <c r="Q75" s="357"/>
      <c r="R75" s="447"/>
      <c r="S75" s="357"/>
      <c r="T75" s="357"/>
      <c r="U75" s="357"/>
      <c r="V75" s="357"/>
      <c r="W75" s="447"/>
      <c r="X75" s="357"/>
      <c r="Y75" s="357"/>
      <c r="Z75" s="357"/>
      <c r="AA75" s="357"/>
      <c r="AB75" s="447">
        <v>0</v>
      </c>
      <c r="AC75" s="357">
        <v>0</v>
      </c>
      <c r="AD75" s="357">
        <v>0</v>
      </c>
      <c r="AE75" s="357">
        <v>0</v>
      </c>
      <c r="AF75" s="357">
        <v>0</v>
      </c>
      <c r="AG75" s="447"/>
      <c r="AH75" s="357"/>
      <c r="AI75" s="357"/>
      <c r="AJ75" s="357"/>
      <c r="AK75" s="357"/>
      <c r="AL75" s="447"/>
      <c r="AM75" s="357"/>
      <c r="AN75" s="357"/>
      <c r="AO75" s="357"/>
      <c r="AP75" s="357"/>
      <c r="AQ75" s="447"/>
      <c r="AR75" s="357"/>
      <c r="AS75" s="357"/>
      <c r="AT75" s="357"/>
      <c r="AU75" s="357"/>
      <c r="AV75" s="447">
        <f t="shared" ref="AV75" si="227">C75+H75+M75+R75+W75+AB75+AG75+AL75</f>
        <v>0</v>
      </c>
      <c r="AW75" s="171">
        <f t="shared" si="226"/>
        <v>0</v>
      </c>
      <c r="AX75" s="171">
        <f t="shared" si="223"/>
        <v>0</v>
      </c>
      <c r="AY75" s="171">
        <f t="shared" si="223"/>
        <v>0</v>
      </c>
      <c r="AZ75" s="171">
        <f t="shared" si="223"/>
        <v>0</v>
      </c>
      <c r="BA75" s="358"/>
    </row>
    <row r="76" spans="1:54" ht="13.5" customHeight="1" x14ac:dyDescent="0.2">
      <c r="A76" s="174" t="s">
        <v>290</v>
      </c>
      <c r="B76" s="123" t="s">
        <v>35</v>
      </c>
      <c r="C76" s="445"/>
      <c r="D76" s="171"/>
      <c r="E76" s="171"/>
      <c r="F76" s="171"/>
      <c r="G76" s="171"/>
      <c r="H76" s="445"/>
      <c r="I76" s="171"/>
      <c r="J76" s="171"/>
      <c r="K76" s="171"/>
      <c r="L76" s="171"/>
      <c r="M76" s="445"/>
      <c r="N76" s="171"/>
      <c r="O76" s="171"/>
      <c r="P76" s="171"/>
      <c r="Q76" s="171"/>
      <c r="R76" s="445"/>
      <c r="S76" s="171"/>
      <c r="T76" s="171"/>
      <c r="U76" s="171"/>
      <c r="V76" s="171"/>
      <c r="W76" s="445"/>
      <c r="X76" s="171"/>
      <c r="Y76" s="171"/>
      <c r="Z76" s="171"/>
      <c r="AA76" s="171"/>
      <c r="AB76" s="445"/>
      <c r="AC76" s="171"/>
      <c r="AD76" s="171"/>
      <c r="AE76" s="171"/>
      <c r="AF76" s="171"/>
      <c r="AG76" s="445"/>
      <c r="AH76" s="171"/>
      <c r="AI76" s="171"/>
      <c r="AJ76" s="171"/>
      <c r="AK76" s="171"/>
      <c r="AL76" s="445"/>
      <c r="AM76" s="171"/>
      <c r="AN76" s="171"/>
      <c r="AO76" s="171"/>
      <c r="AP76" s="171"/>
      <c r="AQ76" s="445"/>
      <c r="AR76" s="171"/>
      <c r="AS76" s="171"/>
      <c r="AT76" s="171"/>
      <c r="AU76" s="171"/>
      <c r="AV76" s="445">
        <f>C76+H76+M76+R76+W76+AB76+AG76+AL76+AQ76</f>
        <v>0</v>
      </c>
      <c r="AW76" s="171">
        <f t="shared" si="226"/>
        <v>0</v>
      </c>
      <c r="AX76" s="171">
        <f t="shared" si="223"/>
        <v>0</v>
      </c>
      <c r="AY76" s="171">
        <f t="shared" si="223"/>
        <v>0</v>
      </c>
      <c r="AZ76" s="171">
        <f t="shared" si="223"/>
        <v>0</v>
      </c>
      <c r="BA76" s="182"/>
    </row>
    <row r="77" spans="1:54" ht="13.5" customHeight="1" thickBot="1" x14ac:dyDescent="0.25">
      <c r="A77" s="174" t="s">
        <v>291</v>
      </c>
      <c r="B77" s="173" t="s">
        <v>292</v>
      </c>
      <c r="C77" s="448"/>
      <c r="D77" s="124"/>
      <c r="E77" s="124"/>
      <c r="F77" s="124"/>
      <c r="G77" s="124"/>
      <c r="H77" s="448"/>
      <c r="I77" s="124"/>
      <c r="J77" s="124"/>
      <c r="K77" s="124"/>
      <c r="L77" s="124"/>
      <c r="M77" s="448"/>
      <c r="N77" s="124"/>
      <c r="O77" s="124"/>
      <c r="P77" s="124"/>
      <c r="Q77" s="124"/>
      <c r="R77" s="448"/>
      <c r="S77" s="124"/>
      <c r="T77" s="124"/>
      <c r="U77" s="124"/>
      <c r="V77" s="124"/>
      <c r="W77" s="448"/>
      <c r="X77" s="124"/>
      <c r="Y77" s="124"/>
      <c r="Z77" s="124"/>
      <c r="AA77" s="124"/>
      <c r="AB77" s="448"/>
      <c r="AC77" s="124"/>
      <c r="AD77" s="124"/>
      <c r="AE77" s="124"/>
      <c r="AF77" s="124"/>
      <c r="AG77" s="448"/>
      <c r="AH77" s="124"/>
      <c r="AI77" s="124"/>
      <c r="AJ77" s="124"/>
      <c r="AK77" s="124"/>
      <c r="AL77" s="448"/>
      <c r="AM77" s="124"/>
      <c r="AN77" s="124"/>
      <c r="AO77" s="124"/>
      <c r="AP77" s="124"/>
      <c r="AQ77" s="448"/>
      <c r="AR77" s="124"/>
      <c r="AS77" s="124"/>
      <c r="AT77" s="124"/>
      <c r="AU77" s="124"/>
      <c r="AV77" s="445">
        <f>C77+H77+M77+R77+W77+AB77+AG77+AL77+AQ77</f>
        <v>0</v>
      </c>
      <c r="AW77" s="171">
        <f t="shared" si="226"/>
        <v>0</v>
      </c>
      <c r="AX77" s="171">
        <f t="shared" si="223"/>
        <v>0</v>
      </c>
      <c r="AY77" s="171">
        <f t="shared" si="223"/>
        <v>0</v>
      </c>
      <c r="AZ77" s="171">
        <f t="shared" si="223"/>
        <v>0</v>
      </c>
      <c r="BA77" s="182"/>
    </row>
    <row r="78" spans="1:54" ht="22.5" customHeight="1" thickBot="1" x14ac:dyDescent="0.4">
      <c r="A78" s="172"/>
      <c r="B78" s="219" t="s">
        <v>7</v>
      </c>
      <c r="C78" s="449">
        <f t="shared" ref="C78:AL78" si="228">SUM(C24+C27+C73+C74+C76+C77)</f>
        <v>21111</v>
      </c>
      <c r="D78" s="176">
        <f t="shared" ref="D78:E78" si="229">SUM(D24+D27+D73+D74+D76+D77)</f>
        <v>29531</v>
      </c>
      <c r="E78" s="176">
        <f t="shared" si="229"/>
        <v>31788</v>
      </c>
      <c r="F78" s="176">
        <f t="shared" ref="F78:G78" si="230">SUM(F24+F27+F73+F74+F76+F77)</f>
        <v>31854</v>
      </c>
      <c r="G78" s="176">
        <f t="shared" si="230"/>
        <v>29468</v>
      </c>
      <c r="H78" s="449">
        <f t="shared" si="228"/>
        <v>24822</v>
      </c>
      <c r="I78" s="176">
        <f t="shared" ref="I78:J78" si="231">SUM(I24+I27+I73+I74+I76+I77)</f>
        <v>23589</v>
      </c>
      <c r="J78" s="176">
        <f t="shared" si="231"/>
        <v>23966</v>
      </c>
      <c r="K78" s="176">
        <f t="shared" ref="K78:L78" si="232">SUM(K24+K27+K73+K74+K76+K77)</f>
        <v>24974</v>
      </c>
      <c r="L78" s="176">
        <f t="shared" si="232"/>
        <v>21530</v>
      </c>
      <c r="M78" s="449">
        <f t="shared" si="228"/>
        <v>6882</v>
      </c>
      <c r="N78" s="176">
        <f t="shared" ref="N78:O78" si="233">SUM(N24+N27+N73+N74+N76+N77)</f>
        <v>7665</v>
      </c>
      <c r="O78" s="176">
        <f t="shared" si="233"/>
        <v>7715</v>
      </c>
      <c r="P78" s="176">
        <f t="shared" ref="P78:Q78" si="234">SUM(P24+P27+P73+P74+P76+P77)</f>
        <v>7878</v>
      </c>
      <c r="Q78" s="176">
        <f t="shared" si="234"/>
        <v>7525</v>
      </c>
      <c r="R78" s="449">
        <f t="shared" si="228"/>
        <v>588</v>
      </c>
      <c r="S78" s="176">
        <f t="shared" ref="S78:T78" si="235">SUM(S24+S27+S73+S74+S76+S77)</f>
        <v>432</v>
      </c>
      <c r="T78" s="176">
        <f t="shared" si="235"/>
        <v>1032</v>
      </c>
      <c r="U78" s="176">
        <f t="shared" ref="U78:V78" si="236">SUM(U24+U27+U73+U74+U76+U77)</f>
        <v>1615</v>
      </c>
      <c r="V78" s="176">
        <f t="shared" si="236"/>
        <v>1266</v>
      </c>
      <c r="W78" s="449">
        <f t="shared" si="228"/>
        <v>2564</v>
      </c>
      <c r="X78" s="176">
        <f t="shared" ref="X78:Y78" si="237">SUM(X24+X27+X73+X74+X76+X77)</f>
        <v>4718</v>
      </c>
      <c r="Y78" s="176">
        <f t="shared" si="237"/>
        <v>4648</v>
      </c>
      <c r="Z78" s="176">
        <f t="shared" ref="Z78:AA78" si="238">SUM(Z24+Z27+Z73+Z74+Z76+Z77)</f>
        <v>4598</v>
      </c>
      <c r="AA78" s="176">
        <f t="shared" si="238"/>
        <v>2925</v>
      </c>
      <c r="AB78" s="449">
        <f t="shared" si="228"/>
        <v>9399</v>
      </c>
      <c r="AC78" s="176">
        <f t="shared" ref="AC78:AD78" si="239">SUM(AC24+AC27+AC73+AC74+AC76+AC77)</f>
        <v>7596</v>
      </c>
      <c r="AD78" s="176">
        <f t="shared" si="239"/>
        <v>6451</v>
      </c>
      <c r="AE78" s="176">
        <f t="shared" ref="AE78:AF78" si="240">SUM(AE24+AE27+AE73+AE74+AE76+AE77)</f>
        <v>8285</v>
      </c>
      <c r="AF78" s="176">
        <f t="shared" si="240"/>
        <v>7814</v>
      </c>
      <c r="AG78" s="449">
        <f t="shared" si="228"/>
        <v>4823</v>
      </c>
      <c r="AH78" s="176">
        <f t="shared" ref="AH78:AI78" si="241">SUM(AH24+AH27+AH73+AH74+AH76+AH77)</f>
        <v>3639</v>
      </c>
      <c r="AI78" s="176">
        <f t="shared" si="241"/>
        <v>3929</v>
      </c>
      <c r="AJ78" s="176">
        <f t="shared" ref="AJ78:AK78" si="242">SUM(AJ24+AJ27+AJ73+AJ74+AJ76+AJ77)</f>
        <v>3912</v>
      </c>
      <c r="AK78" s="176">
        <f t="shared" si="242"/>
        <v>3289</v>
      </c>
      <c r="AL78" s="449">
        <f t="shared" si="228"/>
        <v>2261</v>
      </c>
      <c r="AM78" s="176">
        <f t="shared" ref="AM78:AN78" si="243">SUM(AM24+AM27+AM73+AM74+AM76+AM77)</f>
        <v>2908</v>
      </c>
      <c r="AN78" s="176">
        <f t="shared" si="243"/>
        <v>3078</v>
      </c>
      <c r="AO78" s="176">
        <f t="shared" ref="AO78:AS78" si="244">SUM(AO24+AO27+AO73+AO74+AO76+AO77)</f>
        <v>3149</v>
      </c>
      <c r="AP78" s="176">
        <f t="shared" si="244"/>
        <v>2696</v>
      </c>
      <c r="AQ78" s="449">
        <f t="shared" si="244"/>
        <v>0</v>
      </c>
      <c r="AR78" s="176">
        <f t="shared" si="244"/>
        <v>0</v>
      </c>
      <c r="AS78" s="176">
        <f t="shared" si="244"/>
        <v>0</v>
      </c>
      <c r="AT78" s="176">
        <f t="shared" ref="AT78:AU78" si="245">SUM(AT24+AT27+AT73+AT74+AT76+AT77)</f>
        <v>220</v>
      </c>
      <c r="AU78" s="176">
        <f t="shared" si="245"/>
        <v>219</v>
      </c>
      <c r="AV78" s="449">
        <f>C78+H78+M78+R78+W78+AB78+AG78+AL78+AQ78</f>
        <v>72450</v>
      </c>
      <c r="AW78" s="176">
        <f>D78+I78+N78+S78+X78+AC78+AH78+AM78+AR78</f>
        <v>80078</v>
      </c>
      <c r="AX78" s="176">
        <f t="shared" si="223"/>
        <v>82607</v>
      </c>
      <c r="AY78" s="176">
        <f t="shared" si="223"/>
        <v>86485</v>
      </c>
      <c r="AZ78" s="176">
        <f t="shared" si="223"/>
        <v>76732</v>
      </c>
      <c r="BA78" s="182"/>
    </row>
    <row r="81" spans="3:46" hidden="1" x14ac:dyDescent="0.2">
      <c r="C81" s="74">
        <f>(C23+C29+C30+C31+C32+C33+C34+C35+C36+C38+C39+C41+C42+C43+C44+C46+C48+C50+C51+C52+C53+C56+C60+C61+C64+(C70-200)+C71)*0.27</f>
        <v>857.5200000000001</v>
      </c>
      <c r="D81" s="74">
        <f>(D23+D29+D30+D31+D32+D33+D34+D35+D36+D38+D39+D41+D42+D43+D44+D46+D48+D50+D51+D52+D53+D56+D60+D61+D64+(D70-200)+D71)*0.27</f>
        <v>1391.8500000000001</v>
      </c>
      <c r="E81" s="74">
        <f>(E23+E29+E30+E31+E32+E33+E34+E35+E36+E38+E39+E41+E42+E43+E44+E46+E48+E50+E51+E52+E53+E56+E60+E61+E64+(E70-200)+E71)*0.27</f>
        <v>1266.5700000000002</v>
      </c>
      <c r="F81" s="74"/>
      <c r="G81" s="74"/>
      <c r="H81" s="74">
        <f>(H23+H29+H30+H31+H32+H33+H34+H35+H36+H38+H39+H41+H42+H43+H44+H45+H46+H48+H50+H51+H52+H53+H56+H60+H61+H64+(H70)+H71)*0.27</f>
        <v>2423.52</v>
      </c>
      <c r="I81" s="74">
        <f t="shared" ref="I81" si="246">(I23+I29+I30+I31+I32+I33+I34+I35+I36+I38+I39+I41+I42+I43+I44+I45+I46+I48+I50+I51+I52+I53+I56+I60+I61+I64+(I70)+I71)*0.27</f>
        <v>2220.48</v>
      </c>
      <c r="J81" s="74">
        <f>(J23+J29+J30+J31+J32+J33+J34+J35+J36+J38+J39+J41+J42+J43+J44+J45+J46+J48+J50+J51+J52+J56+J60+J61+J64+(J70)+J71)*0.27</f>
        <v>2301.75</v>
      </c>
      <c r="K81" s="74"/>
      <c r="L81" s="74"/>
      <c r="M81" s="74">
        <f t="shared" ref="M81:AM81" si="247">(M23+M29+M30+M31+M32+M33+M34+M35+M36+M38+M39+M41+M42+M43+M44+M45+M46+M48+M50+M51+M52+M53+M56+M60+M61+M64+(M70)+M71)*0.27</f>
        <v>272.43</v>
      </c>
      <c r="N81" s="74">
        <f t="shared" si="247"/>
        <v>399.6</v>
      </c>
      <c r="O81" s="74">
        <f t="shared" si="247"/>
        <v>413.1</v>
      </c>
      <c r="P81" s="74"/>
      <c r="Q81" s="74"/>
      <c r="R81" s="74">
        <f t="shared" si="247"/>
        <v>125.28</v>
      </c>
      <c r="S81" s="74">
        <f t="shared" si="247"/>
        <v>91.800000000000011</v>
      </c>
      <c r="T81" s="74">
        <f t="shared" si="247"/>
        <v>253.8</v>
      </c>
      <c r="U81" s="74"/>
      <c r="V81" s="74"/>
      <c r="W81" s="74">
        <f t="shared" si="247"/>
        <v>550.26</v>
      </c>
      <c r="X81" s="74">
        <f t="shared" si="247"/>
        <v>1003.0500000000001</v>
      </c>
      <c r="Y81" s="74">
        <f t="shared" si="247"/>
        <v>889.65000000000009</v>
      </c>
      <c r="Z81" s="74"/>
      <c r="AA81" s="74"/>
      <c r="AB81" s="74">
        <f t="shared" si="247"/>
        <v>1235.25</v>
      </c>
      <c r="AC81" s="74">
        <f t="shared" si="247"/>
        <v>1296</v>
      </c>
      <c r="AD81" s="74">
        <f t="shared" si="247"/>
        <v>1038.1500000000001</v>
      </c>
      <c r="AE81" s="74"/>
      <c r="AF81" s="74">
        <f t="shared" si="247"/>
        <v>953.37000000000012</v>
      </c>
      <c r="AG81" s="74">
        <f>(AG23+AG29+AG30+AG31+AG32+AG33+AG34+AG35+AG36+AG38+AG39+AG41+AG42+AG43+AG44+AG45+AG46+AG48+AG50+AG51+AG52+AG53+AG56+(AG60-300)+AG61+AG64+(AG70)+AG71)*0.27</f>
        <v>892.35</v>
      </c>
      <c r="AH81" s="74">
        <f t="shared" ref="AH81:AK81" si="248">(AH23+AH29+AH30+AH31+AH32+AH33+AH34+AH35+AH36+AH38+AH39+AH41+AH42+AH43+AH44+AH45+AH46+AH48+AH50+AH51+AH52+AH53+AH56+(AH60-300)+AH61+AH64+(AH70)+AH71)*0.27</f>
        <v>577.80000000000007</v>
      </c>
      <c r="AI81" s="74">
        <f t="shared" si="248"/>
        <v>656.1</v>
      </c>
      <c r="AJ81" s="74">
        <f t="shared" si="248"/>
        <v>659.61</v>
      </c>
      <c r="AK81" s="74">
        <f t="shared" si="248"/>
        <v>558.63</v>
      </c>
      <c r="AL81" s="74">
        <f t="shared" si="247"/>
        <v>483.84000000000003</v>
      </c>
      <c r="AM81" s="74">
        <f t="shared" si="247"/>
        <v>616.14</v>
      </c>
      <c r="AN81" s="74">
        <f t="shared" ref="AN81:AO81" si="249">(AN23+AN29+AN30+AN31+AN32+AN33+AN34+AN35+AN36+AN38+AN39+AN41+AN42+AN43+AN44+AN45+AN46+AN50+AN51+AN52+AN56+AN60+AN61+AN64+AN70+AN71)*0.27</f>
        <v>507.6</v>
      </c>
      <c r="AO81" s="74">
        <f t="shared" si="249"/>
        <v>526.77</v>
      </c>
      <c r="AQ81" s="74">
        <f t="shared" ref="AQ81:AR81" si="250">(AQ23+AQ29+AQ30+AQ31+AQ32+AQ33+AQ34+AQ35+AQ36+AQ38+AQ39+AQ41+AQ42+AQ43+AQ44+AQ45+AQ46+AQ48+AQ50+AQ51+AQ52+AQ53+AQ56+AQ60+AQ61+AQ64+(AQ70)+AQ71)*0.27</f>
        <v>0</v>
      </c>
      <c r="AR81" s="74">
        <f t="shared" si="250"/>
        <v>0</v>
      </c>
      <c r="AS81" s="74">
        <f t="shared" ref="AS81:AT81" si="251">(AS23+AS29+AS30+AS31+AS32+AS33+AS34+AS35+AS36+AS38+AS39+AS41+AS42+AS43+AS44+AS45+AS46+AS50+AS51+AS52+AS56+AS60+AS61+AS64+AS70+AS71)*0.27</f>
        <v>0</v>
      </c>
      <c r="AT81" s="74">
        <f t="shared" si="251"/>
        <v>13.770000000000001</v>
      </c>
    </row>
    <row r="82" spans="3:46" hidden="1" x14ac:dyDescent="0.2"/>
    <row r="83" spans="3:46" hidden="1" x14ac:dyDescent="0.2">
      <c r="E83" s="74">
        <f>E66-E81</f>
        <v>131.42999999999984</v>
      </c>
      <c r="J83" s="74">
        <f>J66-J81</f>
        <v>-89.75</v>
      </c>
      <c r="O83" s="74">
        <f>O66-O81</f>
        <v>-13.100000000000023</v>
      </c>
      <c r="T83" s="74">
        <f>T66-T81</f>
        <v>-161.80000000000001</v>
      </c>
      <c r="Y83" s="74">
        <f>Y66-Y81</f>
        <v>113.34999999999991</v>
      </c>
      <c r="AD83" s="74">
        <f>AD66-AD81</f>
        <v>67.849999999999909</v>
      </c>
      <c r="AI83" s="74">
        <f>AI66-AI81</f>
        <v>-78.100000000000023</v>
      </c>
      <c r="AN83" s="74">
        <f>AN66-AN81</f>
        <v>108.39999999999998</v>
      </c>
      <c r="AS83" s="74">
        <f>AS66-AS81</f>
        <v>0</v>
      </c>
    </row>
  </sheetData>
  <mergeCells count="14">
    <mergeCell ref="A4:T4"/>
    <mergeCell ref="A5:T5"/>
    <mergeCell ref="AV7:AZ7"/>
    <mergeCell ref="B7:B8"/>
    <mergeCell ref="A7:A8"/>
    <mergeCell ref="C7:G7"/>
    <mergeCell ref="H7:L7"/>
    <mergeCell ref="M7:Q7"/>
    <mergeCell ref="R7:V7"/>
    <mergeCell ref="W7:AA7"/>
    <mergeCell ref="AB7:AF7"/>
    <mergeCell ref="AG7:AK7"/>
    <mergeCell ref="AL7:AP7"/>
    <mergeCell ref="AQ7:AU7"/>
  </mergeCells>
  <pageMargins left="0.43307086614173229" right="0.15748031496062992" top="0.39370078740157483" bottom="0.15748031496062992" header="0.23622047244094491" footer="0.15748031496062992"/>
  <pageSetup paperSize="9" scale="66" orientation="landscape" r:id="rId1"/>
  <headerFooter alignWithMargins="0"/>
  <rowBreaks count="1" manualBreakCount="1">
    <brk id="44" max="51" man="1"/>
  </rowBreaks>
  <colBreaks count="3" manualBreakCount="3">
    <brk id="16" max="78" man="1"/>
    <brk id="32" max="78" man="1"/>
    <brk id="52" max="7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0"/>
  <sheetViews>
    <sheetView zoomScale="110" zoomScaleNormal="110" workbookViewId="0">
      <selection activeCell="D15" sqref="D15"/>
    </sheetView>
  </sheetViews>
  <sheetFormatPr defaultRowHeight="12.75" x14ac:dyDescent="0.2"/>
  <cols>
    <col min="1" max="1" width="38.7109375" customWidth="1"/>
    <col min="2" max="2" width="12.7109375" customWidth="1"/>
    <col min="3" max="3" width="12.7109375" style="103" customWidth="1"/>
    <col min="4" max="11" width="12.7109375" customWidth="1"/>
    <col min="12" max="12" width="10.28515625" customWidth="1"/>
  </cols>
  <sheetData>
    <row r="1" spans="1:8" ht="12.95" customHeight="1" x14ac:dyDescent="0.2">
      <c r="A1" s="52"/>
      <c r="B1" s="52"/>
      <c r="C1" s="52"/>
      <c r="D1" s="52"/>
      <c r="E1" s="52"/>
      <c r="F1" s="52"/>
      <c r="G1" s="52"/>
      <c r="H1" s="183" t="s">
        <v>444</v>
      </c>
    </row>
    <row r="2" spans="1:8" ht="12.95" customHeight="1" x14ac:dyDescent="0.2">
      <c r="A2" s="52"/>
      <c r="B2" s="52"/>
      <c r="C2" s="52"/>
      <c r="D2" s="52"/>
      <c r="E2" s="52"/>
      <c r="F2" s="52"/>
      <c r="G2" s="52"/>
      <c r="H2" s="214" t="str">
        <f>'1.Bev-kiad.'!H2</f>
        <v>az 1/2026.(II.26.) önkormányzati rendelethez</v>
      </c>
    </row>
    <row r="3" spans="1:8" ht="12.95" customHeight="1" x14ac:dyDescent="0.2">
      <c r="A3" s="52"/>
      <c r="B3" s="52"/>
      <c r="C3" s="52"/>
      <c r="D3" s="52"/>
      <c r="E3" s="52"/>
      <c r="F3" s="52"/>
      <c r="G3" s="52"/>
      <c r="H3" s="214" t="s">
        <v>701</v>
      </c>
    </row>
    <row r="4" spans="1:8" ht="12.95" customHeight="1" x14ac:dyDescent="0.2">
      <c r="A4" s="52"/>
      <c r="B4" s="52"/>
      <c r="C4" s="52"/>
      <c r="D4" s="52"/>
      <c r="E4" s="52"/>
      <c r="F4" s="52"/>
      <c r="G4" s="52"/>
      <c r="H4" s="55"/>
    </row>
    <row r="5" spans="1:8" ht="16.5" customHeight="1" x14ac:dyDescent="0.2">
      <c r="A5" s="554" t="s">
        <v>354</v>
      </c>
      <c r="B5" s="556"/>
      <c r="C5" s="556"/>
      <c r="D5" s="556"/>
      <c r="E5" s="556"/>
      <c r="F5" s="556"/>
      <c r="G5" s="556"/>
      <c r="H5" s="556"/>
    </row>
    <row r="6" spans="1:8" ht="12.95" customHeight="1" x14ac:dyDescent="0.2">
      <c r="A6" s="555" t="s">
        <v>616</v>
      </c>
      <c r="B6" s="556"/>
      <c r="C6" s="556"/>
      <c r="D6" s="556"/>
      <c r="E6" s="556"/>
      <c r="F6" s="556"/>
      <c r="G6" s="556"/>
      <c r="H6" s="556"/>
    </row>
    <row r="7" spans="1:8" ht="12.95" customHeight="1" x14ac:dyDescent="0.2">
      <c r="A7" s="3"/>
      <c r="B7" s="3"/>
      <c r="C7" s="88"/>
      <c r="D7" s="89"/>
      <c r="E7" s="89"/>
      <c r="F7" s="89"/>
      <c r="G7" s="89"/>
      <c r="H7" s="183" t="s">
        <v>0</v>
      </c>
    </row>
    <row r="8" spans="1:8" ht="17.25" customHeight="1" x14ac:dyDescent="0.2">
      <c r="A8" s="572" t="s">
        <v>448</v>
      </c>
      <c r="B8" s="572" t="s">
        <v>52</v>
      </c>
      <c r="C8" s="572" t="s">
        <v>53</v>
      </c>
      <c r="D8" s="574" t="s">
        <v>98</v>
      </c>
      <c r="E8" s="574"/>
      <c r="F8" s="574"/>
      <c r="G8" s="574"/>
      <c r="H8" s="575" t="s">
        <v>39</v>
      </c>
    </row>
    <row r="9" spans="1:8" ht="30" customHeight="1" x14ac:dyDescent="0.2">
      <c r="A9" s="573"/>
      <c r="B9" s="573"/>
      <c r="C9" s="573"/>
      <c r="D9" s="126">
        <v>2025</v>
      </c>
      <c r="E9" s="150">
        <v>2026</v>
      </c>
      <c r="F9" s="99">
        <v>2027</v>
      </c>
      <c r="G9" s="99">
        <v>2028</v>
      </c>
      <c r="H9" s="576"/>
    </row>
    <row r="10" spans="1:8" ht="12.95" customHeight="1" x14ac:dyDescent="0.2">
      <c r="A10" s="100" t="s">
        <v>50</v>
      </c>
      <c r="B10" s="24" t="s">
        <v>50</v>
      </c>
      <c r="C10" s="25" t="s">
        <v>50</v>
      </c>
      <c r="D10" s="127">
        <v>0</v>
      </c>
      <c r="E10" s="25">
        <v>0</v>
      </c>
      <c r="F10" s="25">
        <v>0</v>
      </c>
      <c r="G10" s="25">
        <v>0</v>
      </c>
      <c r="H10" s="25"/>
    </row>
    <row r="11" spans="1:8" ht="12.95" customHeight="1" x14ac:dyDescent="0.2">
      <c r="A11" s="58"/>
      <c r="B11" s="60"/>
      <c r="C11" s="60"/>
      <c r="D11" s="125"/>
      <c r="E11" s="60"/>
      <c r="F11" s="60"/>
      <c r="G11" s="60"/>
      <c r="H11" s="25"/>
    </row>
    <row r="12" spans="1:8" ht="12.95" customHeight="1" x14ac:dyDescent="0.2">
      <c r="A12" s="101" t="s">
        <v>39</v>
      </c>
      <c r="B12" s="62"/>
      <c r="C12" s="59"/>
      <c r="D12" s="128">
        <f>SUM(D10:D11)</f>
        <v>0</v>
      </c>
      <c r="E12" s="58"/>
      <c r="F12" s="59">
        <f>SUM(F10:F11)</f>
        <v>0</v>
      </c>
      <c r="G12" s="59">
        <v>0</v>
      </c>
      <c r="H12" s="59">
        <f>SUM(H10:H11)</f>
        <v>0</v>
      </c>
    </row>
    <row r="13" spans="1:8" ht="22.5" customHeight="1" x14ac:dyDescent="0.2">
      <c r="A13" s="563" t="s">
        <v>358</v>
      </c>
      <c r="B13" s="564"/>
      <c r="C13" s="565"/>
      <c r="D13" s="574" t="s">
        <v>99</v>
      </c>
      <c r="E13" s="574"/>
      <c r="F13" s="574"/>
      <c r="G13" s="574"/>
      <c r="H13" s="575" t="s">
        <v>39</v>
      </c>
    </row>
    <row r="14" spans="1:8" ht="27" customHeight="1" x14ac:dyDescent="0.2">
      <c r="A14" s="566"/>
      <c r="B14" s="567"/>
      <c r="C14" s="568"/>
      <c r="D14" s="126">
        <f>D9</f>
        <v>2025</v>
      </c>
      <c r="E14" s="150">
        <f>E9</f>
        <v>2026</v>
      </c>
      <c r="F14" s="150">
        <f>F9</f>
        <v>2027</v>
      </c>
      <c r="G14" s="150">
        <f>G9</f>
        <v>2028</v>
      </c>
      <c r="H14" s="576"/>
    </row>
    <row r="15" spans="1:8" ht="12.95" customHeight="1" x14ac:dyDescent="0.2">
      <c r="A15" s="569"/>
      <c r="B15" s="570"/>
      <c r="C15" s="571"/>
      <c r="D15" s="127">
        <f>('2.működés'!H69+'2.működés'!H75+'2.működés'!H77+'2.működés'!H78+'2.működés'!H83+'3.felh'!H25+'3.felh'!H26+'3.felh'!H27)/2</f>
        <v>20665</v>
      </c>
      <c r="E15" s="25">
        <v>16500</v>
      </c>
      <c r="F15" s="25">
        <v>16500</v>
      </c>
      <c r="G15" s="25">
        <v>16500</v>
      </c>
      <c r="H15" s="25"/>
    </row>
    <row r="16" spans="1:8" ht="12.95" customHeight="1" x14ac:dyDescent="0.2">
      <c r="B16" s="74"/>
      <c r="C16" s="102"/>
    </row>
    <row r="17" spans="2:3" ht="12.95" customHeight="1" x14ac:dyDescent="0.2">
      <c r="B17" s="74"/>
      <c r="C17" s="102"/>
    </row>
    <row r="18" spans="2:3" ht="12.95" customHeight="1" x14ac:dyDescent="0.2">
      <c r="B18" s="74"/>
      <c r="C18" s="102"/>
    </row>
    <row r="19" spans="2:3" ht="12.95" customHeight="1" x14ac:dyDescent="0.2">
      <c r="B19" s="74"/>
      <c r="C19" s="102"/>
    </row>
    <row r="20" spans="2:3" ht="12.95" customHeight="1" x14ac:dyDescent="0.2">
      <c r="B20" s="74"/>
      <c r="C20" s="102"/>
    </row>
    <row r="21" spans="2:3" ht="12.95" customHeight="1" x14ac:dyDescent="0.2">
      <c r="B21" s="74"/>
      <c r="C21" s="102"/>
    </row>
    <row r="22" spans="2:3" ht="12.95" customHeight="1" x14ac:dyDescent="0.2">
      <c r="B22" s="74"/>
      <c r="C22" s="102"/>
    </row>
    <row r="23" spans="2:3" ht="12.95" customHeight="1" x14ac:dyDescent="0.2">
      <c r="B23" s="74"/>
      <c r="C23" s="102"/>
    </row>
    <row r="24" spans="2:3" ht="12.95" customHeight="1" x14ac:dyDescent="0.2">
      <c r="B24" s="74"/>
      <c r="C24" s="102"/>
    </row>
    <row r="25" spans="2:3" ht="12.95" customHeight="1" x14ac:dyDescent="0.2">
      <c r="B25" s="74"/>
      <c r="C25" s="102"/>
    </row>
    <row r="26" spans="2:3" ht="12.95" customHeight="1" x14ac:dyDescent="0.2">
      <c r="B26" s="74"/>
      <c r="C26" s="102"/>
    </row>
    <row r="27" spans="2:3" ht="12.95" customHeight="1" x14ac:dyDescent="0.2">
      <c r="B27" s="74"/>
      <c r="C27" s="102"/>
    </row>
    <row r="28" spans="2:3" ht="12.95" customHeight="1" x14ac:dyDescent="0.2">
      <c r="B28" s="74"/>
      <c r="C28" s="102"/>
    </row>
    <row r="29" spans="2:3" ht="12.95" customHeight="1" x14ac:dyDescent="0.2">
      <c r="B29" s="74"/>
      <c r="C29" s="102"/>
    </row>
    <row r="30" spans="2:3" ht="12.95" customHeight="1" x14ac:dyDescent="0.2">
      <c r="B30" s="74"/>
      <c r="C30" s="102"/>
    </row>
    <row r="31" spans="2:3" ht="12.95" customHeight="1" x14ac:dyDescent="0.2">
      <c r="B31" s="74"/>
      <c r="C31" s="102"/>
    </row>
    <row r="32" spans="2:3" ht="12.95" customHeight="1" x14ac:dyDescent="0.2">
      <c r="B32" s="74"/>
      <c r="C32" s="102"/>
    </row>
    <row r="33" spans="2:3" ht="12.95" customHeight="1" x14ac:dyDescent="0.2">
      <c r="B33" s="74"/>
      <c r="C33" s="102"/>
    </row>
    <row r="34" spans="2:3" ht="12.95" customHeight="1" x14ac:dyDescent="0.2">
      <c r="B34" s="74"/>
      <c r="C34" s="102"/>
    </row>
    <row r="35" spans="2:3" ht="12.95" customHeight="1" x14ac:dyDescent="0.2">
      <c r="B35" s="74"/>
      <c r="C35" s="102"/>
    </row>
    <row r="36" spans="2:3" ht="12.95" customHeight="1" x14ac:dyDescent="0.2">
      <c r="B36" s="74"/>
      <c r="C36" s="102"/>
    </row>
    <row r="37" spans="2:3" ht="12.95" customHeight="1" x14ac:dyDescent="0.2">
      <c r="B37" s="74"/>
      <c r="C37" s="102"/>
    </row>
    <row r="38" spans="2:3" ht="12.95" customHeight="1" x14ac:dyDescent="0.2">
      <c r="B38" s="74"/>
      <c r="C38" s="102"/>
    </row>
    <row r="39" spans="2:3" ht="12.95" customHeight="1" x14ac:dyDescent="0.2">
      <c r="B39" s="74"/>
      <c r="C39" s="102"/>
    </row>
    <row r="40" spans="2:3" ht="12.95" customHeight="1" x14ac:dyDescent="0.2">
      <c r="B40" s="74"/>
      <c r="C40" s="102"/>
    </row>
    <row r="41" spans="2:3" ht="12.95" customHeight="1" x14ac:dyDescent="0.2">
      <c r="B41" s="74"/>
      <c r="C41" s="102"/>
    </row>
    <row r="42" spans="2:3" ht="12.95" customHeight="1" x14ac:dyDescent="0.2">
      <c r="B42" s="74"/>
      <c r="C42" s="102"/>
    </row>
    <row r="43" spans="2:3" ht="12.95" customHeight="1" x14ac:dyDescent="0.2">
      <c r="B43" s="74"/>
      <c r="C43" s="102"/>
    </row>
    <row r="44" spans="2:3" ht="12.95" customHeight="1" x14ac:dyDescent="0.2">
      <c r="B44" s="74"/>
      <c r="C44" s="102"/>
    </row>
    <row r="45" spans="2:3" ht="12.95" customHeight="1" x14ac:dyDescent="0.2">
      <c r="B45" s="74"/>
      <c r="C45" s="102"/>
    </row>
    <row r="46" spans="2:3" ht="12.95" customHeight="1" x14ac:dyDescent="0.2">
      <c r="B46" s="74"/>
      <c r="C46" s="102"/>
    </row>
    <row r="47" spans="2:3" ht="12.95" customHeight="1" x14ac:dyDescent="0.2">
      <c r="B47" s="74"/>
      <c r="C47" s="102"/>
    </row>
    <row r="48" spans="2:3" ht="12.95" customHeight="1" x14ac:dyDescent="0.2">
      <c r="B48" s="74"/>
      <c r="C48" s="102"/>
    </row>
    <row r="49" spans="2:3" ht="12.95" customHeight="1" x14ac:dyDescent="0.2">
      <c r="B49" s="74"/>
      <c r="C49" s="102"/>
    </row>
    <row r="50" spans="2:3" ht="12.95" customHeight="1" x14ac:dyDescent="0.2">
      <c r="B50" s="74"/>
      <c r="C50" s="102"/>
    </row>
    <row r="51" spans="2:3" ht="12.95" customHeight="1" x14ac:dyDescent="0.2">
      <c r="B51" s="74"/>
      <c r="C51" s="102"/>
    </row>
    <row r="52" spans="2:3" ht="12.95" customHeight="1" x14ac:dyDescent="0.2">
      <c r="B52" s="74"/>
      <c r="C52" s="102"/>
    </row>
    <row r="53" spans="2:3" x14ac:dyDescent="0.2">
      <c r="B53" s="74"/>
      <c r="C53" s="102"/>
    </row>
    <row r="54" spans="2:3" x14ac:dyDescent="0.2">
      <c r="B54" s="74"/>
      <c r="C54" s="102"/>
    </row>
    <row r="55" spans="2:3" x14ac:dyDescent="0.2">
      <c r="B55" s="74"/>
      <c r="C55" s="102"/>
    </row>
    <row r="56" spans="2:3" x14ac:dyDescent="0.2">
      <c r="B56" s="74"/>
      <c r="C56" s="102"/>
    </row>
    <row r="57" spans="2:3" x14ac:dyDescent="0.2">
      <c r="B57" s="74"/>
      <c r="C57" s="102"/>
    </row>
    <row r="58" spans="2:3" x14ac:dyDescent="0.2">
      <c r="B58" s="74"/>
      <c r="C58" s="102"/>
    </row>
    <row r="59" spans="2:3" x14ac:dyDescent="0.2">
      <c r="B59" s="74"/>
      <c r="C59" s="102"/>
    </row>
    <row r="60" spans="2:3" x14ac:dyDescent="0.2">
      <c r="B60" s="74"/>
      <c r="C60" s="102"/>
    </row>
    <row r="61" spans="2:3" x14ac:dyDescent="0.2">
      <c r="B61" s="74"/>
      <c r="C61" s="102"/>
    </row>
    <row r="62" spans="2:3" x14ac:dyDescent="0.2">
      <c r="B62" s="74"/>
      <c r="C62" s="102"/>
    </row>
    <row r="63" spans="2:3" x14ac:dyDescent="0.2">
      <c r="B63" s="74"/>
      <c r="C63" s="102"/>
    </row>
    <row r="64" spans="2:3" x14ac:dyDescent="0.2">
      <c r="B64" s="74"/>
      <c r="C64" s="102"/>
    </row>
    <row r="65" spans="2:3" x14ac:dyDescent="0.2">
      <c r="B65" s="74"/>
      <c r="C65" s="102"/>
    </row>
    <row r="66" spans="2:3" x14ac:dyDescent="0.2">
      <c r="B66" s="74"/>
      <c r="C66" s="102"/>
    </row>
    <row r="67" spans="2:3" x14ac:dyDescent="0.2">
      <c r="B67" s="74"/>
      <c r="C67" s="102"/>
    </row>
    <row r="68" spans="2:3" x14ac:dyDescent="0.2">
      <c r="B68" s="74"/>
      <c r="C68" s="102"/>
    </row>
    <row r="69" spans="2:3" x14ac:dyDescent="0.2">
      <c r="B69" s="74"/>
      <c r="C69" s="102"/>
    </row>
    <row r="70" spans="2:3" x14ac:dyDescent="0.2">
      <c r="B70" s="74"/>
      <c r="C70" s="102"/>
    </row>
  </sheetData>
  <mergeCells count="10">
    <mergeCell ref="A5:H5"/>
    <mergeCell ref="A13:C15"/>
    <mergeCell ref="A6:H6"/>
    <mergeCell ref="A8:A9"/>
    <mergeCell ref="B8:B9"/>
    <mergeCell ref="C8:C9"/>
    <mergeCell ref="D8:G8"/>
    <mergeCell ref="H8:H9"/>
    <mergeCell ref="D13:G13"/>
    <mergeCell ref="H13:H14"/>
  </mergeCells>
  <pageMargins left="0.64" right="0.2" top="0.31" bottom="1" header="0.19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18</vt:i4>
      </vt:variant>
    </vt:vector>
  </HeadingPairs>
  <TitlesOfParts>
    <vt:vector size="34" baseType="lpstr">
      <vt:lpstr>1.Bev-kiad.</vt:lpstr>
      <vt:lpstr>2.működés</vt:lpstr>
      <vt:lpstr>3.felh</vt:lpstr>
      <vt:lpstr>4. Átadott p.eszk.</vt:lpstr>
      <vt:lpstr>5.Bev.össz.</vt:lpstr>
      <vt:lpstr>6.Kiad.össz.</vt:lpstr>
      <vt:lpstr>8.Többéves</vt:lpstr>
      <vt:lpstr>7.Önk.</vt:lpstr>
      <vt:lpstr>8.Adósság</vt:lpstr>
      <vt:lpstr>9.Likviditás</vt:lpstr>
      <vt:lpstr>11.Eu projekt</vt:lpstr>
      <vt:lpstr>12.Gördülő</vt:lpstr>
      <vt:lpstr>13.Mérlegszerű kimutatás</vt:lpstr>
      <vt:lpstr>10.Tartalék</vt:lpstr>
      <vt:lpstr>11.Bev-kiad.mód.vált.indok</vt:lpstr>
      <vt:lpstr>TKT ktgfelosztás tájékoztatásul</vt:lpstr>
      <vt:lpstr>'11.Bev-kiad.mód.vált.indok'!Nyomtatási_cím</vt:lpstr>
      <vt:lpstr>'2.működés'!Nyomtatási_cím</vt:lpstr>
      <vt:lpstr>'5.Bev.össz.'!Nyomtatási_cím</vt:lpstr>
      <vt:lpstr>'6.Kiad.össz.'!Nyomtatási_cím</vt:lpstr>
      <vt:lpstr>'7.Önk.'!Nyomtatási_cím</vt:lpstr>
      <vt:lpstr>'1.Bev-kiad.'!Nyomtatási_terület</vt:lpstr>
      <vt:lpstr>'11.Eu projekt'!Nyomtatási_terület</vt:lpstr>
      <vt:lpstr>'12.Gördülő'!Nyomtatási_terület</vt:lpstr>
      <vt:lpstr>'2.működés'!Nyomtatási_terület</vt:lpstr>
      <vt:lpstr>'3.felh'!Nyomtatási_terület</vt:lpstr>
      <vt:lpstr>'4. Átadott p.eszk.'!Nyomtatási_terület</vt:lpstr>
      <vt:lpstr>'5.Bev.össz.'!Nyomtatási_terület</vt:lpstr>
      <vt:lpstr>'6.Kiad.össz.'!Nyomtatási_terület</vt:lpstr>
      <vt:lpstr>'7.Önk.'!Nyomtatási_terület</vt:lpstr>
      <vt:lpstr>'8.Adósság'!Nyomtatási_terület</vt:lpstr>
      <vt:lpstr>'8.Többéves'!Nyomtatási_terület</vt:lpstr>
      <vt:lpstr>'9.Likviditás'!Nyomtatási_terület</vt:lpstr>
      <vt:lpstr>'TKT ktgfelosztás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MagorineA</cp:lastModifiedBy>
  <cp:lastPrinted>2026-02-17T14:23:50Z</cp:lastPrinted>
  <dcterms:created xsi:type="dcterms:W3CDTF">2009-11-11T14:39:35Z</dcterms:created>
  <dcterms:modified xsi:type="dcterms:W3CDTF">2026-02-17T14:24:00Z</dcterms:modified>
</cp:coreProperties>
</file>