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2022\2022_BALATONFÖLDVÁR\2021_beszámoló_Bföldvár\Beszámoló_előtti_ei_mód_Bföldvár\"/>
    </mc:Choice>
  </mc:AlternateContent>
  <xr:revisionPtr revIDLastSave="0" documentId="13_ncr:1_{AA94DB95-E3F0-4192-9335-B736363CE475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2. Maradványkimutatás" sheetId="88" state="hidden" r:id="rId13"/>
    <sheet name="13.Mérleg" sheetId="94" state="hidden" r:id="rId14"/>
    <sheet name="14. Eredménykimutatás" sheetId="90" state="hidden" r:id="rId15"/>
    <sheet name="15. Vagyonkimutatás" sheetId="91" state="hidden" r:id="rId16"/>
    <sheet name="16. Előirányzat felh.terv" sheetId="92" state="hidden" r:id="rId17"/>
    <sheet name="17. Részesedések" sheetId="93" state="hidden" r:id="rId18"/>
    <sheet name="11.Likviditás" sheetId="53" r:id="rId19"/>
    <sheet name="12. gördülő tervezés" sheetId="97" state="hidden" r:id="rId20"/>
    <sheet name="13. Eu projekt" sheetId="56" state="hidden" r:id="rId21"/>
    <sheet name="Társulási fel. tájékoztatásul" sheetId="101" state="hidden" r:id="rId22"/>
    <sheet name="beruházások" sheetId="98" state="hidden" r:id="rId23"/>
    <sheet name="13.2.EU projekt részletesen" sheetId="95" state="hidden" r:id="rId24"/>
  </sheets>
  <externalReferences>
    <externalReference r:id="rId25"/>
    <externalReference r:id="rId26"/>
    <externalReference r:id="rId27"/>
    <externalReference r:id="rId28"/>
  </externalReferences>
  <definedNames>
    <definedName name="_xlnm._FilterDatabase" localSheetId="1" hidden="1">'1.Bev-kiad.'!$B$1:$B$64</definedName>
    <definedName name="_xlnm._FilterDatabase" localSheetId="19" hidden="1">'12. gördülő tervezés'!$B$1:$B$64</definedName>
    <definedName name="_xlnm._FilterDatabase" localSheetId="2" hidden="1">'2.működés'!$B$1:$B$113</definedName>
    <definedName name="_xlnm._FilterDatabase" localSheetId="3" hidden="1">'3.felh'!$B$1:$B$38</definedName>
    <definedName name="_xlnm._FilterDatabase" localSheetId="22" hidden="1">beruházások!$B$1:$B$39</definedName>
    <definedName name="adfadf">'[1]4.1. táj.'!#REF!</definedName>
    <definedName name="beruh" localSheetId="19">'[1]4.1. táj.'!#REF!</definedName>
    <definedName name="beruh" localSheetId="20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 localSheetId="22">'[1]4.1. táj.'!#REF!</definedName>
    <definedName name="beruh">'[1]4.1. táj.'!#REF!</definedName>
    <definedName name="intézmények" localSheetId="19">'[2]4.1. táj.'!#REF!</definedName>
    <definedName name="intézmények" localSheetId="20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 localSheetId="22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'8.Önk.'!$A:$B,'8.Önk.'!$8:$9</definedName>
    <definedName name="_xlnm.Print_Titles" localSheetId="10">'9.Hivatal'!$8:$9</definedName>
    <definedName name="_xlnm.Print_Titles" localSheetId="0">Összesítő!$5:$7</definedName>
    <definedName name="_xlnm.Print_Area" localSheetId="1">'1.Bev-kiad.'!$A$1:$I$86</definedName>
    <definedName name="_xlnm.Print_Area" localSheetId="11">'10.Többéves, adósság'!$A$1:$O$29</definedName>
    <definedName name="_xlnm.Print_Area" localSheetId="18">'11.Likviditás'!$A$1:$N$31</definedName>
    <definedName name="_xlnm.Print_Area" localSheetId="19">'12. gördülő tervezés'!$A$1:$G$85</definedName>
    <definedName name="_xlnm.Print_Area" localSheetId="12">'12. Maradványkimutatás'!$A$1:$E$15</definedName>
    <definedName name="_xlnm.Print_Area" localSheetId="20">'13. Eu projekt'!$A$1:$O$13</definedName>
    <definedName name="_xlnm.Print_Area" localSheetId="15">'15. Vagyonkimutatás'!$A$1:$E$133</definedName>
    <definedName name="_xlnm.Print_Area" localSheetId="2">'2.működés'!$A$1:$F$134</definedName>
    <definedName name="_xlnm.Print_Area" localSheetId="3">'3.felh'!$A$1:$H$91</definedName>
    <definedName name="_xlnm.Print_Area" localSheetId="4">'4. Átadott p.eszk.'!$A$1:$F$91</definedName>
    <definedName name="_xlnm.Print_Area" localSheetId="6">'6.Kiad.össz. '!$A$1:$P$50</definedName>
    <definedName name="_xlnm.Print_Area" localSheetId="7">'7.finanszírozás.'!$A$1:$F$153</definedName>
    <definedName name="_xlnm.Print_Area" localSheetId="8">'8.Önk.'!$A$1:$BE$144</definedName>
    <definedName name="_xlnm.Print_Area" localSheetId="10">'9.Hivatal'!$A$1:$V$87</definedName>
    <definedName name="_xlnm.Print_Area" localSheetId="22">beruházások!$A$1:$H$109</definedName>
    <definedName name="_xlnm.Print_Area" localSheetId="0">Összesítő!$A$1:$F$169</definedName>
    <definedName name="_xlnm.Print_Area" localSheetId="21">'Társulási fel. tájékoztatásul'!$A$1:$S$38</definedName>
    <definedName name="qewrqewr" localSheetId="19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 localSheetId="22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9" hidden="1">'12. gördülő tervezés'!$B$1:$B$64</definedName>
    <definedName name="Z_ABF21C5C_6078_4D03_96DF_78390D4F8F84_.wvu.FilterData" localSheetId="2" hidden="1">'2.működés'!$B$1:$B$113</definedName>
    <definedName name="Z_ABF21C5C_6078_4D03_96DF_78390D4F8F84_.wvu.FilterData" localSheetId="3" hidden="1">'3.felh'!$B$1:$B$38</definedName>
    <definedName name="Z_ABF21C5C_6078_4D03_96DF_78390D4F8F84_.wvu.FilterData" localSheetId="22" hidden="1">beruházások!$B$1:$B$39</definedName>
    <definedName name="Z_ABF21C5C_6078_4D03_96DF_78390D4F8F84_.wvu.PrintArea" localSheetId="1" hidden="1">'1.Bev-kiad.'!$B$1:$B$84</definedName>
    <definedName name="Z_ABF21C5C_6078_4D03_96DF_78390D4F8F84_.wvu.PrintArea" localSheetId="19" hidden="1">'12. gördülő tervezés'!$B$1:$B$83</definedName>
    <definedName name="Z_ABF21C5C_6078_4D03_96DF_78390D4F8F84_.wvu.PrintArea" localSheetId="2" hidden="1">'2.működés'!$B$1:$B$133</definedName>
    <definedName name="Z_ABF21C5C_6078_4D03_96DF_78390D4F8F84_.wvu.PrintArea" localSheetId="3" hidden="1">'3.felh'!$B$1:$B$80</definedName>
    <definedName name="Z_ABF21C5C_6078_4D03_96DF_78390D4F8F84_.wvu.PrintArea" localSheetId="4" hidden="1">'4. Átadott p.eszk.'!$A$1:$A$78</definedName>
    <definedName name="Z_ABF21C5C_6078_4D03_96DF_78390D4F8F84_.wvu.PrintArea" localSheetId="8" hidden="1">'8.Önk.'!$B$1:$B$6</definedName>
    <definedName name="Z_ABF21C5C_6078_4D03_96DF_78390D4F8F84_.wvu.PrintArea" localSheetId="10" hidden="1">'9.Hivatal'!$B$1:$B$6</definedName>
    <definedName name="Z_ABF21C5C_6078_4D03_96DF_78390D4F8F84_.wvu.PrintArea" localSheetId="22" hidden="1">beruházások!$B$1:$B$93</definedName>
    <definedName name="Z_ABF21C5C_6078_4D03_96DF_78390D4F8F84_.wvu.Rows" localSheetId="1" hidden="1">'1.Bev-kiad.'!#REF!</definedName>
    <definedName name="Z_ABF21C5C_6078_4D03_96DF_78390D4F8F84_.wvu.Rows" localSheetId="19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  <definedName name="Z_ABF21C5C_6078_4D03_96DF_78390D4F8F84_.wvu.Rows" localSheetId="22" hidden="1">beruházások!#REF!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39" l="1"/>
  <c r="E84" i="39"/>
  <c r="D84" i="39"/>
  <c r="C84" i="39"/>
  <c r="B84" i="39"/>
  <c r="AE44" i="82" l="1"/>
  <c r="E15" i="39"/>
  <c r="B43" i="81" l="1"/>
  <c r="N17" i="53"/>
  <c r="D62" i="97" l="1"/>
  <c r="D29" i="52"/>
  <c r="M50" i="99"/>
  <c r="M49" i="99"/>
  <c r="O48" i="80"/>
  <c r="G76" i="36"/>
  <c r="G73" i="36"/>
  <c r="F26" i="39"/>
  <c r="F11" i="39"/>
  <c r="F10" i="39" s="1"/>
  <c r="F9" i="39" s="1"/>
  <c r="G75" i="36"/>
  <c r="G61" i="58"/>
  <c r="BE95" i="82"/>
  <c r="BE83" i="82"/>
  <c r="BE84" i="82"/>
  <c r="BE85" i="82"/>
  <c r="BE48" i="82"/>
  <c r="K11" i="82"/>
  <c r="K12" i="82"/>
  <c r="K14" i="82"/>
  <c r="K15" i="82"/>
  <c r="BE68" i="82"/>
  <c r="BE67" i="82"/>
  <c r="F42" i="39"/>
  <c r="F126" i="57"/>
  <c r="D143" i="96"/>
  <c r="G95" i="57"/>
  <c r="F22" i="58"/>
  <c r="V87" i="83"/>
  <c r="F59" i="83" l="1"/>
  <c r="F58" i="83"/>
  <c r="F57" i="83"/>
  <c r="F56" i="83"/>
  <c r="E56" i="83"/>
  <c r="V81" i="83" l="1"/>
  <c r="V82" i="83"/>
  <c r="G94" i="57"/>
  <c r="G91" i="57"/>
  <c r="G82" i="57"/>
  <c r="G58" i="57"/>
  <c r="G53" i="57"/>
  <c r="G49" i="57"/>
  <c r="G44" i="57"/>
  <c r="G40" i="57"/>
  <c r="G35" i="57"/>
  <c r="G34" i="57" s="1"/>
  <c r="G30" i="57"/>
  <c r="G26" i="57" s="1"/>
  <c r="G24" i="57" s="1"/>
  <c r="G28" i="57"/>
  <c r="G12" i="57"/>
  <c r="G11" i="57" s="1"/>
  <c r="P71" i="83"/>
  <c r="F71" i="83"/>
  <c r="V36" i="83"/>
  <c r="F82" i="57"/>
  <c r="F81" i="57"/>
  <c r="F79" i="57"/>
  <c r="AJ90" i="82"/>
  <c r="AE90" i="82"/>
  <c r="U90" i="82"/>
  <c r="U89" i="82" s="1"/>
  <c r="P90" i="82"/>
  <c r="P89" i="82" s="1"/>
  <c r="K90" i="82"/>
  <c r="F90" i="82"/>
  <c r="U81" i="82"/>
  <c r="U80" i="82"/>
  <c r="K76" i="82"/>
  <c r="P82" i="82"/>
  <c r="F82" i="82"/>
  <c r="AY79" i="82"/>
  <c r="F83" i="82"/>
  <c r="BD83" i="82" s="1"/>
  <c r="F81" i="82"/>
  <c r="F80" i="82"/>
  <c r="F73" i="82"/>
  <c r="H111" i="82"/>
  <c r="M134" i="82"/>
  <c r="M133" i="82"/>
  <c r="C111" i="82"/>
  <c r="F63" i="82"/>
  <c r="F65" i="82"/>
  <c r="BD65" i="82" s="1"/>
  <c r="M132" i="82"/>
  <c r="F62" i="82"/>
  <c r="BD62" i="82" s="1"/>
  <c r="F53" i="82"/>
  <c r="U58" i="82"/>
  <c r="BD58" i="82" s="1"/>
  <c r="U55" i="82"/>
  <c r="Z48" i="82"/>
  <c r="F48" i="82"/>
  <c r="AY46" i="82"/>
  <c r="F46" i="82"/>
  <c r="AY40" i="82"/>
  <c r="Z40" i="82"/>
  <c r="F35" i="82"/>
  <c r="F34" i="82"/>
  <c r="F37" i="82"/>
  <c r="F33" i="82"/>
  <c r="F32" i="82"/>
  <c r="AY26" i="82"/>
  <c r="AY29" i="82" s="1"/>
  <c r="AE26" i="82"/>
  <c r="AE29" i="82" s="1"/>
  <c r="Z26" i="82"/>
  <c r="F26" i="82"/>
  <c r="AY15" i="82"/>
  <c r="AE15" i="82"/>
  <c r="Z14" i="82"/>
  <c r="F81" i="58"/>
  <c r="F70" i="58"/>
  <c r="D165" i="96"/>
  <c r="F71" i="58"/>
  <c r="F53" i="58"/>
  <c r="F50" i="58"/>
  <c r="F83" i="58"/>
  <c r="F76" i="36"/>
  <c r="C42" i="39"/>
  <c r="D42" i="39"/>
  <c r="E42" i="39"/>
  <c r="B42" i="39"/>
  <c r="E68" i="39"/>
  <c r="F127" i="96"/>
  <c r="AJ98" i="82"/>
  <c r="F95" i="82"/>
  <c r="F92" i="82"/>
  <c r="F121" i="96"/>
  <c r="D119" i="96"/>
  <c r="F119" i="96" s="1"/>
  <c r="F88" i="82"/>
  <c r="F86" i="82" s="1"/>
  <c r="F45" i="82"/>
  <c r="F31" i="82"/>
  <c r="F100" i="96"/>
  <c r="D101" i="96"/>
  <c r="U46" i="82"/>
  <c r="F40" i="82"/>
  <c r="F96" i="96"/>
  <c r="F95" i="96"/>
  <c r="AY74" i="82"/>
  <c r="AY39" i="82"/>
  <c r="F20" i="82"/>
  <c r="Z15" i="82"/>
  <c r="D82" i="96"/>
  <c r="D85" i="96"/>
  <c r="F19" i="82"/>
  <c r="C95" i="57"/>
  <c r="D95" i="57"/>
  <c r="E95" i="57"/>
  <c r="F95" i="57"/>
  <c r="F100" i="57"/>
  <c r="E100" i="57"/>
  <c r="D100" i="57"/>
  <c r="F99" i="57"/>
  <c r="F94" i="57"/>
  <c r="F87" i="57"/>
  <c r="D130" i="96"/>
  <c r="F31" i="57"/>
  <c r="F30" i="57" s="1"/>
  <c r="F37" i="57"/>
  <c r="F36" i="57"/>
  <c r="E17" i="39"/>
  <c r="F33" i="57"/>
  <c r="F23" i="57"/>
  <c r="E12" i="39" s="1"/>
  <c r="K64" i="83"/>
  <c r="P64" i="83"/>
  <c r="F55" i="83"/>
  <c r="F51" i="83"/>
  <c r="F53" i="83"/>
  <c r="K51" i="83"/>
  <c r="K41" i="83" s="1"/>
  <c r="P22" i="83"/>
  <c r="P24" i="83" s="1"/>
  <c r="F22" i="83"/>
  <c r="F24" i="83" s="1"/>
  <c r="K22" i="83"/>
  <c r="F23" i="83"/>
  <c r="F18" i="83"/>
  <c r="F21" i="83" s="1"/>
  <c r="K20" i="83"/>
  <c r="K18" i="83"/>
  <c r="K61" i="83"/>
  <c r="K60" i="83" s="1"/>
  <c r="E120" i="96"/>
  <c r="E90" i="96"/>
  <c r="F42" i="83"/>
  <c r="F26" i="83"/>
  <c r="E82" i="96"/>
  <c r="E72" i="96"/>
  <c r="F17" i="83"/>
  <c r="K11" i="83"/>
  <c r="F11" i="83"/>
  <c r="F94" i="96"/>
  <c r="F93" i="96"/>
  <c r="F78" i="83"/>
  <c r="F61" i="83"/>
  <c r="F60" i="83" s="1"/>
  <c r="F37" i="83"/>
  <c r="F32" i="83"/>
  <c r="P31" i="83"/>
  <c r="F28" i="83"/>
  <c r="F12" i="83"/>
  <c r="U82" i="83"/>
  <c r="F74" i="36"/>
  <c r="F75" i="36"/>
  <c r="BC83" i="82"/>
  <c r="BC84" i="82"/>
  <c r="BD84" i="82"/>
  <c r="AY93" i="82"/>
  <c r="AY89" i="82" s="1"/>
  <c r="AY86" i="82"/>
  <c r="U95" i="82"/>
  <c r="BD95" i="82" s="1"/>
  <c r="U86" i="82"/>
  <c r="P86" i="82"/>
  <c r="K93" i="82"/>
  <c r="K86" i="82"/>
  <c r="K80" i="82"/>
  <c r="K42" i="82" s="1"/>
  <c r="F94" i="82"/>
  <c r="F85" i="82"/>
  <c r="BC56" i="82"/>
  <c r="BD56" i="82"/>
  <c r="BC57" i="82"/>
  <c r="BD57" i="82"/>
  <c r="BC58" i="82"/>
  <c r="BC59" i="82"/>
  <c r="BD59" i="82"/>
  <c r="BC60" i="82"/>
  <c r="BD60" i="82"/>
  <c r="BC61" i="82"/>
  <c r="BD61" i="82"/>
  <c r="BC62" i="82"/>
  <c r="BC63" i="82"/>
  <c r="BD63" i="82"/>
  <c r="BC64" i="82"/>
  <c r="BD64" i="82"/>
  <c r="BC65" i="82"/>
  <c r="BC67" i="82"/>
  <c r="BD67" i="82"/>
  <c r="BC68" i="82"/>
  <c r="BD68" i="82"/>
  <c r="BC69" i="82"/>
  <c r="BD69" i="82"/>
  <c r="BC70" i="82"/>
  <c r="BD70" i="82"/>
  <c r="Z46" i="82"/>
  <c r="Z41" i="82"/>
  <c r="U41" i="82"/>
  <c r="U39" i="82"/>
  <c r="P43" i="82"/>
  <c r="P39" i="82"/>
  <c r="K40" i="82"/>
  <c r="K39" i="82" s="1"/>
  <c r="F66" i="82"/>
  <c r="BD66" i="82" s="1"/>
  <c r="F54" i="82"/>
  <c r="F52" i="82"/>
  <c r="F41" i="82"/>
  <c r="AY30" i="82"/>
  <c r="AY16" i="82"/>
  <c r="AY11" i="82"/>
  <c r="AE39" i="82"/>
  <c r="AE30" i="82"/>
  <c r="AE16" i="82"/>
  <c r="AE11" i="82"/>
  <c r="Z30" i="82"/>
  <c r="Z29" i="82"/>
  <c r="Z16" i="82"/>
  <c r="Z11" i="82"/>
  <c r="U36" i="82"/>
  <c r="U31" i="82"/>
  <c r="U29" i="82"/>
  <c r="U16" i="82"/>
  <c r="U10" i="82"/>
  <c r="K30" i="82"/>
  <c r="K28" i="82"/>
  <c r="K26" i="82"/>
  <c r="K16" i="82"/>
  <c r="F36" i="82"/>
  <c r="F28" i="82"/>
  <c r="F21" i="82"/>
  <c r="F17" i="82"/>
  <c r="F10" i="82"/>
  <c r="F129" i="57"/>
  <c r="F128" i="57" s="1"/>
  <c r="F86" i="58"/>
  <c r="F85" i="58"/>
  <c r="F75" i="58"/>
  <c r="F73" i="58"/>
  <c r="F67" i="58"/>
  <c r="F64" i="58"/>
  <c r="F56" i="58"/>
  <c r="F49" i="58"/>
  <c r="F46" i="58"/>
  <c r="F41" i="58"/>
  <c r="F35" i="58"/>
  <c r="F34" i="58"/>
  <c r="F33" i="58"/>
  <c r="F31" i="58"/>
  <c r="F30" i="58" s="1"/>
  <c r="F26" i="58"/>
  <c r="F20" i="58"/>
  <c r="F18" i="58"/>
  <c r="F13" i="58" s="1"/>
  <c r="F14" i="58"/>
  <c r="E62" i="39"/>
  <c r="E40" i="39"/>
  <c r="E26" i="39" s="1"/>
  <c r="E38" i="39"/>
  <c r="F104" i="57"/>
  <c r="F103" i="57" s="1"/>
  <c r="F102" i="57" s="1"/>
  <c r="F91" i="57"/>
  <c r="F89" i="57"/>
  <c r="F75" i="57"/>
  <c r="F74" i="57"/>
  <c r="F59" i="57"/>
  <c r="F58" i="57"/>
  <c r="F57" i="57"/>
  <c r="F55" i="57"/>
  <c r="F53" i="57" s="1"/>
  <c r="F54" i="57"/>
  <c r="F51" i="57"/>
  <c r="F49" i="57" s="1"/>
  <c r="F44" i="57"/>
  <c r="F41" i="57"/>
  <c r="E51" i="39" s="1"/>
  <c r="E50" i="39" s="1"/>
  <c r="F29" i="57"/>
  <c r="F28" i="57" s="1"/>
  <c r="F27" i="57"/>
  <c r="F17" i="57"/>
  <c r="E54" i="39" s="1"/>
  <c r="E53" i="39" s="1"/>
  <c r="F13" i="57"/>
  <c r="U81" i="83" s="1"/>
  <c r="P76" i="83"/>
  <c r="P63" i="83"/>
  <c r="P60" i="83"/>
  <c r="P41" i="83"/>
  <c r="K76" i="83"/>
  <c r="K63" i="83"/>
  <c r="K55" i="83"/>
  <c r="F76" i="83"/>
  <c r="F70" i="83"/>
  <c r="F63" i="83" s="1"/>
  <c r="F48" i="83"/>
  <c r="F47" i="83"/>
  <c r="T36" i="83"/>
  <c r="U36" i="83"/>
  <c r="P38" i="83"/>
  <c r="P33" i="83" s="1"/>
  <c r="P28" i="83"/>
  <c r="P25" i="83" s="1"/>
  <c r="P23" i="83"/>
  <c r="P21" i="83"/>
  <c r="K33" i="83"/>
  <c r="K25" i="83"/>
  <c r="K23" i="83"/>
  <c r="K24" i="83" s="1"/>
  <c r="F38" i="83"/>
  <c r="F33" i="83" s="1"/>
  <c r="F36" i="83"/>
  <c r="F29" i="83"/>
  <c r="P15" i="83"/>
  <c r="P14" i="83"/>
  <c r="P11" i="83"/>
  <c r="K15" i="83"/>
  <c r="K14" i="83"/>
  <c r="F19" i="83"/>
  <c r="F16" i="83"/>
  <c r="F15" i="83"/>
  <c r="F14" i="83"/>
  <c r="G2" i="97"/>
  <c r="N2" i="53"/>
  <c r="N2" i="52"/>
  <c r="U2" i="83"/>
  <c r="Z2" i="82"/>
  <c r="F2" i="81"/>
  <c r="O2" i="80"/>
  <c r="M2" i="99"/>
  <c r="E2" i="39"/>
  <c r="F2" i="58"/>
  <c r="F2" i="57"/>
  <c r="F39" i="82" l="1"/>
  <c r="U25" i="82"/>
  <c r="AY10" i="82"/>
  <c r="K29" i="82"/>
  <c r="F8" i="58"/>
  <c r="G43" i="57"/>
  <c r="G10" i="57" s="1"/>
  <c r="G9" i="57" s="1"/>
  <c r="F78" i="57"/>
  <c r="K89" i="82"/>
  <c r="K97" i="82" s="1"/>
  <c r="P42" i="82"/>
  <c r="Z10" i="82"/>
  <c r="Z25" i="82" s="1"/>
  <c r="AY42" i="82"/>
  <c r="U30" i="82"/>
  <c r="F29" i="82"/>
  <c r="Z39" i="82"/>
  <c r="AY25" i="82"/>
  <c r="F16" i="82"/>
  <c r="F25" i="82" s="1"/>
  <c r="AE10" i="82"/>
  <c r="AE25" i="82" s="1"/>
  <c r="Z42" i="82"/>
  <c r="U42" i="82"/>
  <c r="BD48" i="82"/>
  <c r="F30" i="82"/>
  <c r="F73" i="36"/>
  <c r="F66" i="58"/>
  <c r="F63" i="58" s="1"/>
  <c r="F72" i="36" s="1"/>
  <c r="F45" i="58"/>
  <c r="F40" i="58" s="1"/>
  <c r="H83" i="58"/>
  <c r="K10" i="82"/>
  <c r="K25" i="82" s="1"/>
  <c r="F26" i="57"/>
  <c r="F40" i="57"/>
  <c r="F80" i="58"/>
  <c r="E47" i="39"/>
  <c r="E46" i="39" s="1"/>
  <c r="F43" i="57"/>
  <c r="F24" i="57"/>
  <c r="F70" i="57"/>
  <c r="F12" i="57"/>
  <c r="F11" i="57" s="1"/>
  <c r="E14" i="39"/>
  <c r="F35" i="57"/>
  <c r="F34" i="57" s="1"/>
  <c r="K21" i="83"/>
  <c r="K72" i="83"/>
  <c r="K75" i="83" s="1"/>
  <c r="F41" i="83"/>
  <c r="F25" i="83"/>
  <c r="P72" i="83"/>
  <c r="P75" i="83" s="1"/>
  <c r="F83" i="57"/>
  <c r="E78" i="83"/>
  <c r="E90" i="82"/>
  <c r="E85" i="82"/>
  <c r="BB84" i="82"/>
  <c r="BA84" i="82"/>
  <c r="E126" i="57"/>
  <c r="H126" i="57" s="1"/>
  <c r="F10" i="57" l="1"/>
  <c r="F9" i="57" s="1"/>
  <c r="F8" i="57" s="1"/>
  <c r="E13" i="39"/>
  <c r="E11" i="39" s="1"/>
  <c r="E10" i="39" s="1"/>
  <c r="E9" i="39" s="1"/>
  <c r="K79" i="83"/>
  <c r="F72" i="83"/>
  <c r="F79" i="83" s="1"/>
  <c r="G80" i="97"/>
  <c r="F80" i="97"/>
  <c r="E80" i="97"/>
  <c r="G68" i="97"/>
  <c r="F68" i="97"/>
  <c r="E68" i="97"/>
  <c r="B26" i="39"/>
  <c r="F75" i="83" l="1"/>
  <c r="L29" i="52"/>
  <c r="N24" i="52"/>
  <c r="N25" i="52"/>
  <c r="O26" i="52" s="1"/>
  <c r="N23" i="52"/>
  <c r="O23" i="52" s="1"/>
  <c r="M26" i="52"/>
  <c r="L26" i="52"/>
  <c r="K26" i="52"/>
  <c r="J26" i="52"/>
  <c r="L25" i="52"/>
  <c r="C67" i="81"/>
  <c r="E61" i="83"/>
  <c r="S36" i="83"/>
  <c r="E48" i="83"/>
  <c r="E37" i="83"/>
  <c r="E36" i="83"/>
  <c r="O28" i="83"/>
  <c r="O23" i="83"/>
  <c r="O22" i="83"/>
  <c r="J23" i="83"/>
  <c r="E23" i="83"/>
  <c r="J11" i="83"/>
  <c r="E11" i="83"/>
  <c r="T80" i="82"/>
  <c r="E80" i="82"/>
  <c r="E95" i="82"/>
  <c r="E94" i="82"/>
  <c r="AX46" i="82"/>
  <c r="T46" i="82"/>
  <c r="E46" i="82"/>
  <c r="Y41" i="82"/>
  <c r="T41" i="82"/>
  <c r="T36" i="82"/>
  <c r="E32" i="82"/>
  <c r="E34" i="82"/>
  <c r="E35" i="82"/>
  <c r="AX26" i="82"/>
  <c r="AD26" i="82"/>
  <c r="Y26" i="82"/>
  <c r="J28" i="82"/>
  <c r="J26" i="82"/>
  <c r="E28" i="82"/>
  <c r="E26" i="82"/>
  <c r="J15" i="83"/>
  <c r="O15" i="83"/>
  <c r="E15" i="83"/>
  <c r="E19" i="83"/>
  <c r="F88" i="96"/>
  <c r="E18" i="83"/>
  <c r="E16" i="83"/>
  <c r="J18" i="83"/>
  <c r="E14" i="83"/>
  <c r="E12" i="83"/>
  <c r="E83" i="58"/>
  <c r="E53" i="58"/>
  <c r="E49" i="58"/>
  <c r="E70" i="58"/>
  <c r="M131" i="82"/>
  <c r="D17" i="39"/>
  <c r="D40" i="39"/>
  <c r="C40" i="39"/>
  <c r="F103" i="96"/>
  <c r="F102" i="96"/>
  <c r="BB48" i="82"/>
  <c r="BC48" i="82"/>
  <c r="E82" i="82"/>
  <c r="F143" i="96" l="1"/>
  <c r="F104" i="96"/>
  <c r="E20" i="82"/>
  <c r="AD44" i="82"/>
  <c r="BC44" i="82" s="1"/>
  <c r="E41" i="82"/>
  <c r="Y11" i="82"/>
  <c r="F165" i="96"/>
  <c r="E56" i="58"/>
  <c r="F52" i="96"/>
  <c r="F51" i="96" s="1"/>
  <c r="E89" i="57"/>
  <c r="E22" i="58"/>
  <c r="E20" i="58" s="1"/>
  <c r="E54" i="82"/>
  <c r="BC54" i="82" s="1"/>
  <c r="E94" i="57"/>
  <c r="E87" i="57"/>
  <c r="E75" i="36"/>
  <c r="M130" i="82"/>
  <c r="E76" i="36"/>
  <c r="E67" i="58"/>
  <c r="BA66" i="82"/>
  <c r="BA67" i="82"/>
  <c r="BB67" i="82"/>
  <c r="BA68" i="82"/>
  <c r="BB68" i="82"/>
  <c r="BA69" i="82"/>
  <c r="BB69" i="82"/>
  <c r="E73" i="58"/>
  <c r="F40" i="96"/>
  <c r="E82" i="57"/>
  <c r="J80" i="82"/>
  <c r="J42" i="82" s="1"/>
  <c r="E59" i="57"/>
  <c r="E58" i="57" s="1"/>
  <c r="F25" i="96"/>
  <c r="E57" i="57"/>
  <c r="E55" i="57"/>
  <c r="E41" i="57"/>
  <c r="D51" i="39" s="1"/>
  <c r="D50" i="39" s="1"/>
  <c r="E37" i="57"/>
  <c r="M129" i="82"/>
  <c r="F89" i="96"/>
  <c r="F87" i="96"/>
  <c r="BE23" i="82"/>
  <c r="BD23" i="82"/>
  <c r="BC23" i="82"/>
  <c r="BB23" i="82"/>
  <c r="BA23" i="82"/>
  <c r="AX93" i="82"/>
  <c r="AS90" i="82"/>
  <c r="AS95" i="82"/>
  <c r="T95" i="82"/>
  <c r="T90" i="82"/>
  <c r="T86" i="82"/>
  <c r="O90" i="82"/>
  <c r="O89" i="82" s="1"/>
  <c r="O86" i="82"/>
  <c r="J93" i="82"/>
  <c r="J89" i="82" s="1"/>
  <c r="E86" i="82"/>
  <c r="BE91" i="82"/>
  <c r="AX42" i="82"/>
  <c r="AX39" i="82"/>
  <c r="AX30" i="82"/>
  <c r="AS42" i="82"/>
  <c r="AS41" i="82"/>
  <c r="AS39" i="82" s="1"/>
  <c r="AS36" i="82"/>
  <c r="AS30" i="82" s="1"/>
  <c r="Y46" i="82"/>
  <c r="Y42" i="82" s="1"/>
  <c r="Y40" i="82"/>
  <c r="Y30" i="82"/>
  <c r="T42" i="82"/>
  <c r="T31" i="82"/>
  <c r="BC31" i="82" s="1"/>
  <c r="O43" i="82"/>
  <c r="J40" i="82"/>
  <c r="J39" i="82" s="1"/>
  <c r="J30" i="82"/>
  <c r="E66" i="82"/>
  <c r="BC66" i="82" s="1"/>
  <c r="E52" i="82"/>
  <c r="BC52" i="82" s="1"/>
  <c r="E40" i="82"/>
  <c r="E36" i="82"/>
  <c r="E33" i="82"/>
  <c r="AX16" i="82"/>
  <c r="AX11" i="82"/>
  <c r="J29" i="82"/>
  <c r="BC28" i="82"/>
  <c r="AD11" i="82"/>
  <c r="AD10" i="82" s="1"/>
  <c r="Y15" i="82"/>
  <c r="E21" i="82"/>
  <c r="BC21" i="82" s="1"/>
  <c r="E17" i="82"/>
  <c r="BC17" i="82" s="1"/>
  <c r="J15" i="82"/>
  <c r="BC15" i="82" s="1"/>
  <c r="J11" i="82"/>
  <c r="J63" i="83"/>
  <c r="J60" i="83"/>
  <c r="J55" i="83"/>
  <c r="J41" i="83" s="1"/>
  <c r="E70" i="83"/>
  <c r="E63" i="83" s="1"/>
  <c r="E60" i="83"/>
  <c r="E47" i="83"/>
  <c r="O41" i="83"/>
  <c r="O38" i="83"/>
  <c r="O33" i="83"/>
  <c r="O25" i="83"/>
  <c r="O24" i="83"/>
  <c r="O14" i="83"/>
  <c r="O11" i="83"/>
  <c r="O21" i="83" s="1"/>
  <c r="J33" i="83"/>
  <c r="J25" i="83"/>
  <c r="J22" i="83"/>
  <c r="J24" i="83" s="1"/>
  <c r="J14" i="83"/>
  <c r="J21" i="83" s="1"/>
  <c r="E41" i="83"/>
  <c r="E38" i="83"/>
  <c r="E33" i="83" s="1"/>
  <c r="E29" i="83"/>
  <c r="T29" i="83" s="1"/>
  <c r="E26" i="83"/>
  <c r="E25" i="83" s="1"/>
  <c r="E24" i="83"/>
  <c r="E22" i="83"/>
  <c r="E21" i="83"/>
  <c r="T82" i="83"/>
  <c r="D82" i="57"/>
  <c r="E108" i="57"/>
  <c r="E104" i="57"/>
  <c r="E103" i="57"/>
  <c r="E102" i="57" s="1"/>
  <c r="E46" i="36"/>
  <c r="E91" i="57"/>
  <c r="E78" i="57"/>
  <c r="E75" i="57"/>
  <c r="E54" i="57"/>
  <c r="E51" i="57"/>
  <c r="E49" i="57" s="1"/>
  <c r="E44" i="57"/>
  <c r="E36" i="57"/>
  <c r="E31" i="57"/>
  <c r="E30" i="57" s="1"/>
  <c r="E29" i="57"/>
  <c r="E28" i="57" s="1"/>
  <c r="E27" i="57"/>
  <c r="E23" i="57"/>
  <c r="D12" i="39" s="1"/>
  <c r="E17" i="57"/>
  <c r="D54" i="39" s="1"/>
  <c r="D53" i="39" s="1"/>
  <c r="E13" i="57"/>
  <c r="D73" i="39"/>
  <c r="D62" i="39"/>
  <c r="D38" i="39"/>
  <c r="D26" i="39" s="1"/>
  <c r="D15" i="39"/>
  <c r="E86" i="58"/>
  <c r="E85" i="58" s="1"/>
  <c r="E80" i="58"/>
  <c r="M23" i="80" s="1"/>
  <c r="M11" i="80" s="1"/>
  <c r="E75" i="58"/>
  <c r="E64" i="58"/>
  <c r="E46" i="58"/>
  <c r="E41" i="58"/>
  <c r="E35" i="58"/>
  <c r="E62" i="36" s="1"/>
  <c r="E60" i="36" s="1"/>
  <c r="E34" i="58"/>
  <c r="E105" i="57" s="1"/>
  <c r="E33" i="58"/>
  <c r="E31" i="58"/>
  <c r="E26" i="58"/>
  <c r="E50" i="36" s="1"/>
  <c r="E18" i="58"/>
  <c r="E14" i="58"/>
  <c r="F84" i="96"/>
  <c r="I22" i="83"/>
  <c r="D126" i="57"/>
  <c r="D68" i="36" s="1"/>
  <c r="E54" i="96"/>
  <c r="D54" i="96"/>
  <c r="D16" i="99"/>
  <c r="D10" i="99" s="1"/>
  <c r="AW11" i="82"/>
  <c r="AW10" i="82" s="1"/>
  <c r="F56" i="96"/>
  <c r="F57" i="96"/>
  <c r="D17" i="82"/>
  <c r="BB17" i="82" s="1"/>
  <c r="D83" i="58"/>
  <c r="D76" i="36" s="1"/>
  <c r="F55" i="96"/>
  <c r="N43" i="82"/>
  <c r="D95" i="82"/>
  <c r="C38" i="39"/>
  <c r="C41" i="39"/>
  <c r="AW93" i="82"/>
  <c r="AW89" i="82" s="1"/>
  <c r="I93" i="82"/>
  <c r="I89" i="82" s="1"/>
  <c r="S95" i="82"/>
  <c r="S90" i="82"/>
  <c r="AR95" i="82"/>
  <c r="AR90" i="82"/>
  <c r="D46" i="82"/>
  <c r="X46" i="82"/>
  <c r="X42" i="82" s="1"/>
  <c r="S41" i="82"/>
  <c r="S39" i="82" s="1"/>
  <c r="AR41" i="82"/>
  <c r="AR39" i="82" s="1"/>
  <c r="I40" i="82"/>
  <c r="I39" i="82" s="1"/>
  <c r="D40" i="82"/>
  <c r="D39" i="82" s="1"/>
  <c r="S36" i="82"/>
  <c r="AR36" i="82"/>
  <c r="AR30" i="82" s="1"/>
  <c r="F125" i="96"/>
  <c r="D70" i="83"/>
  <c r="F101" i="96"/>
  <c r="D48" i="83"/>
  <c r="S48" i="83" s="1"/>
  <c r="D47" i="83"/>
  <c r="N38" i="83"/>
  <c r="N33" i="83" s="1"/>
  <c r="D63" i="83"/>
  <c r="D29" i="83"/>
  <c r="S29" i="83" s="1"/>
  <c r="D26" i="83"/>
  <c r="F82" i="96"/>
  <c r="E70" i="96"/>
  <c r="D18" i="83"/>
  <c r="S18" i="83" s="1"/>
  <c r="D11" i="83"/>
  <c r="D91" i="57"/>
  <c r="D94" i="57"/>
  <c r="D83" i="57" s="1"/>
  <c r="D29" i="36" s="1"/>
  <c r="S82" i="83"/>
  <c r="F83" i="96"/>
  <c r="D22" i="83"/>
  <c r="F150" i="96"/>
  <c r="F151" i="96"/>
  <c r="D46" i="58"/>
  <c r="D45" i="58" s="1"/>
  <c r="D75" i="58"/>
  <c r="D90" i="82"/>
  <c r="M128" i="82"/>
  <c r="BA95" i="82"/>
  <c r="D66" i="82"/>
  <c r="BB66" i="82" s="1"/>
  <c r="BB96" i="82"/>
  <c r="F115" i="96"/>
  <c r="D82" i="82"/>
  <c r="BB82" i="82" s="1"/>
  <c r="F105" i="96"/>
  <c r="D54" i="82"/>
  <c r="BB54" i="82" s="1"/>
  <c r="D52" i="82"/>
  <c r="BB52" i="82" s="1"/>
  <c r="F99" i="96"/>
  <c r="AC44" i="82"/>
  <c r="BB44" i="82" s="1"/>
  <c r="D20" i="82"/>
  <c r="BB20" i="82" s="1"/>
  <c r="D21" i="82"/>
  <c r="BB21" i="82" s="1"/>
  <c r="X15" i="82"/>
  <c r="X10" i="82" s="1"/>
  <c r="AC11" i="82"/>
  <c r="AC10" i="82" s="1"/>
  <c r="I26" i="82"/>
  <c r="BB26" i="82" s="1"/>
  <c r="I15" i="82"/>
  <c r="I11" i="82"/>
  <c r="F22" i="96"/>
  <c r="D51" i="57"/>
  <c r="D49" i="57" s="1"/>
  <c r="D54" i="57"/>
  <c r="D53" i="57" s="1"/>
  <c r="D36" i="57"/>
  <c r="D35" i="57" s="1"/>
  <c r="D34" i="57" s="1"/>
  <c r="C13" i="39" s="1"/>
  <c r="C15" i="39"/>
  <c r="D29" i="57"/>
  <c r="D28" i="57" s="1"/>
  <c r="D41" i="57"/>
  <c r="D40" i="57" s="1"/>
  <c r="F130" i="96"/>
  <c r="D31" i="57"/>
  <c r="D30" i="57" s="1"/>
  <c r="D27" i="57"/>
  <c r="D23" i="57"/>
  <c r="C12" i="39" s="1"/>
  <c r="D17" i="57"/>
  <c r="C54" i="39"/>
  <c r="C53" i="39" s="1"/>
  <c r="I18" i="83"/>
  <c r="N15" i="83"/>
  <c r="N11" i="83"/>
  <c r="D13" i="57"/>
  <c r="S81" i="83" s="1"/>
  <c r="D47" i="81" s="1"/>
  <c r="C36" i="99" s="1"/>
  <c r="C30" i="99" s="1"/>
  <c r="BA83" i="82"/>
  <c r="BB83" i="82"/>
  <c r="BA85" i="82"/>
  <c r="BB85" i="82"/>
  <c r="D86" i="82"/>
  <c r="AW42" i="82"/>
  <c r="AW39" i="82"/>
  <c r="AW30" i="82"/>
  <c r="AW29" i="82"/>
  <c r="AW16" i="82"/>
  <c r="AC39" i="82"/>
  <c r="AC30" i="82"/>
  <c r="AC29" i="82"/>
  <c r="AC16" i="82"/>
  <c r="X30" i="82"/>
  <c r="X29" i="82"/>
  <c r="X16" i="82"/>
  <c r="I30" i="82"/>
  <c r="I16" i="82"/>
  <c r="D36" i="82"/>
  <c r="D35" i="82"/>
  <c r="BB35" i="82" s="1"/>
  <c r="D34" i="82"/>
  <c r="BB34" i="82" s="1"/>
  <c r="D33" i="82"/>
  <c r="D28" i="82"/>
  <c r="D29" i="82" s="1"/>
  <c r="D10" i="82"/>
  <c r="BB75" i="82"/>
  <c r="BB76" i="82"/>
  <c r="BB77" i="82"/>
  <c r="BC77" i="82"/>
  <c r="BD77" i="82"/>
  <c r="BE77" i="82"/>
  <c r="BB78" i="82"/>
  <c r="BC78" i="82"/>
  <c r="BD78" i="82"/>
  <c r="BE78" i="82"/>
  <c r="BB79" i="82"/>
  <c r="BC79" i="82"/>
  <c r="BD79" i="82"/>
  <c r="BE79" i="82"/>
  <c r="BB80" i="82"/>
  <c r="BB81" i="82"/>
  <c r="BB87" i="82"/>
  <c r="BC87" i="82"/>
  <c r="BD87" i="82"/>
  <c r="BE87" i="82"/>
  <c r="BB88" i="82"/>
  <c r="BC88" i="82"/>
  <c r="BD88" i="82"/>
  <c r="BE88" i="82"/>
  <c r="BB92" i="82"/>
  <c r="BD93" i="82"/>
  <c r="BE93" i="82"/>
  <c r="BB94" i="82"/>
  <c r="BC94" i="82"/>
  <c r="BD94" i="82"/>
  <c r="BE94" i="82"/>
  <c r="BB98" i="82"/>
  <c r="D123" i="57" s="1"/>
  <c r="BC98" i="82"/>
  <c r="E123" i="57" s="1"/>
  <c r="BD98" i="82"/>
  <c r="F123" i="57" s="1"/>
  <c r="BE98" i="82"/>
  <c r="G123" i="57" s="1"/>
  <c r="BB103" i="82"/>
  <c r="BC103" i="82"/>
  <c r="BD103" i="82"/>
  <c r="BE103" i="82"/>
  <c r="BB49" i="82"/>
  <c r="BC49" i="82"/>
  <c r="BD49" i="82"/>
  <c r="BE49" i="82"/>
  <c r="BB50" i="82"/>
  <c r="BC50" i="82"/>
  <c r="BD50" i="82"/>
  <c r="BE50" i="82"/>
  <c r="BB51" i="82"/>
  <c r="BC51" i="82"/>
  <c r="BD51" i="82"/>
  <c r="BE51" i="82"/>
  <c r="BB53" i="82"/>
  <c r="BC53" i="82"/>
  <c r="BD53" i="82"/>
  <c r="BE53" i="82"/>
  <c r="BD54" i="82"/>
  <c r="BE54" i="82"/>
  <c r="BB55" i="82"/>
  <c r="BB56" i="82"/>
  <c r="BE56" i="82"/>
  <c r="BB57" i="82"/>
  <c r="BE57" i="82"/>
  <c r="BB58" i="82"/>
  <c r="BB59" i="82"/>
  <c r="BB60" i="82"/>
  <c r="BE60" i="82"/>
  <c r="BB61" i="82"/>
  <c r="BB62" i="82"/>
  <c r="BE62" i="82"/>
  <c r="BB63" i="82"/>
  <c r="BE63" i="82"/>
  <c r="BB64" i="82"/>
  <c r="BB65" i="82"/>
  <c r="BE65" i="82"/>
  <c r="BE66" i="82"/>
  <c r="BE69" i="82"/>
  <c r="BB70" i="82"/>
  <c r="BE70" i="82"/>
  <c r="BB72" i="82"/>
  <c r="BC72" i="82"/>
  <c r="BD72" i="82"/>
  <c r="BE72" i="82"/>
  <c r="BB73" i="82"/>
  <c r="BC73" i="82"/>
  <c r="BD73" i="82"/>
  <c r="BE73" i="82"/>
  <c r="BB74" i="82"/>
  <c r="BC74" i="82"/>
  <c r="BD74" i="82"/>
  <c r="BE74" i="82"/>
  <c r="BB32" i="82"/>
  <c r="BB37" i="82"/>
  <c r="BC37" i="82"/>
  <c r="BD37" i="82"/>
  <c r="BE37" i="82"/>
  <c r="BB38" i="82"/>
  <c r="BC38" i="82"/>
  <c r="BD38" i="82"/>
  <c r="BE38" i="82"/>
  <c r="BD43" i="82"/>
  <c r="BE43" i="82"/>
  <c r="BD44" i="82"/>
  <c r="BB45" i="82"/>
  <c r="BB47" i="82"/>
  <c r="BC47" i="82"/>
  <c r="BD47" i="82"/>
  <c r="BE47" i="82"/>
  <c r="BB12" i="82"/>
  <c r="BB13" i="82"/>
  <c r="BB14" i="82"/>
  <c r="BC14" i="82"/>
  <c r="BD14" i="82"/>
  <c r="BE14" i="82"/>
  <c r="BB18" i="82"/>
  <c r="BB19" i="82"/>
  <c r="BC19" i="82"/>
  <c r="BD19" i="82"/>
  <c r="BE19" i="82"/>
  <c r="BD21" i="82"/>
  <c r="BE21" i="82"/>
  <c r="BB22" i="82"/>
  <c r="BC22" i="82"/>
  <c r="BD22" i="82"/>
  <c r="BE22" i="82"/>
  <c r="BB24" i="82"/>
  <c r="BC24" i="82"/>
  <c r="BD24" i="82"/>
  <c r="BE24" i="82"/>
  <c r="BB27" i="82"/>
  <c r="BC27" i="82"/>
  <c r="BD27" i="82"/>
  <c r="BE27" i="82"/>
  <c r="S83" i="83"/>
  <c r="S84" i="83"/>
  <c r="N63" i="83"/>
  <c r="N60" i="83"/>
  <c r="I63" i="83"/>
  <c r="I60" i="83"/>
  <c r="I55" i="83"/>
  <c r="S55" i="83" s="1"/>
  <c r="D60" i="83"/>
  <c r="N41" i="83"/>
  <c r="N25" i="83"/>
  <c r="N24" i="83"/>
  <c r="N14" i="83"/>
  <c r="I33" i="83"/>
  <c r="I25" i="83"/>
  <c r="I24" i="83"/>
  <c r="I15" i="83"/>
  <c r="I14" i="83"/>
  <c r="I21" i="83" s="1"/>
  <c r="D38" i="83"/>
  <c r="D33" i="83"/>
  <c r="D23" i="83"/>
  <c r="S23" i="83" s="1"/>
  <c r="D14" i="83"/>
  <c r="C51" i="39"/>
  <c r="C50" i="39" s="1"/>
  <c r="F53" i="39"/>
  <c r="C62" i="39"/>
  <c r="F62" i="39"/>
  <c r="D104" i="57"/>
  <c r="D78" i="57"/>
  <c r="D75" i="57"/>
  <c r="D74" i="57" s="1"/>
  <c r="D108" i="57"/>
  <c r="D58" i="57"/>
  <c r="D44" i="57"/>
  <c r="D135" i="57"/>
  <c r="D136" i="57"/>
  <c r="D73" i="58"/>
  <c r="D64" i="58"/>
  <c r="D60" i="58"/>
  <c r="D41" i="58"/>
  <c r="D35" i="58"/>
  <c r="K23" i="99" s="1"/>
  <c r="K10" i="99" s="1"/>
  <c r="K44" i="99" s="1"/>
  <c r="D34" i="58"/>
  <c r="D105" i="57" s="1"/>
  <c r="D33" i="58"/>
  <c r="D31" i="58"/>
  <c r="D26" i="58"/>
  <c r="D50" i="97" s="1"/>
  <c r="D20" i="58"/>
  <c r="D40" i="36" s="1"/>
  <c r="D18" i="58"/>
  <c r="D14" i="58"/>
  <c r="E75" i="97"/>
  <c r="C126" i="57"/>
  <c r="C104" i="57"/>
  <c r="C57" i="36" s="1"/>
  <c r="D57" i="97" s="1"/>
  <c r="C90" i="82"/>
  <c r="E73" i="97"/>
  <c r="C83" i="58"/>
  <c r="M26" i="53" s="1"/>
  <c r="M10" i="56"/>
  <c r="M12" i="56" s="1"/>
  <c r="B11" i="52"/>
  <c r="B10" i="52" s="1"/>
  <c r="C10" i="52"/>
  <c r="N38" i="101"/>
  <c r="M38" i="101"/>
  <c r="K38" i="101"/>
  <c r="I38" i="101"/>
  <c r="J37" i="101"/>
  <c r="B37" i="101"/>
  <c r="J36" i="101"/>
  <c r="B36" i="101"/>
  <c r="J35" i="101"/>
  <c r="B35" i="101"/>
  <c r="J34" i="101"/>
  <c r="B34" i="101"/>
  <c r="J33" i="101"/>
  <c r="B33" i="101"/>
  <c r="J32" i="101"/>
  <c r="B32" i="101"/>
  <c r="J31" i="101"/>
  <c r="B31" i="101"/>
  <c r="J30" i="101"/>
  <c r="B30" i="101"/>
  <c r="J29" i="101"/>
  <c r="B29" i="101"/>
  <c r="J28" i="101"/>
  <c r="B28" i="101"/>
  <c r="J27" i="101"/>
  <c r="B27" i="101"/>
  <c r="J26" i="101"/>
  <c r="B26" i="101"/>
  <c r="J25" i="101"/>
  <c r="B25" i="101"/>
  <c r="S20" i="101"/>
  <c r="Q20" i="101"/>
  <c r="J20" i="101"/>
  <c r="N19" i="101"/>
  <c r="L19" i="101"/>
  <c r="K19" i="101"/>
  <c r="N18" i="101"/>
  <c r="L18" i="101"/>
  <c r="K18" i="101"/>
  <c r="I18" i="101"/>
  <c r="F18" i="101"/>
  <c r="O37" i="101" s="1"/>
  <c r="E18" i="101"/>
  <c r="L37" i="101" s="1"/>
  <c r="D18" i="101"/>
  <c r="C18" i="101"/>
  <c r="B18" i="101"/>
  <c r="N17" i="101"/>
  <c r="L17" i="101"/>
  <c r="K17" i="101"/>
  <c r="I17" i="101"/>
  <c r="F17" i="101"/>
  <c r="O36" i="101" s="1"/>
  <c r="E17" i="101"/>
  <c r="L36" i="101" s="1"/>
  <c r="D17" i="101"/>
  <c r="C17" i="101"/>
  <c r="B17" i="101"/>
  <c r="N16" i="101"/>
  <c r="M16" i="101"/>
  <c r="L16" i="101"/>
  <c r="K16" i="101"/>
  <c r="I16" i="101"/>
  <c r="F16" i="101"/>
  <c r="O35" i="101" s="1"/>
  <c r="E16" i="101"/>
  <c r="L35" i="101" s="1"/>
  <c r="D16" i="101"/>
  <c r="C16" i="101"/>
  <c r="B16" i="101"/>
  <c r="N15" i="101"/>
  <c r="M15" i="101"/>
  <c r="L15" i="101"/>
  <c r="K15" i="101"/>
  <c r="I15" i="101"/>
  <c r="F15" i="101"/>
  <c r="O34" i="101" s="1"/>
  <c r="E15" i="101"/>
  <c r="L34" i="101" s="1"/>
  <c r="D15" i="101"/>
  <c r="C15" i="101"/>
  <c r="B15" i="101"/>
  <c r="N14" i="101"/>
  <c r="L14" i="101"/>
  <c r="K14" i="101"/>
  <c r="I14" i="101"/>
  <c r="F14" i="101"/>
  <c r="O33" i="101" s="1"/>
  <c r="E14" i="101"/>
  <c r="L33" i="101" s="1"/>
  <c r="D14" i="101"/>
  <c r="C14" i="101"/>
  <c r="B14" i="101"/>
  <c r="N13" i="101"/>
  <c r="L13" i="101"/>
  <c r="K13" i="101"/>
  <c r="I13" i="101"/>
  <c r="F13" i="101"/>
  <c r="O32" i="101" s="1"/>
  <c r="E13" i="101"/>
  <c r="L32" i="101" s="1"/>
  <c r="D13" i="101"/>
  <c r="C13" i="101"/>
  <c r="B13" i="101"/>
  <c r="N12" i="101"/>
  <c r="L12" i="101"/>
  <c r="K12" i="101"/>
  <c r="I12" i="101"/>
  <c r="F12" i="101"/>
  <c r="O31" i="101" s="1"/>
  <c r="E12" i="101"/>
  <c r="L31" i="101" s="1"/>
  <c r="D12" i="101"/>
  <c r="C12" i="101"/>
  <c r="B12" i="101"/>
  <c r="N11" i="101"/>
  <c r="M11" i="101"/>
  <c r="L11" i="101"/>
  <c r="K11" i="101"/>
  <c r="I11" i="101"/>
  <c r="F11" i="101"/>
  <c r="O30" i="101" s="1"/>
  <c r="E11" i="101"/>
  <c r="L30" i="101" s="1"/>
  <c r="D11" i="101"/>
  <c r="C11" i="101"/>
  <c r="B11" i="101"/>
  <c r="N10" i="101"/>
  <c r="M10" i="101"/>
  <c r="L10" i="101"/>
  <c r="K10" i="101"/>
  <c r="I10" i="101"/>
  <c r="F10" i="101"/>
  <c r="O29" i="101" s="1"/>
  <c r="E10" i="101"/>
  <c r="L29" i="101" s="1"/>
  <c r="D10" i="101"/>
  <c r="C10" i="101"/>
  <c r="B10" i="101"/>
  <c r="N9" i="101"/>
  <c r="L9" i="101"/>
  <c r="K9" i="101"/>
  <c r="I9" i="101"/>
  <c r="F9" i="101"/>
  <c r="O28" i="101" s="1"/>
  <c r="E9" i="101"/>
  <c r="L28" i="101" s="1"/>
  <c r="D9" i="101"/>
  <c r="C9" i="101"/>
  <c r="B9" i="101"/>
  <c r="N8" i="101"/>
  <c r="L8" i="101"/>
  <c r="K8" i="101"/>
  <c r="I8" i="101"/>
  <c r="F8" i="101"/>
  <c r="O27" i="101" s="1"/>
  <c r="E8" i="101"/>
  <c r="L27" i="101" s="1"/>
  <c r="D8" i="101"/>
  <c r="C8" i="101"/>
  <c r="B8" i="101"/>
  <c r="N7" i="101"/>
  <c r="L7" i="101"/>
  <c r="K7" i="101"/>
  <c r="I7" i="101"/>
  <c r="F7" i="101"/>
  <c r="O26" i="101" s="1"/>
  <c r="E7" i="101"/>
  <c r="L26" i="101" s="1"/>
  <c r="D7" i="101"/>
  <c r="C7" i="101"/>
  <c r="B7" i="101"/>
  <c r="N6" i="101"/>
  <c r="M6" i="101"/>
  <c r="L6" i="101"/>
  <c r="K6" i="101"/>
  <c r="I6" i="101"/>
  <c r="F6" i="101"/>
  <c r="O25" i="101" s="1"/>
  <c r="E6" i="101"/>
  <c r="L25" i="101" s="1"/>
  <c r="D6" i="101"/>
  <c r="C6" i="101"/>
  <c r="B6" i="101"/>
  <c r="C46" i="58"/>
  <c r="C45" i="58" s="1"/>
  <c r="M126" i="82"/>
  <c r="H125" i="82"/>
  <c r="M125" i="82" s="1"/>
  <c r="R36" i="83"/>
  <c r="C22" i="83"/>
  <c r="M14" i="83"/>
  <c r="H22" i="83"/>
  <c r="H14" i="83"/>
  <c r="C23" i="83"/>
  <c r="C14" i="83"/>
  <c r="C28" i="82"/>
  <c r="BA28" i="82" s="1"/>
  <c r="C136" i="57"/>
  <c r="H124" i="82"/>
  <c r="M124" i="82" s="1"/>
  <c r="C40" i="57"/>
  <c r="C73" i="58"/>
  <c r="C66" i="58" s="1"/>
  <c r="H127" i="82"/>
  <c r="M127" i="82" s="1"/>
  <c r="H122" i="82"/>
  <c r="M122" i="82" s="1"/>
  <c r="H123" i="82"/>
  <c r="M123" i="82" s="1"/>
  <c r="C116" i="82"/>
  <c r="C136" i="82" s="1"/>
  <c r="E13" i="100"/>
  <c r="F14" i="100"/>
  <c r="F12" i="100"/>
  <c r="G12" i="100"/>
  <c r="F11" i="100"/>
  <c r="AQ116" i="82"/>
  <c r="H120" i="82"/>
  <c r="M120" i="82" s="1"/>
  <c r="C58" i="36"/>
  <c r="H119" i="82"/>
  <c r="M119" i="82" s="1"/>
  <c r="BA103" i="82"/>
  <c r="BA98" i="82"/>
  <c r="C123" i="57" s="1"/>
  <c r="BA96" i="82"/>
  <c r="BA51" i="82"/>
  <c r="BA52" i="82"/>
  <c r="BA53" i="82"/>
  <c r="BA54" i="82"/>
  <c r="BA55" i="82"/>
  <c r="BA56" i="82"/>
  <c r="BA57" i="82"/>
  <c r="BA58" i="82"/>
  <c r="BA59" i="82"/>
  <c r="BA60" i="82"/>
  <c r="BA62" i="82"/>
  <c r="BA63" i="82"/>
  <c r="BA64" i="82"/>
  <c r="BA65" i="82"/>
  <c r="BA70" i="82"/>
  <c r="BA72" i="82"/>
  <c r="BA73" i="82"/>
  <c r="BA74" i="82"/>
  <c r="BA75" i="82"/>
  <c r="BA76" i="82"/>
  <c r="BA77" i="82"/>
  <c r="BA78" i="82"/>
  <c r="BA79" i="82"/>
  <c r="BA80" i="82"/>
  <c r="BA81" i="82"/>
  <c r="BA82" i="82"/>
  <c r="BA87" i="82"/>
  <c r="BA88" i="82"/>
  <c r="BA93" i="82"/>
  <c r="BA94" i="82"/>
  <c r="BA32" i="82"/>
  <c r="BA37" i="82"/>
  <c r="BA38" i="82"/>
  <c r="BA41" i="82"/>
  <c r="BA43" i="82"/>
  <c r="BA44" i="82"/>
  <c r="BA45" i="82"/>
  <c r="BA47" i="82"/>
  <c r="BA48" i="82"/>
  <c r="BA49" i="82"/>
  <c r="BA50" i="82"/>
  <c r="BA26" i="82"/>
  <c r="BA17" i="82"/>
  <c r="BA18" i="82"/>
  <c r="BA19" i="82"/>
  <c r="BA21" i="82"/>
  <c r="BA22" i="82"/>
  <c r="BA24" i="82"/>
  <c r="BA12" i="82"/>
  <c r="BA13" i="82"/>
  <c r="BA14" i="82"/>
  <c r="BA15" i="82"/>
  <c r="BA11" i="82"/>
  <c r="V9" i="83"/>
  <c r="V13" i="83"/>
  <c r="V16" i="83"/>
  <c r="V19" i="83"/>
  <c r="V20" i="83"/>
  <c r="V23" i="83"/>
  <c r="V26" i="83"/>
  <c r="V27" i="83"/>
  <c r="V28" i="83"/>
  <c r="V30" i="83"/>
  <c r="V31" i="83"/>
  <c r="V34" i="83"/>
  <c r="V35" i="83"/>
  <c r="V39" i="83"/>
  <c r="V40" i="83"/>
  <c r="V43" i="83"/>
  <c r="V44" i="83"/>
  <c r="V45" i="83"/>
  <c r="V46" i="83"/>
  <c r="V47" i="83"/>
  <c r="V48" i="83"/>
  <c r="V49" i="83"/>
  <c r="V50" i="83"/>
  <c r="V52" i="83"/>
  <c r="V53" i="83"/>
  <c r="V54" i="83"/>
  <c r="V57" i="83"/>
  <c r="V59" i="83"/>
  <c r="V62" i="83"/>
  <c r="V65" i="83"/>
  <c r="V66" i="83"/>
  <c r="V67" i="83"/>
  <c r="V68" i="83"/>
  <c r="V69" i="83"/>
  <c r="V73" i="83"/>
  <c r="V74" i="83"/>
  <c r="V77" i="83"/>
  <c r="V78" i="83"/>
  <c r="V80" i="83"/>
  <c r="V83" i="83"/>
  <c r="V84" i="83"/>
  <c r="D39" i="81"/>
  <c r="F40" i="99" s="1"/>
  <c r="F34" i="99" s="1"/>
  <c r="R84" i="83"/>
  <c r="R81" i="83"/>
  <c r="D46" i="81" s="1"/>
  <c r="C75" i="57"/>
  <c r="C74" i="57" s="1"/>
  <c r="B15" i="39"/>
  <c r="B14" i="39"/>
  <c r="B12" i="39"/>
  <c r="B62" i="39"/>
  <c r="C28" i="57"/>
  <c r="C53" i="57"/>
  <c r="C49" i="57"/>
  <c r="C12" i="57"/>
  <c r="C11" i="57"/>
  <c r="C35" i="57"/>
  <c r="C34" i="57" s="1"/>
  <c r="B13" i="39" s="1"/>
  <c r="C30" i="57"/>
  <c r="C44" i="57"/>
  <c r="C58" i="57"/>
  <c r="G68" i="36"/>
  <c r="F68" i="36"/>
  <c r="G86" i="58"/>
  <c r="G85" i="58" s="1"/>
  <c r="G66" i="58"/>
  <c r="G64" i="58"/>
  <c r="G60" i="58"/>
  <c r="G45" i="58"/>
  <c r="G35" i="58"/>
  <c r="K27" i="99" s="1"/>
  <c r="K14" i="99" s="1"/>
  <c r="K48" i="99" s="1"/>
  <c r="G31" i="58"/>
  <c r="G26" i="58"/>
  <c r="G50" i="36" s="1"/>
  <c r="G20" i="58"/>
  <c r="G40" i="36" s="1"/>
  <c r="G18" i="58"/>
  <c r="G14" i="58"/>
  <c r="K25" i="99"/>
  <c r="K12" i="99" s="1"/>
  <c r="K46" i="99" s="1"/>
  <c r="F50" i="36"/>
  <c r="F40" i="36"/>
  <c r="F73" i="39"/>
  <c r="E73" i="39"/>
  <c r="BE96" i="82"/>
  <c r="BD96" i="82"/>
  <c r="BD92" i="82"/>
  <c r="AK89" i="82"/>
  <c r="AJ89" i="82"/>
  <c r="AF89" i="82"/>
  <c r="AE89" i="82"/>
  <c r="AA89" i="82"/>
  <c r="AA86" i="82"/>
  <c r="Z89" i="82"/>
  <c r="Z86" i="82"/>
  <c r="V89" i="82"/>
  <c r="V86" i="82"/>
  <c r="BE81" i="82"/>
  <c r="BD81" i="82"/>
  <c r="Q89" i="82"/>
  <c r="Q86" i="82"/>
  <c r="L89" i="82"/>
  <c r="L86" i="82"/>
  <c r="L42" i="82"/>
  <c r="BE92" i="82"/>
  <c r="G86" i="82"/>
  <c r="BE82" i="82"/>
  <c r="BE76" i="82"/>
  <c r="BE75" i="82"/>
  <c r="BD85" i="82"/>
  <c r="BD82" i="82"/>
  <c r="BD76" i="82"/>
  <c r="BD75" i="82"/>
  <c r="BE64" i="82"/>
  <c r="AZ42" i="82"/>
  <c r="AZ39" i="82"/>
  <c r="AZ30" i="82"/>
  <c r="AU42" i="82"/>
  <c r="AU39" i="82"/>
  <c r="AT42" i="82"/>
  <c r="AT39" i="82"/>
  <c r="BE61" i="82"/>
  <c r="BE46" i="82"/>
  <c r="AA30" i="82"/>
  <c r="BD46" i="82"/>
  <c r="BE58" i="82"/>
  <c r="BE55" i="82"/>
  <c r="BE31" i="82"/>
  <c r="BD55" i="82"/>
  <c r="Q42" i="82"/>
  <c r="L39" i="82"/>
  <c r="L30" i="82"/>
  <c r="BE52" i="82"/>
  <c r="G39" i="82"/>
  <c r="BE35" i="82"/>
  <c r="BE34" i="82"/>
  <c r="BE33" i="82"/>
  <c r="BE32" i="82"/>
  <c r="BD52" i="82"/>
  <c r="BD35" i="82"/>
  <c r="BD34" i="82"/>
  <c r="BD33" i="82"/>
  <c r="AZ29" i="82"/>
  <c r="AZ16" i="82"/>
  <c r="AF29" i="82"/>
  <c r="AF16" i="82"/>
  <c r="AA29" i="82"/>
  <c r="AA16" i="82"/>
  <c r="L16" i="82"/>
  <c r="BE15" i="82"/>
  <c r="BE12" i="82"/>
  <c r="BD15" i="82"/>
  <c r="BD12" i="82"/>
  <c r="BE28" i="82"/>
  <c r="BE20" i="82"/>
  <c r="BE18" i="82"/>
  <c r="BE17" i="82"/>
  <c r="BD28" i="82"/>
  <c r="BD18" i="82"/>
  <c r="G103" i="57"/>
  <c r="G102" i="57" s="1"/>
  <c r="G46" i="36"/>
  <c r="G80" i="57"/>
  <c r="G74" i="57"/>
  <c r="F50" i="39"/>
  <c r="F46" i="36"/>
  <c r="F22" i="36"/>
  <c r="U84" i="83"/>
  <c r="U83" i="83"/>
  <c r="Q63" i="83"/>
  <c r="Q60" i="83"/>
  <c r="L63" i="83"/>
  <c r="L60" i="83"/>
  <c r="L41" i="83"/>
  <c r="G76" i="83"/>
  <c r="V71" i="83"/>
  <c r="V70" i="83"/>
  <c r="G60" i="83"/>
  <c r="V58" i="83"/>
  <c r="V51" i="83"/>
  <c r="U64" i="83"/>
  <c r="U58" i="83"/>
  <c r="U56" i="83"/>
  <c r="U55" i="83"/>
  <c r="U51" i="83"/>
  <c r="Q41" i="83"/>
  <c r="Q33" i="83"/>
  <c r="V42" i="83"/>
  <c r="V38" i="83"/>
  <c r="V37" i="83"/>
  <c r="V32" i="83"/>
  <c r="V29" i="83"/>
  <c r="U42" i="83"/>
  <c r="U38" i="83"/>
  <c r="U29" i="83"/>
  <c r="L24" i="83"/>
  <c r="U22" i="83"/>
  <c r="Q21" i="83"/>
  <c r="V18" i="83"/>
  <c r="V17" i="83"/>
  <c r="V12" i="83"/>
  <c r="U17" i="83"/>
  <c r="U15" i="83"/>
  <c r="U12" i="83"/>
  <c r="U11" i="83"/>
  <c r="F142" i="96"/>
  <c r="F149" i="96"/>
  <c r="F124" i="96"/>
  <c r="I17" i="80"/>
  <c r="I11" i="80" s="1"/>
  <c r="C14" i="58"/>
  <c r="F138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30" i="80"/>
  <c r="P31" i="80"/>
  <c r="L29" i="80"/>
  <c r="M29" i="80"/>
  <c r="L30" i="80"/>
  <c r="M30" i="80"/>
  <c r="L31" i="80"/>
  <c r="M31" i="80"/>
  <c r="L28" i="80"/>
  <c r="M28" i="80"/>
  <c r="E29" i="80"/>
  <c r="G29" i="80"/>
  <c r="H29" i="80"/>
  <c r="I29" i="80"/>
  <c r="E30" i="80"/>
  <c r="G30" i="80"/>
  <c r="H30" i="80"/>
  <c r="I30" i="80"/>
  <c r="E31" i="80"/>
  <c r="G31" i="80"/>
  <c r="H31" i="80"/>
  <c r="I31" i="80"/>
  <c r="E28" i="80"/>
  <c r="G28" i="80"/>
  <c r="H28" i="80"/>
  <c r="I28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43" i="80" s="1"/>
  <c r="P11" i="80"/>
  <c r="P12" i="80"/>
  <c r="P13" i="80"/>
  <c r="P14" i="80"/>
  <c r="P9" i="80"/>
  <c r="K13" i="80"/>
  <c r="L13" i="80"/>
  <c r="L46" i="80" s="1"/>
  <c r="M13" i="80"/>
  <c r="I13" i="80"/>
  <c r="G13" i="80"/>
  <c r="B13" i="80"/>
  <c r="C13" i="80"/>
  <c r="D13" i="80"/>
  <c r="E13" i="80"/>
  <c r="F13" i="80"/>
  <c r="H13" i="80"/>
  <c r="J25" i="80"/>
  <c r="A43" i="80"/>
  <c r="A44" i="80"/>
  <c r="A45" i="80"/>
  <c r="A46" i="80"/>
  <c r="A47" i="80"/>
  <c r="A42" i="80"/>
  <c r="A41" i="80"/>
  <c r="A38" i="80"/>
  <c r="A29" i="80"/>
  <c r="A30" i="80"/>
  <c r="A31" i="80"/>
  <c r="A28" i="80"/>
  <c r="A27" i="80"/>
  <c r="A22" i="80"/>
  <c r="A23" i="80"/>
  <c r="A24" i="80"/>
  <c r="A25" i="80"/>
  <c r="A21" i="80"/>
  <c r="A16" i="80"/>
  <c r="A17" i="80"/>
  <c r="A18" i="80"/>
  <c r="A19" i="80"/>
  <c r="A20" i="80"/>
  <c r="A15" i="80"/>
  <c r="A10" i="80"/>
  <c r="A11" i="80"/>
  <c r="A12" i="80"/>
  <c r="A13" i="80"/>
  <c r="A14" i="80"/>
  <c r="A9" i="80"/>
  <c r="B39" i="99"/>
  <c r="C39" i="99"/>
  <c r="C33" i="99" s="1"/>
  <c r="E39" i="99"/>
  <c r="E33" i="99" s="1"/>
  <c r="E47" i="99" s="1"/>
  <c r="F39" i="99"/>
  <c r="F33" i="99" s="1"/>
  <c r="C11" i="99"/>
  <c r="C12" i="99"/>
  <c r="B13" i="99"/>
  <c r="C13" i="99"/>
  <c r="D13" i="99"/>
  <c r="E13" i="99"/>
  <c r="F13" i="99"/>
  <c r="H13" i="99"/>
  <c r="H47" i="99" s="1"/>
  <c r="I13" i="99"/>
  <c r="I47" i="99" s="1"/>
  <c r="J13" i="99"/>
  <c r="J47" i="99" s="1"/>
  <c r="K13" i="99"/>
  <c r="K47" i="99" s="1"/>
  <c r="C14" i="99"/>
  <c r="E20" i="99"/>
  <c r="E14" i="99" s="1"/>
  <c r="E18" i="99"/>
  <c r="E12" i="99" s="1"/>
  <c r="E17" i="99"/>
  <c r="E11" i="99" s="1"/>
  <c r="E16" i="99"/>
  <c r="E10" i="99" s="1"/>
  <c r="E15" i="99"/>
  <c r="E9" i="99" s="1"/>
  <c r="D20" i="99"/>
  <c r="D14" i="99" s="1"/>
  <c r="D18" i="99"/>
  <c r="D12" i="99" s="1"/>
  <c r="D17" i="99"/>
  <c r="D11" i="99" s="1"/>
  <c r="A41" i="99"/>
  <c r="A40" i="80" s="1"/>
  <c r="A40" i="99"/>
  <c r="A39" i="80" s="1"/>
  <c r="A38" i="99"/>
  <c r="A37" i="80" s="1"/>
  <c r="A37" i="99"/>
  <c r="A36" i="80" s="1"/>
  <c r="A36" i="99"/>
  <c r="A35" i="80" s="1"/>
  <c r="A35" i="99"/>
  <c r="A34" i="80" s="1"/>
  <c r="D34" i="99"/>
  <c r="D33" i="99"/>
  <c r="D32" i="99"/>
  <c r="D31" i="99"/>
  <c r="D30" i="99"/>
  <c r="D29" i="99"/>
  <c r="L28" i="99"/>
  <c r="G28" i="99"/>
  <c r="G27" i="99"/>
  <c r="A27" i="99"/>
  <c r="A26" i="80" s="1"/>
  <c r="G26" i="99"/>
  <c r="G13" i="99" s="1"/>
  <c r="G25" i="99"/>
  <c r="G24" i="99"/>
  <c r="G23" i="99"/>
  <c r="G22" i="99"/>
  <c r="L21" i="99"/>
  <c r="G21" i="99"/>
  <c r="C10" i="99"/>
  <c r="C9" i="99"/>
  <c r="D88" i="81"/>
  <c r="E88" i="81" s="1"/>
  <c r="E137" i="81"/>
  <c r="F137" i="81" s="1"/>
  <c r="F130" i="81"/>
  <c r="E123" i="81"/>
  <c r="F123" i="81" s="1"/>
  <c r="E109" i="81"/>
  <c r="F109" i="81" s="1"/>
  <c r="E102" i="81"/>
  <c r="B71" i="81"/>
  <c r="B99" i="81" s="1"/>
  <c r="B106" i="81" s="1"/>
  <c r="B113" i="81" s="1"/>
  <c r="B120" i="81" s="1"/>
  <c r="B127" i="81" s="1"/>
  <c r="B134" i="81" s="1"/>
  <c r="B141" i="81" s="1"/>
  <c r="B148" i="81" s="1"/>
  <c r="B72" i="81"/>
  <c r="B100" i="81" s="1"/>
  <c r="B107" i="81" s="1"/>
  <c r="B114" i="81" s="1"/>
  <c r="B121" i="81" s="1"/>
  <c r="B128" i="81" s="1"/>
  <c r="B135" i="81" s="1"/>
  <c r="B142" i="81" s="1"/>
  <c r="B149" i="81" s="1"/>
  <c r="B73" i="81"/>
  <c r="B79" i="81" s="1"/>
  <c r="B93" i="81" s="1"/>
  <c r="B74" i="81"/>
  <c r="B102" i="81" s="1"/>
  <c r="B109" i="81" s="1"/>
  <c r="B116" i="81" s="1"/>
  <c r="B123" i="81" s="1"/>
  <c r="B130" i="81" s="1"/>
  <c r="B137" i="81" s="1"/>
  <c r="B144" i="81" s="1"/>
  <c r="B151" i="81" s="1"/>
  <c r="B75" i="81"/>
  <c r="B103" i="81" s="1"/>
  <c r="B110" i="81" s="1"/>
  <c r="B117" i="81" s="1"/>
  <c r="B124" i="81" s="1"/>
  <c r="B131" i="81" s="1"/>
  <c r="B138" i="81" s="1"/>
  <c r="B145" i="81" s="1"/>
  <c r="B152" i="81" s="1"/>
  <c r="B70" i="81"/>
  <c r="B84" i="81" s="1"/>
  <c r="D30" i="81"/>
  <c r="D37" i="81"/>
  <c r="E37" i="81" s="1"/>
  <c r="B19" i="81"/>
  <c r="B27" i="81" s="1"/>
  <c r="B35" i="81" s="1"/>
  <c r="B47" i="81" s="1"/>
  <c r="B55" i="81" s="1"/>
  <c r="B63" i="81" s="1"/>
  <c r="B20" i="81"/>
  <c r="B28" i="81" s="1"/>
  <c r="B36" i="81" s="1"/>
  <c r="B48" i="81" s="1"/>
  <c r="B56" i="81" s="1"/>
  <c r="B64" i="81" s="1"/>
  <c r="B21" i="81"/>
  <c r="B29" i="81" s="1"/>
  <c r="B37" i="81" s="1"/>
  <c r="B22" i="81"/>
  <c r="B30" i="81" s="1"/>
  <c r="B38" i="81" s="1"/>
  <c r="B23" i="81"/>
  <c r="B31" i="81" s="1"/>
  <c r="B39" i="81" s="1"/>
  <c r="B51" i="81" s="1"/>
  <c r="B59" i="81" s="1"/>
  <c r="B67" i="81" s="1"/>
  <c r="T58" i="83"/>
  <c r="T51" i="83"/>
  <c r="BC96" i="82"/>
  <c r="AD89" i="82"/>
  <c r="BC82" i="82"/>
  <c r="BC76" i="82"/>
  <c r="BC75" i="82"/>
  <c r="BC55" i="82"/>
  <c r="BC34" i="82"/>
  <c r="BC32" i="82"/>
  <c r="AX29" i="82"/>
  <c r="AD29" i="82"/>
  <c r="Y29" i="82"/>
  <c r="BC18" i="82"/>
  <c r="BC12" i="82"/>
  <c r="F128" i="96"/>
  <c r="F19" i="96"/>
  <c r="F13" i="96"/>
  <c r="F134" i="96"/>
  <c r="T42" i="83"/>
  <c r="F79" i="96"/>
  <c r="F75" i="96"/>
  <c r="T17" i="83"/>
  <c r="T12" i="83"/>
  <c r="F113" i="96"/>
  <c r="F112" i="96"/>
  <c r="F111" i="96"/>
  <c r="F110" i="96"/>
  <c r="F118" i="96"/>
  <c r="F117" i="96"/>
  <c r="F116" i="96"/>
  <c r="F109" i="96"/>
  <c r="F114" i="96"/>
  <c r="F72" i="96"/>
  <c r="BC81" i="82"/>
  <c r="BC85" i="82"/>
  <c r="AX10" i="82"/>
  <c r="BC13" i="82"/>
  <c r="F147" i="96"/>
  <c r="F148" i="96"/>
  <c r="F81" i="96"/>
  <c r="F18" i="96"/>
  <c r="F17" i="96"/>
  <c r="F16" i="96"/>
  <c r="F15" i="96"/>
  <c r="F10" i="96"/>
  <c r="F20" i="96"/>
  <c r="F152" i="96"/>
  <c r="O2" i="56"/>
  <c r="E81" i="36"/>
  <c r="F81" i="36"/>
  <c r="G81" i="36"/>
  <c r="D74" i="36"/>
  <c r="E74" i="36"/>
  <c r="G74" i="36"/>
  <c r="E129" i="57"/>
  <c r="E128" i="57" s="1"/>
  <c r="G129" i="57"/>
  <c r="G128" i="57" s="1"/>
  <c r="D36" i="81"/>
  <c r="F17" i="99" s="1"/>
  <c r="F11" i="99" s="1"/>
  <c r="D35" i="81"/>
  <c r="E35" i="81" s="1"/>
  <c r="T84" i="83"/>
  <c r="T83" i="83"/>
  <c r="R82" i="83"/>
  <c r="S78" i="83"/>
  <c r="T78" i="83"/>
  <c r="E61" i="58" s="1"/>
  <c r="U78" i="83"/>
  <c r="F61" i="58" s="1"/>
  <c r="F60" i="58" s="1"/>
  <c r="F39" i="58" s="1"/>
  <c r="S80" i="83"/>
  <c r="T80" i="83"/>
  <c r="U80" i="83"/>
  <c r="R74" i="83"/>
  <c r="D133" i="81"/>
  <c r="E133" i="81" s="1"/>
  <c r="S74" i="83"/>
  <c r="D134" i="81" s="1"/>
  <c r="T74" i="83"/>
  <c r="D135" i="81" s="1"/>
  <c r="F36" i="80" s="1"/>
  <c r="F30" i="80" s="1"/>
  <c r="U74" i="83"/>
  <c r="D136" i="81" s="1"/>
  <c r="F37" i="80" s="1"/>
  <c r="F31" i="80" s="1"/>
  <c r="U73" i="83"/>
  <c r="T73" i="83"/>
  <c r="S73" i="83"/>
  <c r="R73" i="83"/>
  <c r="R62" i="83"/>
  <c r="S62" i="83"/>
  <c r="T62" i="83"/>
  <c r="U62" i="83"/>
  <c r="R64" i="83"/>
  <c r="S64" i="83"/>
  <c r="R65" i="83"/>
  <c r="S65" i="83"/>
  <c r="T65" i="83"/>
  <c r="U65" i="83"/>
  <c r="R66" i="83"/>
  <c r="S66" i="83"/>
  <c r="T66" i="83"/>
  <c r="U66" i="83"/>
  <c r="R67" i="83"/>
  <c r="S67" i="83"/>
  <c r="T67" i="83"/>
  <c r="U67" i="83"/>
  <c r="R68" i="83"/>
  <c r="S68" i="83"/>
  <c r="T68" i="83"/>
  <c r="U68" i="83"/>
  <c r="R69" i="83"/>
  <c r="S69" i="83"/>
  <c r="T69" i="83"/>
  <c r="U69" i="83"/>
  <c r="R70" i="83"/>
  <c r="S70" i="83"/>
  <c r="U70" i="83"/>
  <c r="R71" i="83"/>
  <c r="T61" i="83"/>
  <c r="S61" i="83"/>
  <c r="R61" i="83"/>
  <c r="R49" i="83"/>
  <c r="S49" i="83"/>
  <c r="T49" i="83"/>
  <c r="U49" i="83"/>
  <c r="R50" i="83"/>
  <c r="S50" i="83"/>
  <c r="T50" i="83"/>
  <c r="U50" i="83"/>
  <c r="R51" i="83"/>
  <c r="S51" i="83"/>
  <c r="R52" i="83"/>
  <c r="S52" i="83"/>
  <c r="T52" i="83"/>
  <c r="U52" i="83"/>
  <c r="R53" i="83"/>
  <c r="S53" i="83"/>
  <c r="T53" i="83"/>
  <c r="U53" i="83"/>
  <c r="R54" i="83"/>
  <c r="S54" i="83"/>
  <c r="T54" i="83"/>
  <c r="U54" i="83"/>
  <c r="R56" i="83"/>
  <c r="R57" i="83"/>
  <c r="S57" i="83"/>
  <c r="T57" i="83"/>
  <c r="U57" i="83"/>
  <c r="R58" i="83"/>
  <c r="S58" i="83"/>
  <c r="R59" i="83"/>
  <c r="S59" i="83"/>
  <c r="T59" i="83"/>
  <c r="U59" i="83"/>
  <c r="R39" i="83"/>
  <c r="S39" i="83"/>
  <c r="T39" i="83"/>
  <c r="U39" i="83"/>
  <c r="R40" i="83"/>
  <c r="S40" i="83"/>
  <c r="T40" i="83"/>
  <c r="U40" i="83"/>
  <c r="R42" i="83"/>
  <c r="S42" i="83"/>
  <c r="R43" i="83"/>
  <c r="S43" i="83"/>
  <c r="T43" i="83"/>
  <c r="U43" i="83"/>
  <c r="R44" i="83"/>
  <c r="S44" i="83"/>
  <c r="T44" i="83"/>
  <c r="U44" i="83"/>
  <c r="R45" i="83"/>
  <c r="S45" i="83"/>
  <c r="T45" i="83"/>
  <c r="U45" i="83"/>
  <c r="R46" i="83"/>
  <c r="S46" i="83"/>
  <c r="T46" i="83"/>
  <c r="U46" i="83"/>
  <c r="R47" i="83"/>
  <c r="S47" i="83"/>
  <c r="T47" i="83"/>
  <c r="U47" i="83"/>
  <c r="R48" i="83"/>
  <c r="T48" i="83"/>
  <c r="U48" i="83"/>
  <c r="R34" i="83"/>
  <c r="S34" i="83"/>
  <c r="T34" i="83"/>
  <c r="U34" i="83"/>
  <c r="R35" i="83"/>
  <c r="S35" i="83"/>
  <c r="T35" i="83"/>
  <c r="U35" i="83"/>
  <c r="R37" i="83"/>
  <c r="S37" i="83"/>
  <c r="R27" i="83"/>
  <c r="S27" i="83"/>
  <c r="T27" i="83"/>
  <c r="U27" i="83"/>
  <c r="R28" i="83"/>
  <c r="S28" i="83"/>
  <c r="T28" i="83"/>
  <c r="U28" i="83"/>
  <c r="R29" i="83"/>
  <c r="R30" i="83"/>
  <c r="S30" i="83"/>
  <c r="T30" i="83"/>
  <c r="U30" i="83"/>
  <c r="R31" i="83"/>
  <c r="S31" i="83"/>
  <c r="T31" i="83"/>
  <c r="U31" i="83"/>
  <c r="R32" i="83"/>
  <c r="S32" i="83"/>
  <c r="U32" i="83"/>
  <c r="U26" i="83"/>
  <c r="S26" i="83"/>
  <c r="R26" i="83"/>
  <c r="U23" i="83"/>
  <c r="R20" i="83"/>
  <c r="S20" i="83"/>
  <c r="T20" i="83"/>
  <c r="U20" i="83"/>
  <c r="R12" i="83"/>
  <c r="S12" i="83"/>
  <c r="R13" i="83"/>
  <c r="S13" i="83"/>
  <c r="T13" i="83"/>
  <c r="U13" i="83"/>
  <c r="R16" i="83"/>
  <c r="S16" i="83"/>
  <c r="T16" i="83"/>
  <c r="U16" i="83"/>
  <c r="R18" i="83"/>
  <c r="R19" i="83"/>
  <c r="S19" i="83"/>
  <c r="T19" i="83"/>
  <c r="U19" i="83"/>
  <c r="S11" i="83"/>
  <c r="R11" i="83"/>
  <c r="S9" i="83"/>
  <c r="T9" i="83"/>
  <c r="U9" i="83"/>
  <c r="O76" i="83"/>
  <c r="O63" i="83"/>
  <c r="T63" i="83" s="1"/>
  <c r="O60" i="83"/>
  <c r="N76" i="83"/>
  <c r="E60" i="58"/>
  <c r="C60" i="58"/>
  <c r="I9" i="83"/>
  <c r="N9" i="83" s="1"/>
  <c r="J9" i="83"/>
  <c r="O9" i="83"/>
  <c r="K9" i="83"/>
  <c r="P9" i="83" s="1"/>
  <c r="J76" i="83"/>
  <c r="I76" i="83"/>
  <c r="S15" i="83"/>
  <c r="E76" i="83"/>
  <c r="T71" i="83"/>
  <c r="T38" i="83"/>
  <c r="D76" i="83"/>
  <c r="S76" i="83" s="1"/>
  <c r="S71" i="83"/>
  <c r="S56" i="83"/>
  <c r="S17" i="83"/>
  <c r="C128" i="81"/>
  <c r="E17" i="80" s="1"/>
  <c r="E11" i="80" s="1"/>
  <c r="BA27" i="82"/>
  <c r="BB9" i="82"/>
  <c r="BC9" i="82"/>
  <c r="BD9" i="82"/>
  <c r="BE9" i="82"/>
  <c r="BA9" i="82"/>
  <c r="AW9" i="82"/>
  <c r="AX9" i="82"/>
  <c r="AY9" i="82"/>
  <c r="AZ9" i="82"/>
  <c r="AV9" i="82"/>
  <c r="AV30" i="82"/>
  <c r="AV29" i="82"/>
  <c r="AV16" i="82"/>
  <c r="AR86" i="82"/>
  <c r="AS86" i="82"/>
  <c r="AT86" i="82"/>
  <c r="AT89" i="82"/>
  <c r="AR42" i="82"/>
  <c r="AR29" i="82"/>
  <c r="AS29" i="82"/>
  <c r="AT29" i="82"/>
  <c r="AT30" i="82"/>
  <c r="AR10" i="82"/>
  <c r="AS10" i="82"/>
  <c r="AT10" i="82"/>
  <c r="AR16" i="82"/>
  <c r="AS16" i="82"/>
  <c r="AT16" i="82"/>
  <c r="AR9" i="82"/>
  <c r="AS9" i="82"/>
  <c r="AT9" i="82"/>
  <c r="AU9" i="82"/>
  <c r="AQ9" i="82"/>
  <c r="AM86" i="82"/>
  <c r="AN86" i="82"/>
  <c r="AO86" i="82"/>
  <c r="AM89" i="82"/>
  <c r="AN89" i="82"/>
  <c r="AO89" i="82"/>
  <c r="AM42" i="82"/>
  <c r="AM39" i="82"/>
  <c r="AN39" i="82"/>
  <c r="AO39" i="82"/>
  <c r="AM29" i="82"/>
  <c r="AN29" i="82"/>
  <c r="AO29" i="82"/>
  <c r="AM30" i="82"/>
  <c r="AN30" i="82"/>
  <c r="AO30" i="82"/>
  <c r="AM10" i="82"/>
  <c r="AN10" i="82"/>
  <c r="AO10" i="82"/>
  <c r="AP10" i="82"/>
  <c r="AM16" i="82"/>
  <c r="AN16" i="82"/>
  <c r="AO16" i="82"/>
  <c r="AP16" i="82"/>
  <c r="AP25" i="82" s="1"/>
  <c r="AM9" i="82"/>
  <c r="AN9" i="82"/>
  <c r="AO9" i="82"/>
  <c r="AP9" i="82"/>
  <c r="AL9" i="82"/>
  <c r="AI89" i="82"/>
  <c r="AI86" i="82"/>
  <c r="AI39" i="82"/>
  <c r="AI42" i="82"/>
  <c r="AI29" i="82"/>
  <c r="AI30" i="82"/>
  <c r="AI10" i="82"/>
  <c r="AI16" i="82"/>
  <c r="AH9" i="82"/>
  <c r="AI9" i="82"/>
  <c r="AJ9" i="82"/>
  <c r="AK9" i="82"/>
  <c r="AG9" i="82"/>
  <c r="AJ10" i="82"/>
  <c r="AJ16" i="82"/>
  <c r="AJ29" i="82"/>
  <c r="AJ30" i="82"/>
  <c r="AJ39" i="82"/>
  <c r="AJ42" i="82"/>
  <c r="AJ86" i="82"/>
  <c r="AC9" i="82"/>
  <c r="AD9" i="82"/>
  <c r="AE9" i="82"/>
  <c r="AF9" i="82"/>
  <c r="AB9" i="82"/>
  <c r="X9" i="82"/>
  <c r="Y9" i="82"/>
  <c r="Z9" i="82"/>
  <c r="AA9" i="82"/>
  <c r="W9" i="82"/>
  <c r="S9" i="82"/>
  <c r="T9" i="82"/>
  <c r="U9" i="82"/>
  <c r="V9" i="82"/>
  <c r="R9" i="82"/>
  <c r="N9" i="82"/>
  <c r="O9" i="82"/>
  <c r="P9" i="82"/>
  <c r="Q9" i="82"/>
  <c r="M9" i="82"/>
  <c r="BA92" i="82"/>
  <c r="C40" i="82"/>
  <c r="C39" i="82" s="1"/>
  <c r="BC35" i="82"/>
  <c r="C36" i="82"/>
  <c r="BA36" i="82" s="1"/>
  <c r="C35" i="82"/>
  <c r="BA35" i="82" s="1"/>
  <c r="C34" i="82"/>
  <c r="BA34" i="82" s="1"/>
  <c r="C33" i="82"/>
  <c r="BA33" i="82" s="1"/>
  <c r="J86" i="82"/>
  <c r="H89" i="82"/>
  <c r="I86" i="82"/>
  <c r="H86" i="82"/>
  <c r="I42" i="82"/>
  <c r="H42" i="82"/>
  <c r="H39" i="82"/>
  <c r="H30" i="82"/>
  <c r="H29" i="82"/>
  <c r="J16" i="82"/>
  <c r="I9" i="82"/>
  <c r="J9" i="82"/>
  <c r="K9" i="82"/>
  <c r="L9" i="82"/>
  <c r="H9" i="82"/>
  <c r="H16" i="82"/>
  <c r="H10" i="82"/>
  <c r="G10" i="82"/>
  <c r="E10" i="82"/>
  <c r="C20" i="82"/>
  <c r="BA20" i="82" s="1"/>
  <c r="C10" i="82"/>
  <c r="F8" i="39"/>
  <c r="C8" i="39"/>
  <c r="D8" i="39"/>
  <c r="E8" i="39"/>
  <c r="G7" i="58"/>
  <c r="D7" i="58"/>
  <c r="E7" i="58"/>
  <c r="F7" i="58"/>
  <c r="G7" i="57"/>
  <c r="D7" i="57"/>
  <c r="E7" i="57"/>
  <c r="F7" i="57"/>
  <c r="F106" i="96"/>
  <c r="D80" i="97"/>
  <c r="C73" i="39"/>
  <c r="BE44" i="82"/>
  <c r="G24" i="83"/>
  <c r="F9" i="96"/>
  <c r="F11" i="96"/>
  <c r="F86" i="96"/>
  <c r="F90" i="96"/>
  <c r="F126" i="96"/>
  <c r="F140" i="96"/>
  <c r="F157" i="96"/>
  <c r="E38" i="81"/>
  <c r="F38" i="81" s="1"/>
  <c r="AW86" i="82"/>
  <c r="AX86" i="82"/>
  <c r="AZ86" i="82"/>
  <c r="AZ89" i="82"/>
  <c r="AU10" i="82"/>
  <c r="AU16" i="82"/>
  <c r="AU29" i="82"/>
  <c r="AU30" i="82"/>
  <c r="AU86" i="82"/>
  <c r="AU89" i="82"/>
  <c r="AP29" i="82"/>
  <c r="AP30" i="82"/>
  <c r="AP39" i="82"/>
  <c r="AP86" i="82"/>
  <c r="AP89" i="82"/>
  <c r="AH29" i="82"/>
  <c r="AK29" i="82"/>
  <c r="AH30" i="82"/>
  <c r="AK30" i="82"/>
  <c r="AH39" i="82"/>
  <c r="AK39" i="82"/>
  <c r="AH42" i="82"/>
  <c r="AK42" i="82"/>
  <c r="AH86" i="82"/>
  <c r="AK86" i="82"/>
  <c r="AH89" i="82"/>
  <c r="AD16" i="82"/>
  <c r="AD30" i="82"/>
  <c r="AF30" i="82"/>
  <c r="AD39" i="82"/>
  <c r="AF39" i="82"/>
  <c r="AE42" i="82"/>
  <c r="AC86" i="82"/>
  <c r="AD86" i="82"/>
  <c r="AE86" i="82"/>
  <c r="AF86" i="82"/>
  <c r="AC89" i="82"/>
  <c r="Y16" i="82"/>
  <c r="X40" i="82"/>
  <c r="X39" i="82" s="1"/>
  <c r="X86" i="82"/>
  <c r="Y86" i="82"/>
  <c r="X89" i="82"/>
  <c r="Y89" i="82"/>
  <c r="S31" i="82"/>
  <c r="BB31" i="82" s="1"/>
  <c r="S42" i="82"/>
  <c r="S86" i="82"/>
  <c r="N86" i="82"/>
  <c r="N90" i="82"/>
  <c r="Q24" i="83"/>
  <c r="Q25" i="83"/>
  <c r="C69" i="98"/>
  <c r="C68" i="98" s="1"/>
  <c r="Q76" i="83"/>
  <c r="L25" i="83"/>
  <c r="V25" i="83" s="1"/>
  <c r="L33" i="83"/>
  <c r="L76" i="83"/>
  <c r="D81" i="36"/>
  <c r="D86" i="58"/>
  <c r="D85" i="58" s="1"/>
  <c r="F137" i="96"/>
  <c r="F136" i="96"/>
  <c r="F133" i="96"/>
  <c r="F132" i="96"/>
  <c r="F47" i="96"/>
  <c r="F74" i="96"/>
  <c r="F131" i="96"/>
  <c r="C8" i="52"/>
  <c r="C14" i="52" s="1"/>
  <c r="C26" i="52"/>
  <c r="G26" i="52"/>
  <c r="H26" i="52"/>
  <c r="E26" i="52"/>
  <c r="N23" i="53"/>
  <c r="M114" i="82"/>
  <c r="C41" i="58"/>
  <c r="H115" i="82"/>
  <c r="M115" i="82" s="1"/>
  <c r="M113" i="82"/>
  <c r="H112" i="82"/>
  <c r="M112" i="82" s="1"/>
  <c r="N12" i="56"/>
  <c r="M90" i="82"/>
  <c r="M111" i="82"/>
  <c r="R17" i="83"/>
  <c r="D19" i="53"/>
  <c r="C64" i="58"/>
  <c r="C25" i="83"/>
  <c r="M21" i="83"/>
  <c r="C21" i="83"/>
  <c r="D34" i="81"/>
  <c r="AL61" i="82"/>
  <c r="AL42" i="82" s="1"/>
  <c r="BC92" i="82"/>
  <c r="R83" i="83"/>
  <c r="B54" i="39"/>
  <c r="B53" i="39" s="1"/>
  <c r="B51" i="39"/>
  <c r="B50" i="39" s="1"/>
  <c r="D10" i="95"/>
  <c r="G10" i="95"/>
  <c r="P10" i="95" s="1"/>
  <c r="J10" i="95"/>
  <c r="M10" i="95"/>
  <c r="N10" i="95"/>
  <c r="O10" i="95"/>
  <c r="D11" i="95"/>
  <c r="G11" i="95"/>
  <c r="J11" i="95"/>
  <c r="M11" i="95"/>
  <c r="N11" i="95"/>
  <c r="O11" i="95"/>
  <c r="D12" i="95"/>
  <c r="G12" i="95"/>
  <c r="P12" i="95" s="1"/>
  <c r="J12" i="95"/>
  <c r="M12" i="95"/>
  <c r="N12" i="95"/>
  <c r="O12" i="95"/>
  <c r="D13" i="95"/>
  <c r="G13" i="95"/>
  <c r="J13" i="95"/>
  <c r="M13" i="95"/>
  <c r="P13" i="95" s="1"/>
  <c r="N13" i="95"/>
  <c r="O13" i="95"/>
  <c r="D14" i="95"/>
  <c r="G14" i="95"/>
  <c r="P14" i="95" s="1"/>
  <c r="J14" i="95"/>
  <c r="M14" i="95"/>
  <c r="N14" i="95"/>
  <c r="N15" i="95" s="1"/>
  <c r="O14" i="95"/>
  <c r="B15" i="95"/>
  <c r="C15" i="95"/>
  <c r="E15" i="95"/>
  <c r="E29" i="95" s="1"/>
  <c r="F15" i="95"/>
  <c r="H15" i="95"/>
  <c r="I15" i="95"/>
  <c r="K15" i="95"/>
  <c r="K29" i="95" s="1"/>
  <c r="L15" i="95"/>
  <c r="D16" i="95"/>
  <c r="G16" i="95"/>
  <c r="J16" i="95"/>
  <c r="M16" i="95"/>
  <c r="N16" i="95"/>
  <c r="O16" i="95"/>
  <c r="B17" i="95"/>
  <c r="B27" i="95" s="1"/>
  <c r="B29" i="95" s="1"/>
  <c r="D33" i="95" s="1"/>
  <c r="C17" i="95"/>
  <c r="C27" i="95" s="1"/>
  <c r="G17" i="95"/>
  <c r="H17" i="95"/>
  <c r="H27" i="95"/>
  <c r="I17" i="95"/>
  <c r="O17" i="95"/>
  <c r="M17" i="95"/>
  <c r="D18" i="95"/>
  <c r="P18" i="95" s="1"/>
  <c r="G18" i="95"/>
  <c r="J18" i="95"/>
  <c r="M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P20" i="95" s="1"/>
  <c r="N20" i="95"/>
  <c r="O20" i="95"/>
  <c r="D21" i="95"/>
  <c r="F21" i="95"/>
  <c r="J21" i="95"/>
  <c r="M21" i="95"/>
  <c r="N21" i="95"/>
  <c r="D22" i="95"/>
  <c r="F22" i="95"/>
  <c r="G22" i="95"/>
  <c r="I22" i="95"/>
  <c r="M22" i="95"/>
  <c r="N22" i="95"/>
  <c r="D23" i="95"/>
  <c r="G23" i="95"/>
  <c r="J23" i="95"/>
  <c r="M23" i="95"/>
  <c r="P23" i="95" s="1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M26" i="95"/>
  <c r="N26" i="95"/>
  <c r="E27" i="95"/>
  <c r="E36" i="95" s="1"/>
  <c r="K27" i="95"/>
  <c r="L27" i="95"/>
  <c r="D28" i="95"/>
  <c r="P28" i="95" s="1"/>
  <c r="N28" i="95"/>
  <c r="O28" i="95"/>
  <c r="P31" i="95"/>
  <c r="B35" i="95"/>
  <c r="C35" i="95" s="1"/>
  <c r="C36" i="95" s="1"/>
  <c r="E35" i="95"/>
  <c r="F35" i="95"/>
  <c r="H35" i="95"/>
  <c r="I35" i="95" s="1"/>
  <c r="K35" i="95"/>
  <c r="L35" i="95"/>
  <c r="P35" i="95"/>
  <c r="N35" i="95" s="1"/>
  <c r="O35" i="95" s="1"/>
  <c r="D5" i="98"/>
  <c r="E5" i="98"/>
  <c r="F5" i="98"/>
  <c r="C12" i="98"/>
  <c r="D12" i="98"/>
  <c r="G12" i="98"/>
  <c r="E13" i="98"/>
  <c r="E12" i="98" s="1"/>
  <c r="F13" i="98"/>
  <c r="F12" i="98" s="1"/>
  <c r="F11" i="98" s="1"/>
  <c r="C15" i="98"/>
  <c r="D15" i="98"/>
  <c r="D11" i="98" s="1"/>
  <c r="E15" i="98"/>
  <c r="E11" i="98" s="1"/>
  <c r="F15" i="98"/>
  <c r="G15" i="98"/>
  <c r="G11" i="98" s="1"/>
  <c r="H15" i="98"/>
  <c r="H11" i="98" s="1"/>
  <c r="M15" i="98"/>
  <c r="O15" i="98"/>
  <c r="M16" i="98"/>
  <c r="O16" i="98"/>
  <c r="C18" i="98"/>
  <c r="E18" i="98"/>
  <c r="G18" i="98"/>
  <c r="H18" i="98"/>
  <c r="D20" i="98"/>
  <c r="P12" i="98" s="1"/>
  <c r="F20" i="98"/>
  <c r="F18" i="98" s="1"/>
  <c r="D24" i="98"/>
  <c r="C26" i="98"/>
  <c r="C24" i="98" s="1"/>
  <c r="E26" i="98"/>
  <c r="E24" i="98" s="1"/>
  <c r="F26" i="98"/>
  <c r="F24" i="98" s="1"/>
  <c r="G26" i="98"/>
  <c r="G24" i="98"/>
  <c r="G6" i="98" s="1"/>
  <c r="G38" i="98" s="1"/>
  <c r="H26" i="98"/>
  <c r="H24" i="98" s="1"/>
  <c r="C29" i="98"/>
  <c r="E29" i="98"/>
  <c r="F29" i="98"/>
  <c r="G29" i="98"/>
  <c r="H29" i="98"/>
  <c r="D31" i="98"/>
  <c r="D32" i="98"/>
  <c r="C34" i="98"/>
  <c r="D34" i="98"/>
  <c r="E34" i="98"/>
  <c r="F34" i="98"/>
  <c r="G34" i="98"/>
  <c r="H34" i="98"/>
  <c r="C42" i="98"/>
  <c r="C41" i="98" s="1"/>
  <c r="D42" i="98"/>
  <c r="D41" i="98" s="1"/>
  <c r="I40" i="98" s="1"/>
  <c r="E42" i="98"/>
  <c r="F42" i="98"/>
  <c r="G42" i="98"/>
  <c r="H42" i="98"/>
  <c r="H41" i="98" s="1"/>
  <c r="H40" i="98" s="1"/>
  <c r="H39" i="98" s="1"/>
  <c r="H108" i="98" s="1"/>
  <c r="C47" i="98"/>
  <c r="D47" i="98"/>
  <c r="G47" i="98"/>
  <c r="G41" i="98" s="1"/>
  <c r="H47" i="98"/>
  <c r="E48" i="98"/>
  <c r="F48" i="98"/>
  <c r="F49" i="98"/>
  <c r="I49" i="98" s="1"/>
  <c r="E51" i="98"/>
  <c r="F51" i="98"/>
  <c r="I58" i="98"/>
  <c r="I59" i="98"/>
  <c r="H68" i="98"/>
  <c r="P68" i="98"/>
  <c r="D78" i="98"/>
  <c r="G78" i="98"/>
  <c r="H78" i="98"/>
  <c r="H77" i="98"/>
  <c r="E79" i="98"/>
  <c r="E78" i="98" s="1"/>
  <c r="F79" i="98"/>
  <c r="F78" i="98"/>
  <c r="F77" i="98" s="1"/>
  <c r="I79" i="98"/>
  <c r="I80" i="98"/>
  <c r="I81" i="98"/>
  <c r="I82" i="98"/>
  <c r="D83" i="98"/>
  <c r="Q84" i="98"/>
  <c r="R84" i="98"/>
  <c r="C85" i="98"/>
  <c r="D85" i="98"/>
  <c r="G85" i="98"/>
  <c r="H85" i="98"/>
  <c r="E87" i="98"/>
  <c r="E85" i="98" s="1"/>
  <c r="E77" i="98" s="1"/>
  <c r="F87" i="98"/>
  <c r="F85" i="98"/>
  <c r="D93" i="98"/>
  <c r="C94" i="98"/>
  <c r="C93" i="98" s="1"/>
  <c r="E94" i="98"/>
  <c r="E93" i="98" s="1"/>
  <c r="F94" i="98"/>
  <c r="F93" i="98" s="1"/>
  <c r="G94" i="98"/>
  <c r="G93" i="98" s="1"/>
  <c r="H94" i="98"/>
  <c r="H93" i="98"/>
  <c r="C96" i="98"/>
  <c r="D96" i="98"/>
  <c r="G96" i="98"/>
  <c r="H96" i="98"/>
  <c r="E98" i="98"/>
  <c r="E96" i="98" s="1"/>
  <c r="F98" i="98"/>
  <c r="F96" i="98"/>
  <c r="D105" i="98"/>
  <c r="D103" i="98" s="1"/>
  <c r="D102" i="98" s="1"/>
  <c r="C12" i="56"/>
  <c r="E12" i="56"/>
  <c r="F12" i="56"/>
  <c r="H12" i="56"/>
  <c r="I12" i="56"/>
  <c r="J12" i="56"/>
  <c r="K12" i="56"/>
  <c r="E8" i="97"/>
  <c r="F8" i="97"/>
  <c r="G8" i="97"/>
  <c r="E56" i="97"/>
  <c r="F56" i="97"/>
  <c r="G56" i="97"/>
  <c r="C58" i="97"/>
  <c r="C59" i="97"/>
  <c r="D59" i="97"/>
  <c r="E59" i="97"/>
  <c r="E55" i="97" s="1"/>
  <c r="F59" i="97"/>
  <c r="G59" i="97"/>
  <c r="E60" i="97"/>
  <c r="F60" i="97"/>
  <c r="G60" i="97"/>
  <c r="E65" i="97"/>
  <c r="F65" i="97"/>
  <c r="G65" i="97"/>
  <c r="E70" i="97"/>
  <c r="E64" i="97" s="1"/>
  <c r="F73" i="97"/>
  <c r="F70" i="97"/>
  <c r="G73" i="97"/>
  <c r="G70" i="97" s="1"/>
  <c r="D74" i="97"/>
  <c r="E77" i="97"/>
  <c r="E76" i="97" s="1"/>
  <c r="F77" i="97"/>
  <c r="F76" i="97" s="1"/>
  <c r="G77" i="97"/>
  <c r="G76" i="97" s="1"/>
  <c r="C78" i="97"/>
  <c r="C77" i="97" s="1"/>
  <c r="C76" i="97" s="1"/>
  <c r="N9" i="53"/>
  <c r="H19" i="53"/>
  <c r="K19" i="53"/>
  <c r="N11" i="53"/>
  <c r="M19" i="53"/>
  <c r="N13" i="53"/>
  <c r="N14" i="53"/>
  <c r="N15" i="53"/>
  <c r="N21" i="53"/>
  <c r="C26" i="53"/>
  <c r="D26" i="53"/>
  <c r="E26" i="53"/>
  <c r="F26" i="53"/>
  <c r="G26" i="53"/>
  <c r="J26" i="53"/>
  <c r="L26" i="53"/>
  <c r="N22" i="53"/>
  <c r="N24" i="53"/>
  <c r="I26" i="53"/>
  <c r="B6" i="93"/>
  <c r="B8" i="93"/>
  <c r="B11" i="93"/>
  <c r="D10" i="91"/>
  <c r="D8" i="91" s="1"/>
  <c r="E10" i="91"/>
  <c r="E8" i="91"/>
  <c r="D22" i="91"/>
  <c r="E22" i="91"/>
  <c r="D25" i="91"/>
  <c r="E25" i="91"/>
  <c r="D26" i="91"/>
  <c r="E26" i="91"/>
  <c r="D35" i="91"/>
  <c r="D27" i="91" s="1"/>
  <c r="E35" i="91"/>
  <c r="E27" i="91" s="1"/>
  <c r="D45" i="91"/>
  <c r="E45" i="91"/>
  <c r="D63" i="91"/>
  <c r="E63" i="91"/>
  <c r="D92" i="91"/>
  <c r="E92" i="91"/>
  <c r="E97" i="91"/>
  <c r="E98" i="91"/>
  <c r="E99" i="91"/>
  <c r="E112" i="91"/>
  <c r="C9" i="90"/>
  <c r="D9" i="90"/>
  <c r="E9" i="90"/>
  <c r="C14" i="90"/>
  <c r="D14" i="90"/>
  <c r="E14" i="90"/>
  <c r="C18" i="90"/>
  <c r="D18" i="90"/>
  <c r="E18" i="90"/>
  <c r="C22" i="90"/>
  <c r="D22" i="90"/>
  <c r="D25" i="90" s="1"/>
  <c r="D34" i="90" s="1"/>
  <c r="E22" i="90"/>
  <c r="C29" i="90"/>
  <c r="D29" i="90"/>
  <c r="D33" i="90" s="1"/>
  <c r="E29" i="90"/>
  <c r="C32" i="90"/>
  <c r="D32" i="90"/>
  <c r="E32" i="90"/>
  <c r="E33" i="90" s="1"/>
  <c r="E9" i="94"/>
  <c r="E13" i="94"/>
  <c r="E18" i="94"/>
  <c r="D19" i="94"/>
  <c r="F19" i="94"/>
  <c r="E21" i="94"/>
  <c r="E22" i="94"/>
  <c r="D22" i="94"/>
  <c r="F22" i="94"/>
  <c r="D24" i="94"/>
  <c r="E24" i="94"/>
  <c r="E29" i="94" s="1"/>
  <c r="F24" i="94"/>
  <c r="E26" i="94"/>
  <c r="D28" i="94"/>
  <c r="D29" i="94" s="1"/>
  <c r="E28" i="94"/>
  <c r="F28" i="94"/>
  <c r="F29" i="94"/>
  <c r="D95" i="91" s="1"/>
  <c r="E95" i="91" s="1"/>
  <c r="E42" i="94"/>
  <c r="E45" i="94"/>
  <c r="E49" i="94"/>
  <c r="D50" i="94"/>
  <c r="F50" i="94"/>
  <c r="D96" i="91"/>
  <c r="E96" i="91"/>
  <c r="D52" i="94"/>
  <c r="E52" i="94"/>
  <c r="F52" i="94"/>
  <c r="D54" i="94"/>
  <c r="E54" i="94"/>
  <c r="F54" i="94"/>
  <c r="F58" i="94"/>
  <c r="D57" i="94"/>
  <c r="E57" i="94"/>
  <c r="F57" i="94"/>
  <c r="E61" i="94"/>
  <c r="F61" i="94"/>
  <c r="D101" i="91" s="1"/>
  <c r="E101" i="91" s="1"/>
  <c r="D67" i="94"/>
  <c r="E67" i="94"/>
  <c r="F67" i="94"/>
  <c r="D71" i="94"/>
  <c r="D78" i="94" s="1"/>
  <c r="E71" i="94"/>
  <c r="F71" i="94"/>
  <c r="D73" i="94"/>
  <c r="E73" i="94"/>
  <c r="F73" i="94"/>
  <c r="E77" i="94"/>
  <c r="D81" i="94"/>
  <c r="E81" i="94"/>
  <c r="F81" i="94"/>
  <c r="E6" i="88"/>
  <c r="F9" i="88"/>
  <c r="G9" i="88"/>
  <c r="E7" i="88"/>
  <c r="C8" i="88"/>
  <c r="D8" i="88"/>
  <c r="E9" i="88"/>
  <c r="E10" i="88"/>
  <c r="E11" i="88" s="1"/>
  <c r="C11" i="88"/>
  <c r="D11" i="88"/>
  <c r="D12" i="88" s="1"/>
  <c r="E14" i="88"/>
  <c r="B8" i="52"/>
  <c r="F26" i="52"/>
  <c r="I26" i="52"/>
  <c r="L9" i="83"/>
  <c r="Q9" i="83" s="1"/>
  <c r="H9" i="83"/>
  <c r="M9" i="83" s="1"/>
  <c r="R9" i="83"/>
  <c r="H15" i="83"/>
  <c r="M24" i="83"/>
  <c r="M25" i="83"/>
  <c r="H25" i="83"/>
  <c r="R25" i="83" s="1"/>
  <c r="H33" i="83"/>
  <c r="M33" i="83"/>
  <c r="C38" i="83"/>
  <c r="C33" i="83" s="1"/>
  <c r="R33" i="83" s="1"/>
  <c r="C41" i="83"/>
  <c r="M41" i="83"/>
  <c r="H55" i="83"/>
  <c r="R55" i="83" s="1"/>
  <c r="C60" i="83"/>
  <c r="H60" i="83"/>
  <c r="R60" i="83" s="1"/>
  <c r="M60" i="83"/>
  <c r="C63" i="83"/>
  <c r="H63" i="83"/>
  <c r="M63" i="83"/>
  <c r="R63" i="83" s="1"/>
  <c r="C76" i="83"/>
  <c r="H76" i="83"/>
  <c r="M76" i="83"/>
  <c r="R76" i="83" s="1"/>
  <c r="R78" i="83"/>
  <c r="D69" i="98" s="1"/>
  <c r="D68" i="98" s="1"/>
  <c r="R80" i="83"/>
  <c r="M10" i="82"/>
  <c r="N10" i="82"/>
  <c r="O10" i="82"/>
  <c r="P10" i="82"/>
  <c r="Q10" i="82"/>
  <c r="R10" i="82"/>
  <c r="S10" i="82"/>
  <c r="T10" i="82"/>
  <c r="V10" i="82"/>
  <c r="W10" i="82"/>
  <c r="AB10" i="82"/>
  <c r="AG10" i="82"/>
  <c r="AH10" i="82"/>
  <c r="AK10" i="82"/>
  <c r="AL10" i="82"/>
  <c r="AQ10" i="82"/>
  <c r="AV10" i="82"/>
  <c r="M16" i="82"/>
  <c r="N16" i="82"/>
  <c r="O16" i="82"/>
  <c r="P16" i="82"/>
  <c r="Q16" i="82"/>
  <c r="R16" i="82"/>
  <c r="S16" i="82"/>
  <c r="T16" i="82"/>
  <c r="V16" i="82"/>
  <c r="W16" i="82"/>
  <c r="AB16" i="82"/>
  <c r="AG16" i="82"/>
  <c r="AH16" i="82"/>
  <c r="AK16" i="82"/>
  <c r="AL16" i="82"/>
  <c r="AQ16" i="82"/>
  <c r="W29" i="82"/>
  <c r="AB29" i="82"/>
  <c r="M29" i="82"/>
  <c r="N29" i="82"/>
  <c r="O29" i="82"/>
  <c r="P29" i="82"/>
  <c r="Q29" i="82"/>
  <c r="R29" i="82"/>
  <c r="S29" i="82"/>
  <c r="T29" i="82"/>
  <c r="V29" i="82"/>
  <c r="AG29" i="82"/>
  <c r="AL29" i="82"/>
  <c r="AQ29" i="82"/>
  <c r="M30" i="82"/>
  <c r="N30" i="82"/>
  <c r="O30" i="82"/>
  <c r="P30" i="82"/>
  <c r="P97" i="82" s="1"/>
  <c r="Q30" i="82"/>
  <c r="W30" i="82"/>
  <c r="AB30" i="82"/>
  <c r="AG30" i="82"/>
  <c r="AL30" i="82"/>
  <c r="R31" i="82"/>
  <c r="AQ30" i="82"/>
  <c r="M39" i="82"/>
  <c r="N39" i="82"/>
  <c r="O39" i="82"/>
  <c r="Q39" i="82"/>
  <c r="R39" i="82"/>
  <c r="AB39" i="82"/>
  <c r="AG39" i="82"/>
  <c r="AL39" i="82"/>
  <c r="AQ39" i="82"/>
  <c r="AV39" i="82"/>
  <c r="W40" i="82"/>
  <c r="W39" i="82" s="1"/>
  <c r="M42" i="82"/>
  <c r="R42" i="82"/>
  <c r="AB42" i="82"/>
  <c r="AG42" i="82"/>
  <c r="AQ42" i="82"/>
  <c r="AV42" i="82"/>
  <c r="W46" i="82"/>
  <c r="BA46" i="82" s="1"/>
  <c r="C86" i="82"/>
  <c r="M86" i="82"/>
  <c r="R86" i="82"/>
  <c r="W86" i="82"/>
  <c r="AB86" i="82"/>
  <c r="AG86" i="82"/>
  <c r="AL86" i="82"/>
  <c r="AQ86" i="82"/>
  <c r="AV86" i="82"/>
  <c r="AQ89" i="82"/>
  <c r="R89" i="82"/>
  <c r="W89" i="82"/>
  <c r="AB89" i="82"/>
  <c r="AG89" i="82"/>
  <c r="AL89" i="82"/>
  <c r="AV89" i="82"/>
  <c r="H117" i="82"/>
  <c r="M117" i="82" s="1"/>
  <c r="H118" i="82"/>
  <c r="M118" i="82" s="1"/>
  <c r="H121" i="82"/>
  <c r="M121" i="82" s="1"/>
  <c r="B18" i="81"/>
  <c r="B26" i="81" s="1"/>
  <c r="B34" i="81" s="1"/>
  <c r="B46" i="81" s="1"/>
  <c r="B54" i="81" s="1"/>
  <c r="B62" i="81" s="1"/>
  <c r="E19" i="81"/>
  <c r="E20" i="81"/>
  <c r="E21" i="81"/>
  <c r="E22" i="81"/>
  <c r="F22" i="81" s="1"/>
  <c r="E23" i="81"/>
  <c r="B90" i="81"/>
  <c r="B98" i="81"/>
  <c r="B105" i="81" s="1"/>
  <c r="B112" i="81" s="1"/>
  <c r="B119" i="81" s="1"/>
  <c r="B126" i="81" s="1"/>
  <c r="B133" i="81" s="1"/>
  <c r="B140" i="81" s="1"/>
  <c r="B147" i="81" s="1"/>
  <c r="N15" i="80"/>
  <c r="N16" i="80"/>
  <c r="N17" i="80"/>
  <c r="N18" i="80"/>
  <c r="N19" i="80"/>
  <c r="P28" i="80"/>
  <c r="B8" i="39"/>
  <c r="B73" i="39"/>
  <c r="C7" i="58"/>
  <c r="C18" i="58"/>
  <c r="C20" i="58"/>
  <c r="C40" i="36" s="1"/>
  <c r="D40" i="97" s="1"/>
  <c r="C26" i="58"/>
  <c r="C50" i="36" s="1"/>
  <c r="C33" i="58"/>
  <c r="C34" i="58"/>
  <c r="C105" i="57" s="1"/>
  <c r="C62" i="97"/>
  <c r="C60" i="97" s="1"/>
  <c r="C35" i="58"/>
  <c r="K22" i="99" s="1"/>
  <c r="K9" i="99" s="1"/>
  <c r="K43" i="99" s="1"/>
  <c r="C74" i="97"/>
  <c r="C73" i="97" s="1"/>
  <c r="C75" i="97"/>
  <c r="C86" i="58"/>
  <c r="C85" i="58" s="1"/>
  <c r="C7" i="57"/>
  <c r="C78" i="57"/>
  <c r="C83" i="57"/>
  <c r="C29" i="36" s="1"/>
  <c r="D29" i="97" s="1"/>
  <c r="D15" i="99"/>
  <c r="D9" i="99" s="1"/>
  <c r="B103" i="57"/>
  <c r="B104" i="57"/>
  <c r="C108" i="57"/>
  <c r="C68" i="97"/>
  <c r="C129" i="57"/>
  <c r="C128" i="57" s="1"/>
  <c r="D129" i="57"/>
  <c r="D128" i="57" s="1"/>
  <c r="E79" i="36"/>
  <c r="F57" i="36"/>
  <c r="G57" i="36"/>
  <c r="E58" i="36"/>
  <c r="J17" i="99" s="1"/>
  <c r="L17" i="99" s="1"/>
  <c r="F58" i="36"/>
  <c r="J18" i="99" s="1"/>
  <c r="J12" i="99" s="1"/>
  <c r="J46" i="99" s="1"/>
  <c r="G58" i="36"/>
  <c r="J20" i="99" s="1"/>
  <c r="C59" i="36"/>
  <c r="D59" i="36"/>
  <c r="E59" i="36"/>
  <c r="F59" i="36"/>
  <c r="C42" i="81" s="1"/>
  <c r="G59" i="36"/>
  <c r="C43" i="81" s="1"/>
  <c r="C74" i="36"/>
  <c r="C79" i="36"/>
  <c r="D78" i="97" s="1"/>
  <c r="D79" i="36"/>
  <c r="F79" i="36"/>
  <c r="G79" i="36"/>
  <c r="C81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4" i="96"/>
  <c r="F45" i="96"/>
  <c r="F46" i="96"/>
  <c r="E51" i="96"/>
  <c r="D58" i="96"/>
  <c r="E58" i="96"/>
  <c r="F59" i="96"/>
  <c r="F58" i="96" s="1"/>
  <c r="D62" i="96"/>
  <c r="D61" i="96" s="1"/>
  <c r="E62" i="96"/>
  <c r="E61" i="96" s="1"/>
  <c r="F63" i="96"/>
  <c r="F62" i="96" s="1"/>
  <c r="F65" i="96"/>
  <c r="D66" i="96"/>
  <c r="E66" i="96"/>
  <c r="F67" i="96"/>
  <c r="F66" i="96" s="1"/>
  <c r="F71" i="96"/>
  <c r="F76" i="96"/>
  <c r="F77" i="96"/>
  <c r="F78" i="96"/>
  <c r="F91" i="96"/>
  <c r="F92" i="96"/>
  <c r="F97" i="96"/>
  <c r="F98" i="96"/>
  <c r="F107" i="96"/>
  <c r="F108" i="96"/>
  <c r="F120" i="96"/>
  <c r="F123" i="96"/>
  <c r="F129" i="96"/>
  <c r="F135" i="96"/>
  <c r="F141" i="96"/>
  <c r="F144" i="96"/>
  <c r="F146" i="96"/>
  <c r="F154" i="96"/>
  <c r="F155" i="96"/>
  <c r="F156" i="96"/>
  <c r="F158" i="96"/>
  <c r="F159" i="96"/>
  <c r="F160" i="96"/>
  <c r="F161" i="96"/>
  <c r="D162" i="96"/>
  <c r="D145" i="96" s="1"/>
  <c r="E162" i="96"/>
  <c r="F163" i="96"/>
  <c r="F164" i="96"/>
  <c r="F166" i="96"/>
  <c r="D167" i="96"/>
  <c r="E167" i="96"/>
  <c r="F168" i="96"/>
  <c r="F167" i="96" s="1"/>
  <c r="C66" i="97"/>
  <c r="C65" i="97" s="1"/>
  <c r="C46" i="97"/>
  <c r="E57" i="36"/>
  <c r="E19" i="53"/>
  <c r="C50" i="97"/>
  <c r="C72" i="97"/>
  <c r="G28" i="98"/>
  <c r="L19" i="53"/>
  <c r="C28" i="98"/>
  <c r="K36" i="95"/>
  <c r="C22" i="97"/>
  <c r="O22" i="95"/>
  <c r="J19" i="53"/>
  <c r="J17" i="95"/>
  <c r="C57" i="97"/>
  <c r="C56" i="97" s="1"/>
  <c r="C55" i="97" s="1"/>
  <c r="N12" i="53"/>
  <c r="I83" i="98"/>
  <c r="B36" i="95"/>
  <c r="D26" i="52"/>
  <c r="O15" i="95"/>
  <c r="E23" i="91"/>
  <c r="D17" i="95"/>
  <c r="D27" i="95" s="1"/>
  <c r="D36" i="95" s="1"/>
  <c r="B26" i="53"/>
  <c r="C29" i="97"/>
  <c r="C40" i="97"/>
  <c r="D8" i="96"/>
  <c r="F27" i="96"/>
  <c r="D82" i="94"/>
  <c r="D100" i="91"/>
  <c r="E100" i="91" s="1"/>
  <c r="F19" i="53"/>
  <c r="N25" i="80"/>
  <c r="O25" i="80" s="1"/>
  <c r="G77" i="98"/>
  <c r="I19" i="53"/>
  <c r="G19" i="53"/>
  <c r="E47" i="98"/>
  <c r="E41" i="98" s="1"/>
  <c r="E8" i="88"/>
  <c r="F10" i="88"/>
  <c r="G10" i="88" s="1"/>
  <c r="B12" i="92"/>
  <c r="C14" i="92" s="1"/>
  <c r="F151" i="81"/>
  <c r="E28" i="98"/>
  <c r="H26" i="53"/>
  <c r="H27" i="53" s="1"/>
  <c r="C16" i="97"/>
  <c r="C19" i="53"/>
  <c r="F153" i="96"/>
  <c r="F139" i="96"/>
  <c r="C71" i="97"/>
  <c r="C70" i="97" s="1"/>
  <c r="C9" i="97"/>
  <c r="C8" i="97" s="1"/>
  <c r="N20" i="80"/>
  <c r="E50" i="81"/>
  <c r="F50" i="81" s="1"/>
  <c r="E58" i="81"/>
  <c r="F58" i="81" s="1"/>
  <c r="C67" i="97"/>
  <c r="E116" i="81"/>
  <c r="F116" i="81" s="1"/>
  <c r="N10" i="53"/>
  <c r="T64" i="83"/>
  <c r="T18" i="83"/>
  <c r="L26" i="99"/>
  <c r="L19" i="99"/>
  <c r="G19" i="99"/>
  <c r="J19" i="80"/>
  <c r="C88" i="81"/>
  <c r="F88" i="81" s="1"/>
  <c r="F144" i="81"/>
  <c r="E68" i="36"/>
  <c r="C149" i="81" s="1"/>
  <c r="U71" i="83"/>
  <c r="E34" i="81"/>
  <c r="S60" i="83"/>
  <c r="T11" i="83"/>
  <c r="V61" i="83"/>
  <c r="D138" i="81"/>
  <c r="F39" i="80" s="1"/>
  <c r="F33" i="80" s="1"/>
  <c r="G25" i="83"/>
  <c r="V64" i="83"/>
  <c r="V55" i="83"/>
  <c r="T14" i="83"/>
  <c r="R14" i="83"/>
  <c r="S38" i="83"/>
  <c r="T70" i="83"/>
  <c r="U60" i="83"/>
  <c r="U61" i="83"/>
  <c r="C24" i="83"/>
  <c r="R23" i="83"/>
  <c r="T56" i="83"/>
  <c r="H41" i="83"/>
  <c r="S33" i="83"/>
  <c r="R15" i="83"/>
  <c r="H21" i="83"/>
  <c r="F47" i="98"/>
  <c r="F41" i="98" s="1"/>
  <c r="H28" i="98"/>
  <c r="T37" i="83"/>
  <c r="T33" i="83"/>
  <c r="C29" i="95"/>
  <c r="G15" i="95"/>
  <c r="T32" i="83"/>
  <c r="T15" i="83"/>
  <c r="V15" i="83"/>
  <c r="S40" i="98"/>
  <c r="R38" i="83"/>
  <c r="S22" i="83"/>
  <c r="C103" i="57"/>
  <c r="C102" i="57" s="1"/>
  <c r="I20" i="80"/>
  <c r="I14" i="80" s="1"/>
  <c r="D51" i="81"/>
  <c r="C40" i="99" s="1"/>
  <c r="C34" i="99" s="1"/>
  <c r="V22" i="83"/>
  <c r="D23" i="91"/>
  <c r="D20" i="91"/>
  <c r="D18" i="91"/>
  <c r="D17" i="91" s="1"/>
  <c r="H6" i="98"/>
  <c r="H38" i="98" s="1"/>
  <c r="P24" i="95"/>
  <c r="F13" i="100"/>
  <c r="G11" i="100"/>
  <c r="G13" i="100" s="1"/>
  <c r="D49" i="81"/>
  <c r="C31" i="58"/>
  <c r="BD20" i="82"/>
  <c r="BC45" i="82"/>
  <c r="AN42" i="82"/>
  <c r="BB71" i="82"/>
  <c r="AO42" i="82"/>
  <c r="BA91" i="82"/>
  <c r="C89" i="82"/>
  <c r="S24" i="83"/>
  <c r="D119" i="57" s="1"/>
  <c r="S14" i="83"/>
  <c r="D58" i="36"/>
  <c r="J16" i="99" s="1"/>
  <c r="BA71" i="82"/>
  <c r="C42" i="82"/>
  <c r="D25" i="83"/>
  <c r="S25" i="83" s="1"/>
  <c r="S63" i="83"/>
  <c r="BA61" i="82"/>
  <c r="F80" i="96"/>
  <c r="B101" i="81"/>
  <c r="B108" i="81" s="1"/>
  <c r="B115" i="81" s="1"/>
  <c r="B122" i="81" s="1"/>
  <c r="B129" i="81" s="1"/>
  <c r="B136" i="81" s="1"/>
  <c r="B143" i="81" s="1"/>
  <c r="B150" i="81" s="1"/>
  <c r="B87" i="81"/>
  <c r="C26" i="39" l="1"/>
  <c r="P33" i="101"/>
  <c r="O16" i="101"/>
  <c r="G17" i="101"/>
  <c r="G10" i="101"/>
  <c r="P25" i="101"/>
  <c r="P37" i="101"/>
  <c r="F42" i="81"/>
  <c r="C29" i="81"/>
  <c r="F43" i="81"/>
  <c r="C31" i="81"/>
  <c r="B50" i="81"/>
  <c r="B58" i="81" s="1"/>
  <c r="B66" i="81" s="1"/>
  <c r="B49" i="81"/>
  <c r="B57" i="81" s="1"/>
  <c r="B65" i="81" s="1"/>
  <c r="B42" i="81"/>
  <c r="D47" i="99"/>
  <c r="B77" i="81"/>
  <c r="B91" i="81" s="1"/>
  <c r="P28" i="101"/>
  <c r="L20" i="101"/>
  <c r="O10" i="101"/>
  <c r="G7" i="101"/>
  <c r="O8" i="101"/>
  <c r="G9" i="101"/>
  <c r="P29" i="101"/>
  <c r="V60" i="83"/>
  <c r="V24" i="83"/>
  <c r="G119" i="57" s="1"/>
  <c r="H46" i="80"/>
  <c r="I47" i="80"/>
  <c r="D44" i="99"/>
  <c r="D43" i="99"/>
  <c r="M21" i="99"/>
  <c r="C44" i="99"/>
  <c r="BE45" i="82"/>
  <c r="AN25" i="82"/>
  <c r="I29" i="82"/>
  <c r="BB91" i="82"/>
  <c r="F91" i="82"/>
  <c r="J10" i="82"/>
  <c r="J25" i="82" s="1"/>
  <c r="F71" i="82"/>
  <c r="F42" i="82" s="1"/>
  <c r="G78" i="57"/>
  <c r="G70" i="57" s="1"/>
  <c r="D43" i="57"/>
  <c r="E12" i="57"/>
  <c r="E11" i="57" s="1"/>
  <c r="D12" i="57"/>
  <c r="D11" i="57" s="1"/>
  <c r="F15" i="99"/>
  <c r="F9" i="99" s="1"/>
  <c r="D70" i="57"/>
  <c r="D22" i="36" s="1"/>
  <c r="I15" i="80"/>
  <c r="I9" i="80" s="1"/>
  <c r="I16" i="80"/>
  <c r="I10" i="80" s="1"/>
  <c r="I43" i="80" s="1"/>
  <c r="F71" i="36"/>
  <c r="F70" i="36" s="1"/>
  <c r="F38" i="58"/>
  <c r="C148" i="81"/>
  <c r="V86" i="83"/>
  <c r="D10" i="81"/>
  <c r="E10" i="81" s="1"/>
  <c r="B47" i="39"/>
  <c r="B46" i="39" s="1"/>
  <c r="B45" i="39" s="1"/>
  <c r="F21" i="80" s="1"/>
  <c r="J21" i="80" s="1"/>
  <c r="S86" i="83"/>
  <c r="F64" i="97"/>
  <c r="C27" i="53"/>
  <c r="B14" i="52"/>
  <c r="N26" i="52"/>
  <c r="I75" i="83"/>
  <c r="D119" i="81"/>
  <c r="E119" i="81" s="1"/>
  <c r="E69" i="98"/>
  <c r="E68" i="98" s="1"/>
  <c r="S21" i="83"/>
  <c r="D99" i="81" s="1"/>
  <c r="B35" i="80" s="1"/>
  <c r="B29" i="80" s="1"/>
  <c r="V76" i="83"/>
  <c r="D124" i="81" s="1"/>
  <c r="E124" i="81" s="1"/>
  <c r="T26" i="83"/>
  <c r="V14" i="83"/>
  <c r="L21" i="83"/>
  <c r="I41" i="83"/>
  <c r="G63" i="83"/>
  <c r="V63" i="83" s="1"/>
  <c r="G33" i="83"/>
  <c r="V33" i="83" s="1"/>
  <c r="P79" i="83"/>
  <c r="U18" i="83"/>
  <c r="T76" i="83"/>
  <c r="D121" i="81" s="1"/>
  <c r="K36" i="80" s="1"/>
  <c r="K30" i="80" s="1"/>
  <c r="N30" i="80" s="1"/>
  <c r="U33" i="83"/>
  <c r="U41" i="83"/>
  <c r="D24" i="83"/>
  <c r="I72" i="83"/>
  <c r="I79" i="83" s="1"/>
  <c r="Y10" i="82"/>
  <c r="AD42" i="82"/>
  <c r="AD97" i="82" s="1"/>
  <c r="AS25" i="82"/>
  <c r="F36" i="99"/>
  <c r="F30" i="99" s="1"/>
  <c r="E136" i="81"/>
  <c r="F34" i="80"/>
  <c r="F28" i="80" s="1"/>
  <c r="E51" i="81"/>
  <c r="F51" i="81" s="1"/>
  <c r="F20" i="99"/>
  <c r="F14" i="99" s="1"/>
  <c r="F48" i="99" s="1"/>
  <c r="E39" i="81"/>
  <c r="P42" i="80"/>
  <c r="I46" i="80"/>
  <c r="N32" i="80"/>
  <c r="B11" i="39"/>
  <c r="B10" i="39" s="1"/>
  <c r="B9" i="39" s="1"/>
  <c r="C76" i="36"/>
  <c r="D46" i="36"/>
  <c r="D31" i="52"/>
  <c r="D32" i="52" s="1"/>
  <c r="D33" i="52" s="1"/>
  <c r="D12" i="81"/>
  <c r="E12" i="81" s="1"/>
  <c r="C14" i="39"/>
  <c r="C11" i="39" s="1"/>
  <c r="C10" i="39" s="1"/>
  <c r="C9" i="39" s="1"/>
  <c r="I18" i="80"/>
  <c r="I12" i="80" s="1"/>
  <c r="I45" i="80" s="1"/>
  <c r="G55" i="97"/>
  <c r="G54" i="97" s="1"/>
  <c r="G63" i="97" s="1"/>
  <c r="H143" i="96"/>
  <c r="E74" i="57"/>
  <c r="F31" i="52" s="1"/>
  <c r="N29" i="52"/>
  <c r="T81" i="83"/>
  <c r="T86" i="83" s="1"/>
  <c r="C68" i="36"/>
  <c r="D68" i="97" s="1"/>
  <c r="C43" i="57"/>
  <c r="E83" i="57"/>
  <c r="E29" i="36" s="1"/>
  <c r="D78" i="36"/>
  <c r="D77" i="36" s="1"/>
  <c r="L27" i="53"/>
  <c r="E27" i="53"/>
  <c r="AA42" i="82"/>
  <c r="C127" i="81"/>
  <c r="F127" i="81" s="1"/>
  <c r="F83" i="97"/>
  <c r="C20" i="101"/>
  <c r="P26" i="101"/>
  <c r="O7" i="101"/>
  <c r="O9" i="101"/>
  <c r="M20" i="101"/>
  <c r="G11" i="101"/>
  <c r="G15" i="101"/>
  <c r="P34" i="101"/>
  <c r="B86" i="81"/>
  <c r="D62" i="94"/>
  <c r="B6" i="92"/>
  <c r="B13" i="92" s="1"/>
  <c r="M30" i="95"/>
  <c r="M32" i="95" s="1"/>
  <c r="D15" i="88"/>
  <c r="D13" i="88"/>
  <c r="D120" i="81"/>
  <c r="F69" i="98"/>
  <c r="F68" i="98" s="1"/>
  <c r="O21" i="95"/>
  <c r="F27" i="95"/>
  <c r="H36" i="95"/>
  <c r="N36" i="95" s="1"/>
  <c r="H29" i="95"/>
  <c r="M15" i="95"/>
  <c r="F38" i="99"/>
  <c r="F32" i="99" s="1"/>
  <c r="F18" i="99"/>
  <c r="F12" i="99" s="1"/>
  <c r="G41" i="83"/>
  <c r="V56" i="83"/>
  <c r="F16" i="99"/>
  <c r="F10" i="99" s="1"/>
  <c r="D103" i="57"/>
  <c r="D102" i="57" s="1"/>
  <c r="V11" i="83"/>
  <c r="C72" i="83"/>
  <c r="D30" i="95"/>
  <c r="D32" i="95" s="1"/>
  <c r="R21" i="83"/>
  <c r="D98" i="81" s="1"/>
  <c r="G21" i="95"/>
  <c r="G27" i="95" s="1"/>
  <c r="G36" i="95" s="1"/>
  <c r="M27" i="95"/>
  <c r="M36" i="95" s="1"/>
  <c r="D77" i="98"/>
  <c r="D30" i="98"/>
  <c r="D29" i="98" s="1"/>
  <c r="D28" i="98" s="1"/>
  <c r="L36" i="95"/>
  <c r="L29" i="95"/>
  <c r="I27" i="95"/>
  <c r="J22" i="95"/>
  <c r="P22" i="95" s="1"/>
  <c r="N17" i="95"/>
  <c r="N27" i="95" s="1"/>
  <c r="N29" i="95" s="1"/>
  <c r="P30" i="95" s="1"/>
  <c r="P32" i="95" s="1"/>
  <c r="J15" i="95"/>
  <c r="D15" i="95"/>
  <c r="Q72" i="83"/>
  <c r="Q75" i="83" s="1"/>
  <c r="U37" i="83"/>
  <c r="E30" i="81"/>
  <c r="D74" i="81"/>
  <c r="E74" i="81" s="1"/>
  <c r="G58" i="81" s="1"/>
  <c r="U76" i="83"/>
  <c r="D41" i="83"/>
  <c r="D72" i="83" s="1"/>
  <c r="F28" i="98"/>
  <c r="E83" i="97"/>
  <c r="U14" i="83"/>
  <c r="G21" i="83"/>
  <c r="P11" i="95"/>
  <c r="P15" i="95" s="1"/>
  <c r="D57" i="36"/>
  <c r="D56" i="36" s="1"/>
  <c r="C35" i="81" s="1"/>
  <c r="F35" i="81" s="1"/>
  <c r="C46" i="36"/>
  <c r="D46" i="97" s="1"/>
  <c r="C70" i="57"/>
  <c r="C22" i="36" s="1"/>
  <c r="D22" i="97" s="1"/>
  <c r="C85" i="97"/>
  <c r="C25" i="90"/>
  <c r="E20" i="91"/>
  <c r="E18" i="91" s="1"/>
  <c r="P40" i="98"/>
  <c r="T40" i="98" s="1"/>
  <c r="U40" i="98" s="1"/>
  <c r="J26" i="95"/>
  <c r="P26" i="95" s="1"/>
  <c r="O26" i="95"/>
  <c r="O27" i="95" s="1"/>
  <c r="O29" i="95" s="1"/>
  <c r="P21" i="95"/>
  <c r="L72" i="83"/>
  <c r="U24" i="83"/>
  <c r="F119" i="57" s="1"/>
  <c r="F35" i="80"/>
  <c r="F29" i="80" s="1"/>
  <c r="E134" i="81"/>
  <c r="C26" i="57"/>
  <c r="C24" i="57" s="1"/>
  <c r="E138" i="81"/>
  <c r="E78" i="94"/>
  <c r="E82" i="94" s="1"/>
  <c r="E58" i="94"/>
  <c r="E54" i="97"/>
  <c r="E63" i="97" s="1"/>
  <c r="E6" i="98"/>
  <c r="E38" i="98" s="1"/>
  <c r="R22" i="83"/>
  <c r="R24" i="83" s="1"/>
  <c r="H24" i="83"/>
  <c r="N21" i="83"/>
  <c r="N75" i="83" s="1"/>
  <c r="F78" i="94"/>
  <c r="F82" i="94" s="1"/>
  <c r="E19" i="94"/>
  <c r="C33" i="90"/>
  <c r="E25" i="90"/>
  <c r="E34" i="90" s="1"/>
  <c r="F55" i="97"/>
  <c r="F54" i="97" s="1"/>
  <c r="F63" i="97" s="1"/>
  <c r="F86" i="97" s="1"/>
  <c r="K13" i="56"/>
  <c r="G12" i="56"/>
  <c r="F6" i="98"/>
  <c r="F38" i="98" s="1"/>
  <c r="BA90" i="82"/>
  <c r="BF89" i="82" s="1"/>
  <c r="F47" i="99"/>
  <c r="D13" i="81"/>
  <c r="E13" i="81" s="1"/>
  <c r="G12" i="101"/>
  <c r="G16" i="101"/>
  <c r="P16" i="101" s="1"/>
  <c r="R16" i="101" s="1"/>
  <c r="O19" i="101"/>
  <c r="P19" i="101" s="1"/>
  <c r="R19" i="101" s="1"/>
  <c r="M44" i="80"/>
  <c r="AS89" i="82"/>
  <c r="D20" i="101"/>
  <c r="K20" i="101"/>
  <c r="G13" i="101"/>
  <c r="BB15" i="82"/>
  <c r="E39" i="82"/>
  <c r="E12" i="88"/>
  <c r="E13" i="88" s="1"/>
  <c r="C12" i="88"/>
  <c r="E50" i="94"/>
  <c r="D27" i="53"/>
  <c r="D45" i="99"/>
  <c r="D46" i="80"/>
  <c r="P45" i="80"/>
  <c r="U63" i="83"/>
  <c r="G83" i="57"/>
  <c r="G29" i="36" s="1"/>
  <c r="BE36" i="82"/>
  <c r="BE59" i="82"/>
  <c r="G18" i="101"/>
  <c r="D21" i="83"/>
  <c r="C64" i="81"/>
  <c r="E40" i="57"/>
  <c r="I27" i="53"/>
  <c r="G27" i="53"/>
  <c r="F27" i="53"/>
  <c r="M27" i="53"/>
  <c r="J27" i="53"/>
  <c r="F46" i="80"/>
  <c r="H88" i="81"/>
  <c r="F80" i="81"/>
  <c r="F94" i="81" s="1"/>
  <c r="G39" i="99"/>
  <c r="G33" i="99" s="1"/>
  <c r="M33" i="99" s="1"/>
  <c r="B81" i="81"/>
  <c r="B95" i="81" s="1"/>
  <c r="B33" i="99"/>
  <c r="B47" i="99" s="1"/>
  <c r="B78" i="81"/>
  <c r="B92" i="81" s="1"/>
  <c r="B85" i="81"/>
  <c r="B89" i="81"/>
  <c r="B88" i="81"/>
  <c r="F102" i="81"/>
  <c r="G88" i="81" s="1"/>
  <c r="B80" i="81"/>
  <c r="B94" i="81" s="1"/>
  <c r="J38" i="80"/>
  <c r="N38" i="80"/>
  <c r="P47" i="80"/>
  <c r="K46" i="80"/>
  <c r="N13" i="80"/>
  <c r="C46" i="80"/>
  <c r="G46" i="80"/>
  <c r="O19" i="80"/>
  <c r="P46" i="80"/>
  <c r="I42" i="80"/>
  <c r="B46" i="80"/>
  <c r="I44" i="80"/>
  <c r="M46" i="80"/>
  <c r="J13" i="80"/>
  <c r="E44" i="80"/>
  <c r="E46" i="80"/>
  <c r="P44" i="80"/>
  <c r="C47" i="99"/>
  <c r="D48" i="99"/>
  <c r="M28" i="99"/>
  <c r="D46" i="99"/>
  <c r="C48" i="99"/>
  <c r="M19" i="99"/>
  <c r="S41" i="83"/>
  <c r="N72" i="83"/>
  <c r="M72" i="83"/>
  <c r="M79" i="83" s="1"/>
  <c r="N79" i="83"/>
  <c r="E72" i="83"/>
  <c r="E79" i="83" s="1"/>
  <c r="C13" i="58"/>
  <c r="C16" i="36" s="1"/>
  <c r="D16" i="97" s="1"/>
  <c r="C80" i="58"/>
  <c r="M21" i="80" s="1"/>
  <c r="M9" i="80" s="1"/>
  <c r="M42" i="80" s="1"/>
  <c r="E45" i="58"/>
  <c r="G29" i="82"/>
  <c r="I10" i="82"/>
  <c r="I25" i="82" s="1"/>
  <c r="D51" i="96"/>
  <c r="D7" i="96" s="1"/>
  <c r="O38" i="101"/>
  <c r="P32" i="101"/>
  <c r="E20" i="101"/>
  <c r="L39" i="101" s="1"/>
  <c r="B20" i="101"/>
  <c r="O12" i="101"/>
  <c r="G14" i="101"/>
  <c r="B38" i="101"/>
  <c r="P30" i="101"/>
  <c r="O11" i="101"/>
  <c r="P31" i="101"/>
  <c r="O13" i="101"/>
  <c r="O15" i="101"/>
  <c r="P35" i="101"/>
  <c r="O17" i="101"/>
  <c r="O18" i="101"/>
  <c r="F20" i="101"/>
  <c r="L38" i="101"/>
  <c r="O6" i="101"/>
  <c r="G6" i="101"/>
  <c r="I20" i="101"/>
  <c r="N20" i="101"/>
  <c r="G8" i="101"/>
  <c r="O14" i="101"/>
  <c r="J38" i="101"/>
  <c r="D70" i="96"/>
  <c r="D69" i="96" s="1"/>
  <c r="D169" i="96" s="1"/>
  <c r="F85" i="96"/>
  <c r="F61" i="96"/>
  <c r="F60" i="96" s="1"/>
  <c r="G30" i="58"/>
  <c r="G62" i="36"/>
  <c r="G60" i="36" s="1"/>
  <c r="M24" i="80"/>
  <c r="M12" i="80" s="1"/>
  <c r="M45" i="80" s="1"/>
  <c r="C56" i="36"/>
  <c r="C55" i="36" s="1"/>
  <c r="B16" i="53" s="1"/>
  <c r="N16" i="53" s="1"/>
  <c r="G78" i="36"/>
  <c r="G77" i="36" s="1"/>
  <c r="C40" i="58"/>
  <c r="K21" i="80" s="1"/>
  <c r="K9" i="80" s="1"/>
  <c r="G13" i="58"/>
  <c r="G16" i="36" s="1"/>
  <c r="C23" i="81" s="1"/>
  <c r="F23" i="81" s="1"/>
  <c r="C126" i="81"/>
  <c r="E15" i="80" s="1"/>
  <c r="E9" i="80" s="1"/>
  <c r="E42" i="80" s="1"/>
  <c r="BD13" i="82"/>
  <c r="E30" i="82"/>
  <c r="G16" i="82"/>
  <c r="G25" i="82" s="1"/>
  <c r="M89" i="82"/>
  <c r="M97" i="82" s="1"/>
  <c r="C29" i="82"/>
  <c r="BA29" i="82" s="1"/>
  <c r="C118" i="57" s="1"/>
  <c r="S30" i="82"/>
  <c r="AX25" i="82"/>
  <c r="T89" i="82"/>
  <c r="BD29" i="82"/>
  <c r="F118" i="57" s="1"/>
  <c r="L10" i="82"/>
  <c r="L25" i="82" s="1"/>
  <c r="BD11" i="82"/>
  <c r="AA10" i="82"/>
  <c r="AA25" i="82" s="1"/>
  <c r="BB36" i="82"/>
  <c r="BB41" i="82"/>
  <c r="AR89" i="82"/>
  <c r="AR97" i="82" s="1"/>
  <c r="AW25" i="82"/>
  <c r="E66" i="58"/>
  <c r="E63" i="58" s="1"/>
  <c r="E72" i="36" s="1"/>
  <c r="H165" i="96"/>
  <c r="D60" i="97"/>
  <c r="E78" i="36"/>
  <c r="H17" i="80" s="1"/>
  <c r="H11" i="80" s="1"/>
  <c r="H44" i="80" s="1"/>
  <c r="L24" i="80"/>
  <c r="L12" i="80" s="1"/>
  <c r="L45" i="80" s="1"/>
  <c r="G41" i="58"/>
  <c r="G40" i="58" s="1"/>
  <c r="G63" i="58"/>
  <c r="L26" i="80" s="1"/>
  <c r="L14" i="80" s="1"/>
  <c r="L47" i="80" s="1"/>
  <c r="AD25" i="82"/>
  <c r="M25" i="82"/>
  <c r="AU25" i="82"/>
  <c r="BD90" i="82"/>
  <c r="BB28" i="82"/>
  <c r="AP42" i="82"/>
  <c r="AP97" i="82" s="1"/>
  <c r="AP100" i="82" s="1"/>
  <c r="AP102" i="82" s="1"/>
  <c r="AH25" i="82"/>
  <c r="N25" i="82"/>
  <c r="L97" i="82"/>
  <c r="G30" i="82"/>
  <c r="V30" i="82"/>
  <c r="AM25" i="82"/>
  <c r="BD39" i="82"/>
  <c r="D60" i="96"/>
  <c r="F37" i="96"/>
  <c r="F54" i="96"/>
  <c r="F122" i="96"/>
  <c r="E60" i="96"/>
  <c r="D47" i="39"/>
  <c r="D46" i="39" s="1"/>
  <c r="D45" i="39" s="1"/>
  <c r="F23" i="80" s="1"/>
  <c r="J23" i="80" s="1"/>
  <c r="E53" i="57"/>
  <c r="E43" i="57" s="1"/>
  <c r="E35" i="57"/>
  <c r="K24" i="99"/>
  <c r="K11" i="99" s="1"/>
  <c r="K45" i="99" s="1"/>
  <c r="D66" i="58"/>
  <c r="D63" i="58" s="1"/>
  <c r="D72" i="36" s="1"/>
  <c r="F62" i="36"/>
  <c r="F60" i="36" s="1"/>
  <c r="D40" i="58"/>
  <c r="E30" i="58"/>
  <c r="D50" i="36"/>
  <c r="K24" i="80"/>
  <c r="K12" i="80" s="1"/>
  <c r="I23" i="99"/>
  <c r="I10" i="99" s="1"/>
  <c r="I44" i="99" s="1"/>
  <c r="C63" i="58"/>
  <c r="I25" i="99"/>
  <c r="I12" i="99" s="1"/>
  <c r="I46" i="99" s="1"/>
  <c r="D62" i="36"/>
  <c r="D60" i="36" s="1"/>
  <c r="D30" i="58"/>
  <c r="F16" i="36"/>
  <c r="C21" i="81" s="1"/>
  <c r="F21" i="81" s="1"/>
  <c r="I24" i="99"/>
  <c r="I11" i="99" s="1"/>
  <c r="I45" i="99" s="1"/>
  <c r="AQ97" i="82"/>
  <c r="Q25" i="82"/>
  <c r="W25" i="82"/>
  <c r="O25" i="82"/>
  <c r="G89" i="82"/>
  <c r="BE89" i="82" s="1"/>
  <c r="BC95" i="82"/>
  <c r="W42" i="82"/>
  <c r="BA42" i="82" s="1"/>
  <c r="Y25" i="82"/>
  <c r="AB25" i="82"/>
  <c r="T25" i="82"/>
  <c r="C131" i="81"/>
  <c r="AF10" i="82"/>
  <c r="AF25" i="82" s="1"/>
  <c r="BC33" i="82"/>
  <c r="BD45" i="82"/>
  <c r="AY97" i="82"/>
  <c r="AZ97" i="82"/>
  <c r="BE80" i="82"/>
  <c r="C16" i="82"/>
  <c r="AE97" i="82"/>
  <c r="AU97" i="82"/>
  <c r="H25" i="82"/>
  <c r="H97" i="82"/>
  <c r="AI25" i="82"/>
  <c r="AM97" i="82"/>
  <c r="BC11" i="82"/>
  <c r="BC26" i="82"/>
  <c r="AA39" i="82"/>
  <c r="BB93" i="82"/>
  <c r="BB11" i="82"/>
  <c r="D89" i="82"/>
  <c r="V42" i="82"/>
  <c r="AK25" i="82"/>
  <c r="BF10" i="82"/>
  <c r="AN97" i="82"/>
  <c r="I97" i="82"/>
  <c r="AW97" i="82"/>
  <c r="BB40" i="82"/>
  <c r="D16" i="82"/>
  <c r="D25" i="82" s="1"/>
  <c r="AL97" i="82"/>
  <c r="F128" i="81"/>
  <c r="BB39" i="82"/>
  <c r="BB86" i="82"/>
  <c r="AZ10" i="82"/>
  <c r="AZ25" i="82" s="1"/>
  <c r="BD36" i="82"/>
  <c r="BD40" i="82"/>
  <c r="BD80" i="82"/>
  <c r="BD86" i="82"/>
  <c r="BE86" i="82"/>
  <c r="T30" i="82"/>
  <c r="D13" i="58"/>
  <c r="D8" i="58" s="1"/>
  <c r="C8" i="58"/>
  <c r="H22" i="99"/>
  <c r="H9" i="99" s="1"/>
  <c r="H43" i="99" s="1"/>
  <c r="E40" i="36"/>
  <c r="I22" i="99"/>
  <c r="I9" i="99" s="1"/>
  <c r="I43" i="99" s="1"/>
  <c r="C78" i="36"/>
  <c r="C77" i="36" s="1"/>
  <c r="G80" i="58"/>
  <c r="I27" i="99"/>
  <c r="I14" i="99" s="1"/>
  <c r="I48" i="99" s="1"/>
  <c r="D80" i="58"/>
  <c r="M22" i="80" s="1"/>
  <c r="M10" i="80" s="1"/>
  <c r="M43" i="80" s="1"/>
  <c r="C62" i="36"/>
  <c r="D73" i="36"/>
  <c r="E13" i="58"/>
  <c r="H24" i="99" s="1"/>
  <c r="E40" i="58"/>
  <c r="D77" i="97"/>
  <c r="D76" i="97" s="1"/>
  <c r="C30" i="58"/>
  <c r="F78" i="36"/>
  <c r="F77" i="36" s="1"/>
  <c r="E7" i="96"/>
  <c r="E145" i="96"/>
  <c r="E69" i="96" s="1"/>
  <c r="E169" i="96" s="1"/>
  <c r="F31" i="96"/>
  <c r="E29" i="82"/>
  <c r="BC29" i="82" s="1"/>
  <c r="E118" i="57" s="1"/>
  <c r="C107" i="81" s="1"/>
  <c r="C17" i="80" s="1"/>
  <c r="C11" i="80" s="1"/>
  <c r="AQ25" i="82"/>
  <c r="AG25" i="82"/>
  <c r="V25" i="82"/>
  <c r="AL25" i="82"/>
  <c r="S25" i="82"/>
  <c r="AC25" i="82"/>
  <c r="BB43" i="82"/>
  <c r="N42" i="82"/>
  <c r="E16" i="82"/>
  <c r="E25" i="82" s="1"/>
  <c r="BC20" i="82"/>
  <c r="BA31" i="82"/>
  <c r="BF30" i="82" s="1"/>
  <c r="R30" i="82"/>
  <c r="R97" i="82" s="1"/>
  <c r="N89" i="82"/>
  <c r="BB90" i="82"/>
  <c r="AO97" i="82"/>
  <c r="BD32" i="82"/>
  <c r="BD31" i="82"/>
  <c r="V39" i="82"/>
  <c r="BE41" i="82"/>
  <c r="BF16" i="82"/>
  <c r="D30" i="82"/>
  <c r="BB33" i="82"/>
  <c r="D42" i="82"/>
  <c r="S89" i="82"/>
  <c r="BB95" i="82"/>
  <c r="T39" i="82"/>
  <c r="BC41" i="82"/>
  <c r="C30" i="82"/>
  <c r="BB46" i="82"/>
  <c r="AG123" i="82"/>
  <c r="BD17" i="82"/>
  <c r="BD16" i="82"/>
  <c r="L29" i="82"/>
  <c r="BE26" i="82"/>
  <c r="O42" i="82"/>
  <c r="O97" i="82" s="1"/>
  <c r="BC43" i="82"/>
  <c r="AX89" i="82"/>
  <c r="AX97" i="82" s="1"/>
  <c r="BC93" i="82"/>
  <c r="AC42" i="82"/>
  <c r="AC97" i="82" s="1"/>
  <c r="BC90" i="82"/>
  <c r="BE13" i="82"/>
  <c r="BA86" i="82"/>
  <c r="AG97" i="82"/>
  <c r="BA10" i="82"/>
  <c r="AH97" i="82"/>
  <c r="AT97" i="82"/>
  <c r="C129" i="81"/>
  <c r="E18" i="80" s="1"/>
  <c r="E12" i="80" s="1"/>
  <c r="E45" i="80" s="1"/>
  <c r="Y39" i="82"/>
  <c r="Y97" i="82" s="1"/>
  <c r="BC40" i="82"/>
  <c r="AS97" i="82"/>
  <c r="AO25" i="82"/>
  <c r="BF86" i="82"/>
  <c r="BC91" i="82"/>
  <c r="P25" i="82"/>
  <c r="AJ97" i="82"/>
  <c r="AJ25" i="82"/>
  <c r="AI97" i="82"/>
  <c r="BF42" i="82"/>
  <c r="BA40" i="82"/>
  <c r="BF39" i="82" s="1"/>
  <c r="BB29" i="82"/>
  <c r="D118" i="57" s="1"/>
  <c r="C106" i="81" s="1"/>
  <c r="C16" i="80" s="1"/>
  <c r="C10" i="80" s="1"/>
  <c r="AV97" i="82"/>
  <c r="AV25" i="82"/>
  <c r="AT25" i="82"/>
  <c r="BE11" i="82"/>
  <c r="BD41" i="82"/>
  <c r="BC86" i="82"/>
  <c r="R25" i="82"/>
  <c r="AB97" i="82"/>
  <c r="X97" i="82"/>
  <c r="AR25" i="82"/>
  <c r="BE90" i="82"/>
  <c r="X25" i="82"/>
  <c r="J97" i="82"/>
  <c r="E42" i="82"/>
  <c r="BC36" i="82"/>
  <c r="BC46" i="82"/>
  <c r="O72" i="83"/>
  <c r="O75" i="83" s="1"/>
  <c r="T60" i="83"/>
  <c r="J72" i="83"/>
  <c r="J75" i="83" s="1"/>
  <c r="T41" i="83"/>
  <c r="T55" i="83"/>
  <c r="O79" i="83"/>
  <c r="T22" i="83"/>
  <c r="T25" i="83"/>
  <c r="T23" i="83"/>
  <c r="T24" i="83" s="1"/>
  <c r="T21" i="83"/>
  <c r="D100" i="81" s="1"/>
  <c r="F35" i="99"/>
  <c r="F29" i="99" s="1"/>
  <c r="F37" i="99"/>
  <c r="F31" i="99" s="1"/>
  <c r="F45" i="99" s="1"/>
  <c r="E36" i="81"/>
  <c r="F40" i="98"/>
  <c r="F39" i="98" s="1"/>
  <c r="F108" i="98" s="1"/>
  <c r="F109" i="98" s="1"/>
  <c r="C40" i="98"/>
  <c r="E135" i="81"/>
  <c r="E70" i="57"/>
  <c r="E22" i="36" s="1"/>
  <c r="E26" i="57"/>
  <c r="E24" i="57" s="1"/>
  <c r="D14" i="39"/>
  <c r="E73" i="36"/>
  <c r="F149" i="81" s="1"/>
  <c r="D75" i="97"/>
  <c r="D73" i="97" s="1"/>
  <c r="J15" i="99"/>
  <c r="L15" i="99" s="1"/>
  <c r="G56" i="36"/>
  <c r="C39" i="81" s="1"/>
  <c r="C54" i="97"/>
  <c r="C63" i="97" s="1"/>
  <c r="D58" i="97"/>
  <c r="D56" i="97" s="1"/>
  <c r="D55" i="97" s="1"/>
  <c r="N25" i="53"/>
  <c r="E56" i="36"/>
  <c r="C36" i="81" s="1"/>
  <c r="F56" i="36"/>
  <c r="C37" i="81" s="1"/>
  <c r="R86" i="83"/>
  <c r="D15" i="81"/>
  <c r="E45" i="39"/>
  <c r="F24" i="80" s="1"/>
  <c r="J24" i="80" s="1"/>
  <c r="C47" i="39"/>
  <c r="C46" i="39" s="1"/>
  <c r="C45" i="39" s="1"/>
  <c r="F22" i="80" s="1"/>
  <c r="J22" i="80" s="1"/>
  <c r="U86" i="83"/>
  <c r="D11" i="81"/>
  <c r="E11" i="81" s="1"/>
  <c r="J10" i="99"/>
  <c r="J44" i="99" s="1"/>
  <c r="L16" i="99"/>
  <c r="J14" i="99"/>
  <c r="J48" i="99" s="1"/>
  <c r="L20" i="99"/>
  <c r="E46" i="81"/>
  <c r="F46" i="81" s="1"/>
  <c r="C35" i="99"/>
  <c r="C29" i="99" s="1"/>
  <c r="C43" i="99" s="1"/>
  <c r="C38" i="99"/>
  <c r="C32" i="99" s="1"/>
  <c r="C46" i="99" s="1"/>
  <c r="E49" i="81"/>
  <c r="F49" i="81" s="1"/>
  <c r="F47" i="39"/>
  <c r="F46" i="39" s="1"/>
  <c r="F45" i="39" s="1"/>
  <c r="F26" i="80" s="1"/>
  <c r="J26" i="80" s="1"/>
  <c r="E47" i="81"/>
  <c r="F47" i="81" s="1"/>
  <c r="K26" i="53"/>
  <c r="F162" i="96"/>
  <c r="F145" i="96" s="1"/>
  <c r="F42" i="96"/>
  <c r="L18" i="99"/>
  <c r="J11" i="99"/>
  <c r="J45" i="99" s="1"/>
  <c r="BC71" i="82"/>
  <c r="H109" i="98"/>
  <c r="G29" i="95"/>
  <c r="G33" i="95"/>
  <c r="D106" i="81"/>
  <c r="D116" i="57"/>
  <c r="U25" i="83"/>
  <c r="M26" i="99"/>
  <c r="L13" i="99"/>
  <c r="P17" i="95"/>
  <c r="J27" i="95"/>
  <c r="E15" i="88"/>
  <c r="C13" i="88"/>
  <c r="C15" i="88"/>
  <c r="D7" i="91"/>
  <c r="D102" i="91" s="1"/>
  <c r="C116" i="57"/>
  <c r="E40" i="98"/>
  <c r="E39" i="98" s="1"/>
  <c r="E108" i="98" s="1"/>
  <c r="E109" i="98" s="1"/>
  <c r="F36" i="95"/>
  <c r="F29" i="95"/>
  <c r="G30" i="95" s="1"/>
  <c r="G32" i="95" s="1"/>
  <c r="E62" i="94"/>
  <c r="E17" i="91"/>
  <c r="E7" i="91" s="1"/>
  <c r="E102" i="91" s="1"/>
  <c r="G64" i="97"/>
  <c r="G83" i="97" s="1"/>
  <c r="J79" i="83"/>
  <c r="R41" i="83"/>
  <c r="H72" i="83"/>
  <c r="C64" i="97"/>
  <c r="C83" i="97" s="1"/>
  <c r="Q97" i="82"/>
  <c r="BA39" i="82"/>
  <c r="D40" i="98"/>
  <c r="D39" i="98" s="1"/>
  <c r="D108" i="98" s="1"/>
  <c r="P19" i="95"/>
  <c r="P16" i="95"/>
  <c r="F62" i="94"/>
  <c r="F8" i="96"/>
  <c r="D18" i="98"/>
  <c r="D6" i="98" s="1"/>
  <c r="D38" i="98" s="1"/>
  <c r="C11" i="98"/>
  <c r="C6" i="98" s="1"/>
  <c r="C38" i="98" s="1"/>
  <c r="P25" i="95"/>
  <c r="BC80" i="82"/>
  <c r="F29" i="36"/>
  <c r="BD26" i="82"/>
  <c r="AF42" i="82"/>
  <c r="AF97" i="82" s="1"/>
  <c r="BE40" i="82"/>
  <c r="D26" i="57"/>
  <c r="D24" i="57" s="1"/>
  <c r="AK97" i="82"/>
  <c r="AK100" i="82" s="1"/>
  <c r="AK102" i="82" s="1"/>
  <c r="P27" i="101"/>
  <c r="P36" i="101"/>
  <c r="H116" i="82"/>
  <c r="F73" i="96"/>
  <c r="P17" i="101" l="1"/>
  <c r="R17" i="101" s="1"/>
  <c r="L40" i="101"/>
  <c r="P9" i="101"/>
  <c r="R9" i="101" s="1"/>
  <c r="R28" i="101" s="1"/>
  <c r="P12" i="101"/>
  <c r="R12" i="101" s="1"/>
  <c r="R31" i="101" s="1"/>
  <c r="AN100" i="82"/>
  <c r="AN102" i="82" s="1"/>
  <c r="BE16" i="82"/>
  <c r="BC10" i="82"/>
  <c r="P10" i="101"/>
  <c r="R10" i="101" s="1"/>
  <c r="R29" i="101" s="1"/>
  <c r="F20" i="80"/>
  <c r="F14" i="80" s="1"/>
  <c r="F47" i="80" s="1"/>
  <c r="BE29" i="82"/>
  <c r="G118" i="57" s="1"/>
  <c r="G117" i="57" s="1"/>
  <c r="P7" i="101"/>
  <c r="R7" i="101" s="1"/>
  <c r="R26" i="101" s="1"/>
  <c r="P15" i="101"/>
  <c r="R15" i="101" s="1"/>
  <c r="R34" i="101" s="1"/>
  <c r="D110" i="81"/>
  <c r="C39" i="80" s="1"/>
  <c r="C33" i="80" s="1"/>
  <c r="P8" i="101"/>
  <c r="R8" i="101" s="1"/>
  <c r="R27" i="101" s="1"/>
  <c r="O20" i="101"/>
  <c r="D21" i="101"/>
  <c r="R35" i="101"/>
  <c r="G22" i="36"/>
  <c r="G8" i="57"/>
  <c r="K39" i="80"/>
  <c r="K33" i="80" s="1"/>
  <c r="N33" i="80" s="1"/>
  <c r="V21" i="83"/>
  <c r="X100" i="82"/>
  <c r="X102" i="82" s="1"/>
  <c r="BA89" i="82"/>
  <c r="AS100" i="82"/>
  <c r="AS102" i="82" s="1"/>
  <c r="AA97" i="82"/>
  <c r="AA100" i="82" s="1"/>
  <c r="AA102" i="82" s="1"/>
  <c r="F89" i="82"/>
  <c r="BD89" i="82" s="1"/>
  <c r="BD91" i="82"/>
  <c r="E16" i="80"/>
  <c r="E10" i="80" s="1"/>
  <c r="E43" i="80" s="1"/>
  <c r="BD71" i="82"/>
  <c r="F117" i="57"/>
  <c r="E68" i="96"/>
  <c r="E172" i="96" s="1"/>
  <c r="F148" i="81"/>
  <c r="C10" i="57"/>
  <c r="C9" i="57" s="1"/>
  <c r="C8" i="57" s="1"/>
  <c r="C79" i="39"/>
  <c r="D99" i="82" s="1"/>
  <c r="BB99" i="82" s="1"/>
  <c r="D10" i="57"/>
  <c r="D9" i="57" s="1"/>
  <c r="D9" i="36" s="1"/>
  <c r="D8" i="36" s="1"/>
  <c r="C86" i="36"/>
  <c r="B35" i="99"/>
  <c r="B29" i="99" s="1"/>
  <c r="F43" i="99"/>
  <c r="F126" i="81"/>
  <c r="C73" i="36"/>
  <c r="C147" i="81" s="1"/>
  <c r="F147" i="81" s="1"/>
  <c r="H16" i="80"/>
  <c r="H10" i="80" s="1"/>
  <c r="H43" i="80" s="1"/>
  <c r="G55" i="36"/>
  <c r="G54" i="36" s="1"/>
  <c r="F16" i="80"/>
  <c r="F10" i="80" s="1"/>
  <c r="F43" i="80" s="1"/>
  <c r="B79" i="39"/>
  <c r="C133" i="81" s="1"/>
  <c r="F133" i="81" s="1"/>
  <c r="D48" i="81"/>
  <c r="E48" i="81" s="1"/>
  <c r="U21" i="83"/>
  <c r="F116" i="57" s="1"/>
  <c r="E121" i="81"/>
  <c r="N36" i="80"/>
  <c r="K34" i="80"/>
  <c r="B37" i="99"/>
  <c r="B31" i="99" s="1"/>
  <c r="B38" i="99"/>
  <c r="B32" i="99" s="1"/>
  <c r="F44" i="99"/>
  <c r="F46" i="99"/>
  <c r="G86" i="97"/>
  <c r="L79" i="83"/>
  <c r="D75" i="83"/>
  <c r="E99" i="81"/>
  <c r="M75" i="83"/>
  <c r="AL100" i="82"/>
  <c r="AL102" i="82" s="1"/>
  <c r="I41" i="98"/>
  <c r="AX100" i="82"/>
  <c r="AX102" i="82" s="1"/>
  <c r="N46" i="80"/>
  <c r="B36" i="99"/>
  <c r="B30" i="99" s="1"/>
  <c r="G47" i="99"/>
  <c r="F36" i="81"/>
  <c r="F39" i="81"/>
  <c r="F15" i="80"/>
  <c r="F9" i="80" s="1"/>
  <c r="F42" i="80" s="1"/>
  <c r="C120" i="81"/>
  <c r="C150" i="81"/>
  <c r="F150" i="81" s="1"/>
  <c r="G8" i="58"/>
  <c r="E86" i="97"/>
  <c r="C18" i="81"/>
  <c r="F18" i="81" s="1"/>
  <c r="I100" i="82"/>
  <c r="I102" i="82" s="1"/>
  <c r="F129" i="81"/>
  <c r="AM100" i="82"/>
  <c r="AM102" i="82" s="1"/>
  <c r="AF100" i="82"/>
  <c r="AF102" i="82" s="1"/>
  <c r="Y100" i="82"/>
  <c r="Y102" i="82" s="1"/>
  <c r="AQ100" i="82"/>
  <c r="AQ102" i="82" s="1"/>
  <c r="P38" i="101"/>
  <c r="P11" i="101"/>
  <c r="R11" i="101" s="1"/>
  <c r="R30" i="101" s="1"/>
  <c r="P33" i="95"/>
  <c r="C34" i="90"/>
  <c r="D122" i="81"/>
  <c r="G69" i="98"/>
  <c r="G68" i="98" s="1"/>
  <c r="G40" i="98" s="1"/>
  <c r="G39" i="98" s="1"/>
  <c r="G108" i="98" s="1"/>
  <c r="G109" i="98" s="1"/>
  <c r="B34" i="80"/>
  <c r="B28" i="80" s="1"/>
  <c r="E98" i="81"/>
  <c r="E120" i="81"/>
  <c r="K35" i="80"/>
  <c r="AD100" i="82"/>
  <c r="AD102" i="82" s="1"/>
  <c r="AW100" i="82"/>
  <c r="AW102" i="82" s="1"/>
  <c r="C65" i="81"/>
  <c r="F65" i="81" s="1"/>
  <c r="E34" i="57"/>
  <c r="E10" i="57" s="1"/>
  <c r="E9" i="57" s="1"/>
  <c r="D13" i="39"/>
  <c r="D11" i="39" s="1"/>
  <c r="D10" i="39" s="1"/>
  <c r="D9" i="39" s="1"/>
  <c r="G20" i="101"/>
  <c r="P18" i="101"/>
  <c r="R18" i="101" s="1"/>
  <c r="R37" i="101" s="1"/>
  <c r="P13" i="101"/>
  <c r="R13" i="101" s="1"/>
  <c r="R32" i="101" s="1"/>
  <c r="S72" i="83"/>
  <c r="C119" i="57"/>
  <c r="C117" i="57" s="1"/>
  <c r="D105" i="81"/>
  <c r="D108" i="81"/>
  <c r="D29" i="95"/>
  <c r="C82" i="98"/>
  <c r="I29" i="95"/>
  <c r="J30" i="95" s="1"/>
  <c r="J32" i="95" s="1"/>
  <c r="P34" i="95" s="1"/>
  <c r="I36" i="95"/>
  <c r="O36" i="95" s="1"/>
  <c r="L75" i="83"/>
  <c r="R100" i="82"/>
  <c r="R102" i="82" s="1"/>
  <c r="AG100" i="82"/>
  <c r="AG102" i="82" s="1"/>
  <c r="T97" i="82"/>
  <c r="T100" i="82" s="1"/>
  <c r="T102" i="82" s="1"/>
  <c r="BB10" i="82"/>
  <c r="D79" i="83"/>
  <c r="Q79" i="83"/>
  <c r="V41" i="83"/>
  <c r="G72" i="83"/>
  <c r="M29" i="95"/>
  <c r="C79" i="98"/>
  <c r="M33" i="95"/>
  <c r="K23" i="80"/>
  <c r="K11" i="80" s="1"/>
  <c r="K44" i="80" s="1"/>
  <c r="C121" i="81"/>
  <c r="F121" i="81" s="1"/>
  <c r="F64" i="81"/>
  <c r="C63" i="81"/>
  <c r="F67" i="81"/>
  <c r="C66" i="81"/>
  <c r="C30" i="81" s="1"/>
  <c r="J33" i="95"/>
  <c r="C75" i="83"/>
  <c r="C79" i="83"/>
  <c r="M39" i="99"/>
  <c r="J32" i="80"/>
  <c r="O32" i="80" s="1"/>
  <c r="O38" i="80"/>
  <c r="O13" i="80"/>
  <c r="D122" i="57"/>
  <c r="S75" i="83"/>
  <c r="D113" i="81"/>
  <c r="D35" i="80" s="1"/>
  <c r="D29" i="80" s="1"/>
  <c r="G37" i="58"/>
  <c r="C122" i="81"/>
  <c r="H20" i="80"/>
  <c r="H14" i="80" s="1"/>
  <c r="H47" i="80" s="1"/>
  <c r="H18" i="80"/>
  <c r="H12" i="80" s="1"/>
  <c r="H45" i="80" s="1"/>
  <c r="M100" i="82"/>
  <c r="M102" i="82" s="1"/>
  <c r="O40" i="101"/>
  <c r="P40" i="101" s="1"/>
  <c r="O39" i="101"/>
  <c r="P14" i="101"/>
  <c r="R14" i="101" s="1"/>
  <c r="R33" i="101" s="1"/>
  <c r="R36" i="101"/>
  <c r="P6" i="101"/>
  <c r="F70" i="96"/>
  <c r="F69" i="96" s="1"/>
  <c r="F169" i="96" s="1"/>
  <c r="D68" i="96"/>
  <c r="D171" i="96" s="1"/>
  <c r="P100" i="82"/>
  <c r="P102" i="82" s="1"/>
  <c r="C39" i="58"/>
  <c r="C71" i="36" s="1"/>
  <c r="D71" i="97" s="1"/>
  <c r="C34" i="81"/>
  <c r="F34" i="81" s="1"/>
  <c r="H27" i="99"/>
  <c r="H14" i="99" s="1"/>
  <c r="H48" i="99" s="1"/>
  <c r="E39" i="58"/>
  <c r="E71" i="36" s="1"/>
  <c r="E70" i="36" s="1"/>
  <c r="F101" i="82"/>
  <c r="BD101" i="82" s="1"/>
  <c r="D37" i="58"/>
  <c r="F55" i="36"/>
  <c r="F54" i="36" s="1"/>
  <c r="G72" i="36"/>
  <c r="L23" i="80"/>
  <c r="L11" i="80" s="1"/>
  <c r="L44" i="80" s="1"/>
  <c r="L24" i="99"/>
  <c r="M24" i="99" s="1"/>
  <c r="E101" i="82"/>
  <c r="BC101" i="82" s="1"/>
  <c r="E77" i="36"/>
  <c r="D85" i="97"/>
  <c r="D54" i="97"/>
  <c r="C37" i="58"/>
  <c r="C108" i="81"/>
  <c r="C18" i="80" s="1"/>
  <c r="C12" i="80" s="1"/>
  <c r="C105" i="81"/>
  <c r="C15" i="80" s="1"/>
  <c r="C9" i="80" s="1"/>
  <c r="AU100" i="82"/>
  <c r="AU102" i="82" s="1"/>
  <c r="AE100" i="82"/>
  <c r="AE102" i="82" s="1"/>
  <c r="S97" i="82"/>
  <c r="S100" i="82" s="1"/>
  <c r="S102" i="82" s="1"/>
  <c r="BC30" i="82"/>
  <c r="BE30" i="82"/>
  <c r="G39" i="58"/>
  <c r="G71" i="36" s="1"/>
  <c r="C124" i="81"/>
  <c r="F124" i="81" s="1"/>
  <c r="K26" i="80"/>
  <c r="K14" i="80" s="1"/>
  <c r="D55" i="36"/>
  <c r="D54" i="36" s="1"/>
  <c r="H25" i="99"/>
  <c r="H12" i="99" s="1"/>
  <c r="H46" i="99" s="1"/>
  <c r="H23" i="99"/>
  <c r="H10" i="99" s="1"/>
  <c r="H44" i="99" s="1"/>
  <c r="E8" i="58"/>
  <c r="E37" i="58" s="1"/>
  <c r="D16" i="36"/>
  <c r="C19" i="81" s="1"/>
  <c r="F19" i="81" s="1"/>
  <c r="F37" i="58"/>
  <c r="C38" i="58"/>
  <c r="C91" i="58" s="1"/>
  <c r="K100" i="82"/>
  <c r="K102" i="82" s="1"/>
  <c r="Z97" i="82"/>
  <c r="Z100" i="82" s="1"/>
  <c r="Z102" i="82" s="1"/>
  <c r="L100" i="82"/>
  <c r="L102" i="82" s="1"/>
  <c r="J100" i="82"/>
  <c r="J102" i="82" s="1"/>
  <c r="AH100" i="82"/>
  <c r="AH102" i="82" s="1"/>
  <c r="BD42" i="82"/>
  <c r="BD10" i="82"/>
  <c r="Q100" i="82"/>
  <c r="Q102" i="82" s="1"/>
  <c r="W97" i="82"/>
  <c r="W100" i="82" s="1"/>
  <c r="W102" i="82" s="1"/>
  <c r="AC100" i="82"/>
  <c r="AC102" i="82" s="1"/>
  <c r="O100" i="82"/>
  <c r="O102" i="82" s="1"/>
  <c r="AY100" i="82"/>
  <c r="AY102" i="82" s="1"/>
  <c r="AJ100" i="82"/>
  <c r="AJ102" i="82" s="1"/>
  <c r="L22" i="80"/>
  <c r="L10" i="80" s="1"/>
  <c r="L22" i="99"/>
  <c r="M22" i="99" s="1"/>
  <c r="D101" i="82"/>
  <c r="BB101" i="82" s="1"/>
  <c r="K22" i="80"/>
  <c r="K10" i="80" s="1"/>
  <c r="D39" i="58"/>
  <c r="D71" i="36" s="1"/>
  <c r="D70" i="36" s="1"/>
  <c r="J9" i="99"/>
  <c r="J43" i="99" s="1"/>
  <c r="C72" i="36"/>
  <c r="D72" i="97" s="1"/>
  <c r="C119" i="81"/>
  <c r="F119" i="81" s="1"/>
  <c r="L21" i="80"/>
  <c r="C101" i="82"/>
  <c r="BA101" i="82" s="1"/>
  <c r="AZ100" i="82"/>
  <c r="AZ102" i="82" s="1"/>
  <c r="BC25" i="82"/>
  <c r="E115" i="57" s="1"/>
  <c r="C100" i="81" s="1"/>
  <c r="BC42" i="82"/>
  <c r="AR100" i="82"/>
  <c r="AR102" i="82" s="1"/>
  <c r="E20" i="80"/>
  <c r="E14" i="80" s="1"/>
  <c r="E47" i="80" s="1"/>
  <c r="F131" i="81"/>
  <c r="AB100" i="82"/>
  <c r="AB102" i="82" s="1"/>
  <c r="BB16" i="82"/>
  <c r="BC39" i="82"/>
  <c r="BE39" i="82"/>
  <c r="BB42" i="82"/>
  <c r="H100" i="82"/>
  <c r="H102" i="82" s="1"/>
  <c r="AI100" i="82"/>
  <c r="AI102" i="82" s="1"/>
  <c r="BE10" i="82"/>
  <c r="V97" i="82"/>
  <c r="V100" i="82" s="1"/>
  <c r="V102" i="82" s="1"/>
  <c r="U97" i="82"/>
  <c r="U100" i="82" s="1"/>
  <c r="U102" i="82" s="1"/>
  <c r="C25" i="82"/>
  <c r="BA25" i="82" s="1"/>
  <c r="C115" i="57" s="1"/>
  <c r="C98" i="81" s="1"/>
  <c r="BA16" i="82"/>
  <c r="BF25" i="82" s="1"/>
  <c r="E16" i="36"/>
  <c r="C20" i="81" s="1"/>
  <c r="F20" i="81" s="1"/>
  <c r="F37" i="81"/>
  <c r="H11" i="99"/>
  <c r="H45" i="99" s="1"/>
  <c r="N24" i="80"/>
  <c r="O24" i="80" s="1"/>
  <c r="H15" i="80"/>
  <c r="H9" i="80" s="1"/>
  <c r="H42" i="80" s="1"/>
  <c r="C60" i="36"/>
  <c r="C84" i="97"/>
  <c r="M26" i="80"/>
  <c r="M14" i="80" s="1"/>
  <c r="M47" i="80" s="1"/>
  <c r="G101" i="82"/>
  <c r="BE101" i="82" s="1"/>
  <c r="F7" i="96"/>
  <c r="F68" i="96" s="1"/>
  <c r="BE25" i="82"/>
  <c r="G115" i="57" s="1"/>
  <c r="C103" i="81" s="1"/>
  <c r="B20" i="80" s="1"/>
  <c r="B14" i="80" s="1"/>
  <c r="BD25" i="82"/>
  <c r="AO100" i="82"/>
  <c r="AO102" i="82" s="1"/>
  <c r="AT100" i="82"/>
  <c r="AT102" i="82" s="1"/>
  <c r="N97" i="82"/>
  <c r="N100" i="82" s="1"/>
  <c r="N102" i="82" s="1"/>
  <c r="BB89" i="82"/>
  <c r="C97" i="82"/>
  <c r="BA30" i="82"/>
  <c r="BC16" i="82"/>
  <c r="AV100" i="82"/>
  <c r="AV102" i="82" s="1"/>
  <c r="BB25" i="82"/>
  <c r="D115" i="57" s="1"/>
  <c r="C99" i="81" s="1"/>
  <c r="D117" i="57"/>
  <c r="E89" i="82"/>
  <c r="BB30" i="82"/>
  <c r="D97" i="82"/>
  <c r="BD30" i="82"/>
  <c r="E116" i="57"/>
  <c r="E119" i="57"/>
  <c r="E117" i="57" s="1"/>
  <c r="D107" i="81"/>
  <c r="T72" i="83"/>
  <c r="E122" i="57" s="1"/>
  <c r="E75" i="83"/>
  <c r="D109" i="98"/>
  <c r="C28" i="81"/>
  <c r="E55" i="36"/>
  <c r="E54" i="36" s="1"/>
  <c r="B40" i="99"/>
  <c r="B34" i="99" s="1"/>
  <c r="E15" i="81"/>
  <c r="F79" i="39"/>
  <c r="K27" i="53"/>
  <c r="N26" i="53"/>
  <c r="P39" i="101"/>
  <c r="E79" i="39"/>
  <c r="F18" i="80"/>
  <c r="F12" i="80" s="1"/>
  <c r="F45" i="80" s="1"/>
  <c r="B36" i="80"/>
  <c r="E100" i="81"/>
  <c r="H75" i="83"/>
  <c r="R72" i="83"/>
  <c r="H79" i="83"/>
  <c r="J29" i="95"/>
  <c r="J36" i="95"/>
  <c r="P36" i="95" s="1"/>
  <c r="D67" i="36"/>
  <c r="S79" i="83"/>
  <c r="S87" i="83" s="1"/>
  <c r="D55" i="81" s="1"/>
  <c r="C37" i="99"/>
  <c r="E106" i="81"/>
  <c r="F106" i="81" s="1"/>
  <c r="C35" i="80"/>
  <c r="F9" i="36"/>
  <c r="F8" i="36" s="1"/>
  <c r="P27" i="95"/>
  <c r="T75" i="83"/>
  <c r="N12" i="80"/>
  <c r="P29" i="95"/>
  <c r="M116" i="82"/>
  <c r="H136" i="82"/>
  <c r="G9" i="36"/>
  <c r="G8" i="36" s="1"/>
  <c r="BE71" i="82"/>
  <c r="G42" i="82"/>
  <c r="L47" i="99"/>
  <c r="M47" i="99" s="1"/>
  <c r="M13" i="99"/>
  <c r="E110" i="81"/>
  <c r="N18" i="53"/>
  <c r="N19" i="53" s="1"/>
  <c r="B19" i="53"/>
  <c r="B27" i="53" s="1"/>
  <c r="B28" i="53" s="1"/>
  <c r="C28" i="53" s="1"/>
  <c r="D28" i="53" s="1"/>
  <c r="E28" i="53" s="1"/>
  <c r="F28" i="53" s="1"/>
  <c r="G28" i="53" s="1"/>
  <c r="H28" i="53" s="1"/>
  <c r="I28" i="53" s="1"/>
  <c r="J28" i="53" s="1"/>
  <c r="K28" i="53" s="1"/>
  <c r="L28" i="53" s="1"/>
  <c r="M28" i="53" s="1"/>
  <c r="BF97" i="82" l="1"/>
  <c r="C110" i="81"/>
  <c r="C20" i="80" s="1"/>
  <c r="C14" i="80" s="1"/>
  <c r="C9" i="36"/>
  <c r="N39" i="80"/>
  <c r="C15" i="81"/>
  <c r="D103" i="81"/>
  <c r="G116" i="57"/>
  <c r="G114" i="57" s="1"/>
  <c r="E171" i="96"/>
  <c r="F97" i="82"/>
  <c r="BD97" i="82" s="1"/>
  <c r="F121" i="57" s="1"/>
  <c r="D100" i="82"/>
  <c r="D102" i="82" s="1"/>
  <c r="BB102" i="82" s="1"/>
  <c r="C134" i="81"/>
  <c r="F134" i="81" s="1"/>
  <c r="F115" i="57"/>
  <c r="F114" i="57" s="1"/>
  <c r="C125" i="57"/>
  <c r="C124" i="57" s="1"/>
  <c r="D125" i="57"/>
  <c r="D124" i="57" s="1"/>
  <c r="D8" i="57"/>
  <c r="C11" i="81" s="1"/>
  <c r="E8" i="57"/>
  <c r="E112" i="57" s="1"/>
  <c r="E9" i="36"/>
  <c r="E8" i="36" s="1"/>
  <c r="E63" i="36" s="1"/>
  <c r="F125" i="57"/>
  <c r="F124" i="57" s="1"/>
  <c r="F99" i="82"/>
  <c r="BD99" i="82" s="1"/>
  <c r="F98" i="81"/>
  <c r="L27" i="99"/>
  <c r="M27" i="99" s="1"/>
  <c r="G63" i="36"/>
  <c r="D7" i="92" s="1"/>
  <c r="F66" i="81"/>
  <c r="C99" i="82"/>
  <c r="BA99" i="82" s="1"/>
  <c r="D101" i="81"/>
  <c r="K28" i="80"/>
  <c r="N34" i="80"/>
  <c r="U72" i="83"/>
  <c r="F122" i="57" s="1"/>
  <c r="D85" i="81"/>
  <c r="E85" i="81" s="1"/>
  <c r="F110" i="81"/>
  <c r="F120" i="81"/>
  <c r="E113" i="81"/>
  <c r="G38" i="58"/>
  <c r="G91" i="58" s="1"/>
  <c r="G92" i="58" s="1"/>
  <c r="C74" i="81"/>
  <c r="F74" i="81" s="1"/>
  <c r="F30" i="81"/>
  <c r="F17" i="80"/>
  <c r="F11" i="80" s="1"/>
  <c r="F44" i="80" s="1"/>
  <c r="D79" i="39"/>
  <c r="C135" i="81" s="1"/>
  <c r="F135" i="81" s="1"/>
  <c r="E108" i="81"/>
  <c r="F108" i="81" s="1"/>
  <c r="C37" i="80"/>
  <c r="C31" i="80" s="1"/>
  <c r="C45" i="80" s="1"/>
  <c r="F63" i="81"/>
  <c r="C62" i="81"/>
  <c r="F62" i="81" s="1"/>
  <c r="V72" i="83"/>
  <c r="G79" i="83"/>
  <c r="G75" i="83"/>
  <c r="C34" i="80"/>
  <c r="C28" i="80" s="1"/>
  <c r="C42" i="80" s="1"/>
  <c r="E105" i="81"/>
  <c r="F105" i="81" s="1"/>
  <c r="K29" i="80"/>
  <c r="N29" i="80" s="1"/>
  <c r="N35" i="80"/>
  <c r="C78" i="98"/>
  <c r="C77" i="98" s="1"/>
  <c r="C39" i="98" s="1"/>
  <c r="C108" i="98" s="1"/>
  <c r="C109" i="98" s="1"/>
  <c r="E122" i="81"/>
  <c r="F122" i="81" s="1"/>
  <c r="K37" i="80"/>
  <c r="O46" i="80"/>
  <c r="J46" i="80"/>
  <c r="C47" i="80"/>
  <c r="F63" i="36"/>
  <c r="F91" i="58"/>
  <c r="F92" i="58" s="1"/>
  <c r="D63" i="36"/>
  <c r="E38" i="58"/>
  <c r="E91" i="58" s="1"/>
  <c r="E92" i="58" s="1"/>
  <c r="N11" i="80"/>
  <c r="N44" i="80" s="1"/>
  <c r="N23" i="80"/>
  <c r="O23" i="80" s="1"/>
  <c r="P20" i="101"/>
  <c r="R20" i="101" s="1"/>
  <c r="R39" i="101" s="1"/>
  <c r="R6" i="101"/>
  <c r="R25" i="101" s="1"/>
  <c r="R38" i="101" s="1"/>
  <c r="BA97" i="82"/>
  <c r="C121" i="57" s="1"/>
  <c r="C112" i="81" s="1"/>
  <c r="N27" i="53"/>
  <c r="N28" i="53" s="1"/>
  <c r="D38" i="58"/>
  <c r="D91" i="58" s="1"/>
  <c r="D92" i="58" s="1"/>
  <c r="C92" i="58"/>
  <c r="L9" i="99"/>
  <c r="L43" i="99" s="1"/>
  <c r="L11" i="99"/>
  <c r="L45" i="99" s="1"/>
  <c r="BB100" i="82"/>
  <c r="D66" i="36" s="1"/>
  <c r="D65" i="36" s="1"/>
  <c r="D64" i="36" s="1"/>
  <c r="D84" i="36" s="1"/>
  <c r="L23" i="99"/>
  <c r="M23" i="99" s="1"/>
  <c r="L25" i="99"/>
  <c r="E114" i="57"/>
  <c r="G68" i="96"/>
  <c r="C70" i="36"/>
  <c r="D70" i="97"/>
  <c r="L9" i="80"/>
  <c r="N21" i="80"/>
  <c r="O21" i="80" s="1"/>
  <c r="N26" i="80"/>
  <c r="O26" i="80" s="1"/>
  <c r="N22" i="80"/>
  <c r="O22" i="80" s="1"/>
  <c r="BB97" i="82"/>
  <c r="D121" i="57" s="1"/>
  <c r="D120" i="57" s="1"/>
  <c r="C54" i="36"/>
  <c r="C27" i="81"/>
  <c r="C152" i="81"/>
  <c r="F152" i="81" s="1"/>
  <c r="G86" i="36"/>
  <c r="L14" i="99"/>
  <c r="L48" i="99" s="1"/>
  <c r="E125" i="57"/>
  <c r="E124" i="57" s="1"/>
  <c r="G169" i="96"/>
  <c r="F171" i="96"/>
  <c r="B15" i="80"/>
  <c r="B9" i="80" s="1"/>
  <c r="C114" i="57"/>
  <c r="D114" i="57"/>
  <c r="BC89" i="82"/>
  <c r="E97" i="82"/>
  <c r="BC97" i="82" s="1"/>
  <c r="E121" i="57" s="1"/>
  <c r="E120" i="57" s="1"/>
  <c r="D114" i="81"/>
  <c r="D36" i="80" s="1"/>
  <c r="C36" i="80"/>
  <c r="C30" i="80" s="1"/>
  <c r="C44" i="80" s="1"/>
  <c r="E107" i="81"/>
  <c r="F107" i="81" s="1"/>
  <c r="C138" i="81"/>
  <c r="F138" i="81" s="1"/>
  <c r="G99" i="82"/>
  <c r="BE99" i="82" s="1"/>
  <c r="G125" i="57"/>
  <c r="G124" i="57" s="1"/>
  <c r="G112" i="57"/>
  <c r="T79" i="83"/>
  <c r="T87" i="83" s="1"/>
  <c r="D56" i="81" s="1"/>
  <c r="E67" i="36"/>
  <c r="D27" i="81"/>
  <c r="E36" i="99"/>
  <c r="E55" i="81"/>
  <c r="F99" i="81"/>
  <c r="B16" i="80"/>
  <c r="F100" i="81"/>
  <c r="B17" i="80"/>
  <c r="L43" i="80"/>
  <c r="N10" i="80"/>
  <c r="N43" i="80" s="1"/>
  <c r="H85" i="81"/>
  <c r="G97" i="82"/>
  <c r="BE42" i="82"/>
  <c r="D9" i="97"/>
  <c r="D8" i="97" s="1"/>
  <c r="D63" i="97" s="1"/>
  <c r="C8" i="36"/>
  <c r="F48" i="81"/>
  <c r="C136" i="81"/>
  <c r="F136" i="81" s="1"/>
  <c r="F112" i="57"/>
  <c r="C13" i="81"/>
  <c r="N14" i="80"/>
  <c r="N47" i="80" s="1"/>
  <c r="K47" i="80"/>
  <c r="C12" i="81"/>
  <c r="M137" i="82"/>
  <c r="M136" i="82"/>
  <c r="C135" i="57" s="1"/>
  <c r="C112" i="57"/>
  <c r="C10" i="81"/>
  <c r="C29" i="80"/>
  <c r="C43" i="80" s="1"/>
  <c r="J35" i="80"/>
  <c r="C31" i="99"/>
  <c r="C45" i="99" s="1"/>
  <c r="D112" i="81"/>
  <c r="R75" i="83"/>
  <c r="C122" i="57"/>
  <c r="B30" i="80"/>
  <c r="E103" i="81" l="1"/>
  <c r="F103" i="81" s="1"/>
  <c r="B39" i="80"/>
  <c r="B33" i="80" s="1"/>
  <c r="B47" i="80" s="1"/>
  <c r="F120" i="57"/>
  <c r="C101" i="81"/>
  <c r="B18" i="80" s="1"/>
  <c r="B12" i="80" s="1"/>
  <c r="D112" i="57"/>
  <c r="C100" i="82"/>
  <c r="BA100" i="82" s="1"/>
  <c r="C66" i="36" s="1"/>
  <c r="D66" i="97" s="1"/>
  <c r="H63" i="36"/>
  <c r="E99" i="82"/>
  <c r="BC99" i="82" s="1"/>
  <c r="B37" i="80"/>
  <c r="B31" i="80" s="1"/>
  <c r="E101" i="81"/>
  <c r="N28" i="80"/>
  <c r="K42" i="80"/>
  <c r="C26" i="81"/>
  <c r="C70" i="81" s="1"/>
  <c r="D115" i="81"/>
  <c r="U75" i="83"/>
  <c r="E114" i="81"/>
  <c r="H86" i="81" s="1"/>
  <c r="BF102" i="82"/>
  <c r="C120" i="57"/>
  <c r="C134" i="57" s="1"/>
  <c r="C137" i="57" s="1"/>
  <c r="BF100" i="82"/>
  <c r="K31" i="80"/>
  <c r="N37" i="80"/>
  <c r="K43" i="80"/>
  <c r="V75" i="83"/>
  <c r="D117" i="81"/>
  <c r="G122" i="57"/>
  <c r="E134" i="57"/>
  <c r="L10" i="99"/>
  <c r="L44" i="99" s="1"/>
  <c r="D134" i="57"/>
  <c r="D137" i="57" s="1"/>
  <c r="M25" i="99"/>
  <c r="L12" i="99"/>
  <c r="L46" i="99" s="1"/>
  <c r="C113" i="81"/>
  <c r="D16" i="80" s="1"/>
  <c r="D10" i="80" s="1"/>
  <c r="D43" i="80" s="1"/>
  <c r="L42" i="80"/>
  <c r="N9" i="80"/>
  <c r="D113" i="57"/>
  <c r="D133" i="57" s="1"/>
  <c r="G70" i="36"/>
  <c r="C114" i="81"/>
  <c r="F114" i="81" s="1"/>
  <c r="D30" i="80"/>
  <c r="J36" i="80"/>
  <c r="O36" i="80" s="1"/>
  <c r="D86" i="81"/>
  <c r="E86" i="81" s="1"/>
  <c r="D90" i="36"/>
  <c r="D87" i="36"/>
  <c r="F100" i="82"/>
  <c r="BD100" i="82" s="1"/>
  <c r="F66" i="36" s="1"/>
  <c r="E112" i="81"/>
  <c r="H84" i="81" s="1"/>
  <c r="D34" i="80"/>
  <c r="D84" i="81"/>
  <c r="E84" i="81" s="1"/>
  <c r="F13" i="81"/>
  <c r="C73" i="81"/>
  <c r="B18" i="99"/>
  <c r="B10" i="80"/>
  <c r="D71" i="81"/>
  <c r="E71" i="81" s="1"/>
  <c r="G55" i="81" s="1"/>
  <c r="E27" i="81"/>
  <c r="F27" i="81" s="1"/>
  <c r="C75" i="81"/>
  <c r="F15" i="81"/>
  <c r="B20" i="99"/>
  <c r="F10" i="81"/>
  <c r="B15" i="99"/>
  <c r="B17" i="99"/>
  <c r="F12" i="81"/>
  <c r="C72" i="81"/>
  <c r="G100" i="82"/>
  <c r="BE97" i="82"/>
  <c r="G121" i="57" s="1"/>
  <c r="E113" i="57"/>
  <c r="E133" i="57" s="1"/>
  <c r="B16" i="99"/>
  <c r="F11" i="81"/>
  <c r="C71" i="81"/>
  <c r="C63" i="36"/>
  <c r="B7" i="92"/>
  <c r="B8" i="92" s="1"/>
  <c r="B11" i="80"/>
  <c r="G16" i="80"/>
  <c r="G10" i="80" s="1"/>
  <c r="G43" i="80" s="1"/>
  <c r="F55" i="81"/>
  <c r="F77" i="81"/>
  <c r="E37" i="99"/>
  <c r="E56" i="81"/>
  <c r="D28" i="81"/>
  <c r="D15" i="80"/>
  <c r="C67" i="36"/>
  <c r="D67" i="97" s="1"/>
  <c r="R79" i="83"/>
  <c r="R87" i="83" s="1"/>
  <c r="D54" i="81" s="1"/>
  <c r="O35" i="80"/>
  <c r="J29" i="80"/>
  <c r="O29" i="80" s="1"/>
  <c r="B42" i="80"/>
  <c r="C115" i="81"/>
  <c r="G36" i="99"/>
  <c r="E30" i="99"/>
  <c r="E44" i="99" s="1"/>
  <c r="N42" i="80" l="1"/>
  <c r="C113" i="57"/>
  <c r="C133" i="57" s="1"/>
  <c r="F101" i="81"/>
  <c r="C102" i="82"/>
  <c r="BA102" i="82" s="1"/>
  <c r="B45" i="80"/>
  <c r="E100" i="82"/>
  <c r="BC100" i="82" s="1"/>
  <c r="E66" i="36" s="1"/>
  <c r="E65" i="36" s="1"/>
  <c r="E64" i="36" s="1"/>
  <c r="E84" i="36" s="1"/>
  <c r="E87" i="36" s="1"/>
  <c r="U79" i="83"/>
  <c r="U87" i="83" s="1"/>
  <c r="F67" i="36"/>
  <c r="F65" i="36" s="1"/>
  <c r="F64" i="36" s="1"/>
  <c r="F84" i="36" s="1"/>
  <c r="D87" i="81"/>
  <c r="E87" i="81" s="1"/>
  <c r="D37" i="80"/>
  <c r="E115" i="81"/>
  <c r="H87" i="81" s="1"/>
  <c r="J30" i="80"/>
  <c r="O30" i="80" s="1"/>
  <c r="G67" i="36"/>
  <c r="V79" i="83"/>
  <c r="D39" i="80"/>
  <c r="E117" i="81"/>
  <c r="H89" i="81" s="1"/>
  <c r="D89" i="81"/>
  <c r="E89" i="81" s="1"/>
  <c r="N31" i="80"/>
  <c r="N45" i="80" s="1"/>
  <c r="K45" i="80"/>
  <c r="D17" i="80"/>
  <c r="D11" i="80" s="1"/>
  <c r="D44" i="80" s="1"/>
  <c r="F113" i="81"/>
  <c r="F102" i="82"/>
  <c r="BD102" i="82" s="1"/>
  <c r="F112" i="81"/>
  <c r="M36" i="99"/>
  <c r="G30" i="99"/>
  <c r="M30" i="99" s="1"/>
  <c r="G18" i="99"/>
  <c r="B12" i="99"/>
  <c r="B46" i="99" s="1"/>
  <c r="D18" i="80"/>
  <c r="F56" i="81"/>
  <c r="F78" i="81"/>
  <c r="G17" i="80"/>
  <c r="G11" i="80" s="1"/>
  <c r="G44" i="80" s="1"/>
  <c r="F71" i="81"/>
  <c r="C65" i="36"/>
  <c r="C64" i="36" s="1"/>
  <c r="C84" i="36" s="1"/>
  <c r="J16" i="80"/>
  <c r="O16" i="80" s="1"/>
  <c r="F113" i="57"/>
  <c r="F133" i="57" s="1"/>
  <c r="F134" i="57"/>
  <c r="D9" i="80"/>
  <c r="H68" i="96"/>
  <c r="B44" i="80"/>
  <c r="B14" i="99"/>
  <c r="B48" i="99" s="1"/>
  <c r="G20" i="99"/>
  <c r="D65" i="97"/>
  <c r="D64" i="97" s="1"/>
  <c r="D83" i="97" s="1"/>
  <c r="B43" i="80"/>
  <c r="J10" i="80"/>
  <c r="E35" i="99"/>
  <c r="D26" i="81"/>
  <c r="E54" i="81"/>
  <c r="E28" i="81"/>
  <c r="F28" i="81" s="1"/>
  <c r="D72" i="81"/>
  <c r="E72" i="81" s="1"/>
  <c r="G56" i="81" s="1"/>
  <c r="BE100" i="82"/>
  <c r="G66" i="36" s="1"/>
  <c r="G102" i="82"/>
  <c r="BE102" i="82" s="1"/>
  <c r="D28" i="80"/>
  <c r="J34" i="80"/>
  <c r="E31" i="99"/>
  <c r="E45" i="99" s="1"/>
  <c r="G37" i="99"/>
  <c r="F91" i="81"/>
  <c r="C141" i="81"/>
  <c r="C88" i="36"/>
  <c r="B10" i="99"/>
  <c r="B44" i="99" s="1"/>
  <c r="G16" i="99"/>
  <c r="C117" i="81"/>
  <c r="G120" i="57"/>
  <c r="G17" i="99"/>
  <c r="B11" i="99"/>
  <c r="B45" i="99" s="1"/>
  <c r="G15" i="99"/>
  <c r="B9" i="99"/>
  <c r="B43" i="99" s="1"/>
  <c r="G65" i="36" l="1"/>
  <c r="G64" i="36" s="1"/>
  <c r="G84" i="36" s="1"/>
  <c r="G90" i="36" s="1"/>
  <c r="E102" i="82"/>
  <c r="BC102" i="82" s="1"/>
  <c r="H84" i="36"/>
  <c r="I84" i="36" s="1"/>
  <c r="F115" i="81"/>
  <c r="E90" i="36"/>
  <c r="F90" i="36"/>
  <c r="F87" i="36"/>
  <c r="D31" i="80"/>
  <c r="J37" i="80"/>
  <c r="D57" i="81"/>
  <c r="D33" i="80"/>
  <c r="J39" i="80"/>
  <c r="J17" i="80"/>
  <c r="O17" i="80" s="1"/>
  <c r="D59" i="81"/>
  <c r="J11" i="80"/>
  <c r="O11" i="80" s="1"/>
  <c r="O44" i="80" s="1"/>
  <c r="C85" i="36"/>
  <c r="C87" i="36"/>
  <c r="C90" i="36"/>
  <c r="F76" i="81"/>
  <c r="G15" i="80"/>
  <c r="F54" i="81"/>
  <c r="G12" i="99"/>
  <c r="M18" i="99"/>
  <c r="G11" i="99"/>
  <c r="M17" i="99"/>
  <c r="E26" i="81"/>
  <c r="F26" i="81" s="1"/>
  <c r="D70" i="81"/>
  <c r="E70" i="81" s="1"/>
  <c r="D86" i="97"/>
  <c r="D84" i="97"/>
  <c r="F92" i="81"/>
  <c r="C142" i="81"/>
  <c r="O34" i="80"/>
  <c r="J28" i="80"/>
  <c r="O28" i="80" s="1"/>
  <c r="G35" i="99"/>
  <c r="E29" i="99"/>
  <c r="E43" i="99" s="1"/>
  <c r="M20" i="99"/>
  <c r="G14" i="99"/>
  <c r="F72" i="81"/>
  <c r="D42" i="80"/>
  <c r="G113" i="57"/>
  <c r="G133" i="57" s="1"/>
  <c r="G134" i="57"/>
  <c r="M15" i="99"/>
  <c r="G9" i="99"/>
  <c r="D20" i="80"/>
  <c r="F117" i="81"/>
  <c r="M16" i="99"/>
  <c r="G10" i="99"/>
  <c r="F141" i="81"/>
  <c r="G85" i="81" s="1"/>
  <c r="C85" i="81"/>
  <c r="F85" i="81" s="1"/>
  <c r="G31" i="99"/>
  <c r="M31" i="99" s="1"/>
  <c r="M37" i="99"/>
  <c r="J43" i="80"/>
  <c r="O10" i="80"/>
  <c r="O43" i="80" s="1"/>
  <c r="D12" i="80"/>
  <c r="B9" i="92" l="1"/>
  <c r="B10" i="92" s="1"/>
  <c r="D9" i="92"/>
  <c r="D10" i="92" s="1"/>
  <c r="D14" i="92" s="1"/>
  <c r="G85" i="36"/>
  <c r="G87" i="36"/>
  <c r="H169" i="96"/>
  <c r="J31" i="80"/>
  <c r="O31" i="80" s="1"/>
  <c r="O37" i="80"/>
  <c r="D29" i="81"/>
  <c r="E38" i="99"/>
  <c r="E57" i="81"/>
  <c r="J33" i="80"/>
  <c r="O33" i="80" s="1"/>
  <c r="O39" i="80"/>
  <c r="D31" i="81"/>
  <c r="E40" i="99"/>
  <c r="E59" i="81"/>
  <c r="J44" i="80"/>
  <c r="G29" i="99"/>
  <c r="M29" i="99" s="1"/>
  <c r="M35" i="99"/>
  <c r="G9" i="80"/>
  <c r="J15" i="80"/>
  <c r="O15" i="80" s="1"/>
  <c r="M14" i="99"/>
  <c r="F90" i="81"/>
  <c r="C140" i="81"/>
  <c r="G54" i="81"/>
  <c r="F70" i="81"/>
  <c r="M11" i="99"/>
  <c r="G45" i="99"/>
  <c r="M45" i="99" s="1"/>
  <c r="M12" i="99"/>
  <c r="G44" i="99"/>
  <c r="M44" i="99" s="1"/>
  <c r="M10" i="99"/>
  <c r="D14" i="80"/>
  <c r="D45" i="80"/>
  <c r="M9" i="99"/>
  <c r="F142" i="81"/>
  <c r="G86" i="81" s="1"/>
  <c r="C86" i="81"/>
  <c r="F86" i="81" s="1"/>
  <c r="E32" i="99" l="1"/>
  <c r="E46" i="99" s="1"/>
  <c r="G38" i="99"/>
  <c r="D73" i="81"/>
  <c r="E73" i="81" s="1"/>
  <c r="E29" i="81"/>
  <c r="F29" i="81" s="1"/>
  <c r="F57" i="81"/>
  <c r="F79" i="81"/>
  <c r="G18" i="80"/>
  <c r="G40" i="99"/>
  <c r="E34" i="99"/>
  <c r="E48" i="99" s="1"/>
  <c r="D75" i="81"/>
  <c r="E75" i="81" s="1"/>
  <c r="E31" i="81"/>
  <c r="F31" i="81" s="1"/>
  <c r="F59" i="81"/>
  <c r="G20" i="80"/>
  <c r="F81" i="81"/>
  <c r="G43" i="99"/>
  <c r="M43" i="99" s="1"/>
  <c r="G42" i="80"/>
  <c r="J9" i="80"/>
  <c r="D47" i="80"/>
  <c r="F140" i="81"/>
  <c r="G84" i="81" s="1"/>
  <c r="C84" i="81"/>
  <c r="F84" i="81" s="1"/>
  <c r="G57" i="81" l="1"/>
  <c r="F73" i="81"/>
  <c r="F82" i="81" s="1"/>
  <c r="G12" i="80"/>
  <c r="J18" i="80"/>
  <c r="O18" i="80" s="1"/>
  <c r="F93" i="81"/>
  <c r="C143" i="81"/>
  <c r="G32" i="99"/>
  <c r="M38" i="99"/>
  <c r="F95" i="81"/>
  <c r="C145" i="81"/>
  <c r="G59" i="81"/>
  <c r="F75" i="81"/>
  <c r="G14" i="80"/>
  <c r="J20" i="80"/>
  <c r="O20" i="80" s="1"/>
  <c r="G34" i="99"/>
  <c r="M40" i="99"/>
  <c r="J42" i="80"/>
  <c r="O9" i="80"/>
  <c r="O42" i="80" s="1"/>
  <c r="M32" i="99" l="1"/>
  <c r="G46" i="99"/>
  <c r="M46" i="99" s="1"/>
  <c r="G45" i="80"/>
  <c r="J12" i="80"/>
  <c r="C87" i="81"/>
  <c r="F87" i="81" s="1"/>
  <c r="F96" i="81" s="1"/>
  <c r="F143" i="81"/>
  <c r="G87" i="81" s="1"/>
  <c r="M34" i="99"/>
  <c r="G48" i="99"/>
  <c r="M48" i="99" s="1"/>
  <c r="F145" i="81"/>
  <c r="G89" i="81" s="1"/>
  <c r="C89" i="81"/>
  <c r="F89" i="81" s="1"/>
  <c r="G47" i="80"/>
  <c r="J14" i="80"/>
  <c r="O12" i="80" l="1"/>
  <c r="O45" i="80" s="1"/>
  <c r="O49" i="80" s="1"/>
  <c r="J45" i="80"/>
  <c r="J47" i="80"/>
  <c r="O14" i="80"/>
  <c r="O47" i="80" s="1"/>
</calcChain>
</file>

<file path=xl/sharedStrings.xml><?xml version="1.0" encoding="utf-8"?>
<sst xmlns="http://schemas.openxmlformats.org/spreadsheetml/2006/main" count="2153" uniqueCount="1412">
  <si>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</si>
  <si>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</si>
  <si>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</si>
  <si>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</si>
  <si>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</si>
  <si>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</si>
  <si>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</si>
  <si>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</si>
  <si>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</si>
  <si>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</si>
  <si>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</si>
  <si>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</si>
  <si>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</si>
  <si>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</si>
  <si>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</si>
  <si>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>I. Működési célú pénzeszközátadások</t>
  </si>
  <si>
    <t>II. Működési célú támogatások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</si>
  <si>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</si>
  <si>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</si>
  <si>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</si>
  <si>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</si>
  <si>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</si>
  <si>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</si>
  <si>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</si>
  <si>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</si>
  <si>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</si>
  <si>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</si>
  <si>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</si>
  <si>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</si>
  <si>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</si>
  <si>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</si>
  <si>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</si>
  <si>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</si>
  <si>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</si>
  <si>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</si>
  <si>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</si>
  <si>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</si>
  <si>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</si>
  <si>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</si>
  <si>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</si>
  <si>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</si>
  <si>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</si>
  <si>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</si>
  <si>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</si>
  <si>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</si>
  <si>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</si>
  <si>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</si>
  <si>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</si>
  <si>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</si>
  <si>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</si>
  <si>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</si>
  <si>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</si>
  <si>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</si>
  <si>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</si>
  <si>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</si>
  <si>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</si>
  <si>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</si>
  <si>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</si>
  <si>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Polgármester illetménye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</si>
  <si>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</si>
  <si>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</si>
  <si>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</si>
  <si>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</si>
  <si>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</si>
  <si>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</si>
  <si>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r>
      <t xml:space="preserve">                                              </t>
    </r>
    <r>
      <rPr>
        <b/>
        <i/>
        <u/>
        <sz val="12"/>
        <rFont val="Arial CE"/>
        <family val="2"/>
        <charset val="238"/>
      </rPr>
      <t xml:space="preserve">Balatonföldvár Város Önkormányzatának </t>
    </r>
  </si>
  <si>
    <r>
      <t xml:space="preserve">                                                      </t>
    </r>
    <r>
      <rPr>
        <b/>
        <i/>
        <u/>
        <sz val="12"/>
        <rFont val="Arial CE"/>
        <family val="2"/>
        <charset val="238"/>
      </rPr>
      <t>több éves kihatással járó feladatai</t>
    </r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</si>
  <si>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</si>
  <si>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</si>
  <si>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</si>
  <si>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</si>
  <si>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</si>
  <si>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</si>
  <si>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</si>
  <si>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</si>
  <si>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</si>
  <si>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</si>
  <si>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</si>
  <si>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</si>
  <si>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</si>
  <si>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</si>
  <si>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</si>
  <si>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</si>
  <si>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</si>
  <si>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</si>
  <si>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</si>
  <si>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</si>
  <si>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</si>
  <si>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</si>
  <si>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</si>
  <si>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</si>
  <si>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</si>
  <si>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</si>
  <si>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</si>
  <si>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</si>
  <si>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Fogorvosi alapellátás</t>
  </si>
  <si>
    <t>Balatonföldvár Város Önkormányzata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</si>
  <si>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</si>
  <si>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</si>
  <si>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</si>
  <si>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</si>
  <si>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Intézmények 
összesen</t>
  </si>
  <si>
    <t xml:space="preserve">       Államigazgatási feladatok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</si>
  <si>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</si>
  <si>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</si>
  <si>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</si>
  <si>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</si>
  <si>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</si>
  <si>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</si>
  <si>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</si>
  <si>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</si>
  <si>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</si>
  <si>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</si>
  <si>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</si>
  <si>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</si>
  <si>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</si>
  <si>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</si>
  <si>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</si>
  <si>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072112 Háziorvosi ügyeleti ellátás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</si>
  <si>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</si>
  <si>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</si>
  <si>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</si>
  <si>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</si>
  <si>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</si>
  <si>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</si>
  <si>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</si>
  <si>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</si>
  <si>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</si>
  <si>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</si>
  <si>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</si>
  <si>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</si>
  <si>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</si>
  <si>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</si>
  <si>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</si>
  <si>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</si>
  <si>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</si>
  <si>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</si>
  <si>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</si>
  <si>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</si>
  <si>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</si>
  <si>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</si>
  <si>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</si>
  <si>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</si>
  <si>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</si>
  <si>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</si>
  <si>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</si>
  <si>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</si>
  <si>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</si>
  <si>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</si>
  <si>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</si>
  <si>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</si>
  <si>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</si>
  <si>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</si>
  <si>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</si>
  <si>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</si>
  <si>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</si>
  <si>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</si>
  <si>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</si>
  <si>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</si>
  <si>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</si>
  <si>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</si>
  <si>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</si>
  <si>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</si>
  <si>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</si>
  <si>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</si>
  <si>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</si>
  <si>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</si>
  <si>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</si>
  <si>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</si>
  <si>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</si>
  <si>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</si>
  <si>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</si>
  <si>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</si>
  <si>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</si>
  <si>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</si>
  <si>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</si>
  <si>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</si>
  <si>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</si>
  <si>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</si>
  <si>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</si>
  <si>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</si>
  <si>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</si>
  <si>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</si>
  <si>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</si>
  <si>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</si>
  <si>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</si>
  <si>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</si>
  <si>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</si>
  <si>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</si>
  <si>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</si>
  <si>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</si>
  <si>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</si>
  <si>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</si>
  <si>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</si>
  <si>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</si>
  <si>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</si>
  <si>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</si>
  <si>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</si>
  <si>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</si>
  <si>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</si>
  <si>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</si>
  <si>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</si>
  <si>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</si>
  <si>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</si>
  <si>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</si>
  <si>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</si>
  <si>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</si>
  <si>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</si>
  <si>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 xml:space="preserve">      3. Működési célú tartalék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</si>
  <si>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</si>
  <si>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</si>
  <si>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</si>
  <si>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</si>
  <si>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</si>
  <si>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</si>
  <si>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</si>
  <si>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</si>
  <si>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</si>
  <si>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</si>
  <si>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</si>
  <si>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</si>
  <si>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</si>
  <si>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</si>
  <si>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</si>
  <si>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</si>
  <si>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</si>
  <si>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</si>
  <si>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</si>
  <si>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</si>
  <si>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</si>
  <si>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</si>
  <si>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</si>
  <si>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</si>
  <si>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</si>
  <si>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</si>
  <si>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</si>
  <si>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</si>
  <si>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</si>
  <si>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</si>
  <si>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</si>
  <si>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</si>
  <si>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</si>
  <si>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</si>
  <si>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</si>
  <si>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</si>
  <si>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</si>
  <si>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</si>
  <si>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</si>
  <si>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</si>
  <si>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 xml:space="preserve">        2.1. Működési célú hitel</t>
  </si>
  <si>
    <t xml:space="preserve">        2.2. Felhalmozási célú hitel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</si>
  <si>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</si>
  <si>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</si>
  <si>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</si>
  <si>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</si>
  <si>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</si>
  <si>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</si>
  <si>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</si>
  <si>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</si>
  <si>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</si>
  <si>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</si>
  <si>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</si>
  <si>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</si>
  <si>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</si>
  <si>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</si>
  <si>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</si>
  <si>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</si>
  <si>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</si>
  <si>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</si>
  <si>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</si>
  <si>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</si>
  <si>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</si>
  <si>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</si>
  <si>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</si>
  <si>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</si>
  <si>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</si>
  <si>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</si>
  <si>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</si>
  <si>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</si>
  <si>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</si>
  <si>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</si>
  <si>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</si>
  <si>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</si>
  <si>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</si>
  <si>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</si>
  <si>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</si>
  <si>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</si>
  <si>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</si>
  <si>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</si>
  <si>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</si>
  <si>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</si>
  <si>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</si>
  <si>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</si>
  <si>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</si>
  <si>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</si>
  <si>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</si>
  <si>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</si>
  <si>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</si>
  <si>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</si>
  <si>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</si>
  <si>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</si>
  <si>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</si>
  <si>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</si>
  <si>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</si>
  <si>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</si>
  <si>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</si>
  <si>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</si>
  <si>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</si>
  <si>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</si>
  <si>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</si>
  <si>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</si>
  <si>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Postköltség</t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</si>
  <si>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</si>
  <si>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</si>
  <si>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</si>
  <si>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</si>
  <si>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</si>
  <si>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 xml:space="preserve">        Szemétszállítás</t>
  </si>
  <si>
    <t xml:space="preserve">        Különféle adók, díjak, adójellegű befizetések, hozzájárulások</t>
  </si>
  <si>
    <t>013350 Önk.-i vagyonnal való gazdálkodással kapcs. fel.</t>
  </si>
  <si>
    <t>(önkormányzat)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</si>
  <si>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</si>
  <si>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</si>
  <si>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</si>
  <si>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</si>
  <si>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</si>
  <si>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</si>
  <si>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 xml:space="preserve">        Továbbképzés, oktatás</t>
  </si>
  <si>
    <t>011220 Adó-, vám- és jövedéki igazgatás</t>
  </si>
  <si>
    <t xml:space="preserve">        Fénymásoló üzemeltetés</t>
  </si>
  <si>
    <t xml:space="preserve">        Jogi szolgáltatás</t>
  </si>
  <si>
    <t xml:space="preserve">          Oracle licence</t>
  </si>
  <si>
    <t xml:space="preserve">         Telefonközpont szolgáltatás</t>
  </si>
  <si>
    <t xml:space="preserve">         Telefonközpont eseti díj</t>
  </si>
  <si>
    <t>082044 Könyvtári szolgáltatások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</si>
  <si>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</si>
  <si>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</si>
  <si>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</si>
  <si>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</si>
  <si>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Szirén program követése</t>
  </si>
  <si>
    <t xml:space="preserve">        Belső ellenőr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</si>
  <si>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</si>
  <si>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</si>
  <si>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</si>
  <si>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r>
      <t xml:space="preserve">     Bérleti és lízingdíjak </t>
    </r>
    <r>
      <rPr>
        <sz val="8"/>
        <rFont val="Times New Roman"/>
        <family val="1"/>
        <charset val="238"/>
      </rPr>
      <t>(Safe bérlet)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</si>
  <si>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</si>
  <si>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</si>
  <si>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</si>
  <si>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>egyenleg</t>
  </si>
  <si>
    <t>Össz.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</si>
  <si>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</si>
  <si>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</si>
  <si>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</si>
  <si>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Városi ünnepségek reprezentációja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</si>
  <si>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</si>
  <si>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</si>
  <si>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</si>
  <si>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</si>
  <si>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</si>
  <si>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</si>
  <si>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</si>
  <si>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</si>
  <si>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</si>
  <si>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         3.1. Felhalmozási célú pénzeszköz átadás</t>
  </si>
  <si>
    <r>
      <t xml:space="preserve">     </t>
    </r>
    <r>
      <rPr>
        <i/>
        <sz val="10"/>
        <rFont val="Times New Roman"/>
        <family val="1"/>
        <charset val="238"/>
      </rPr>
      <t xml:space="preserve">    3.2. Felhalmozási célú tartalék (céltartalék)</t>
    </r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</si>
  <si>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</si>
  <si>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</si>
  <si>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</si>
  <si>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</si>
  <si>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</si>
  <si>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</si>
  <si>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</si>
  <si>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</si>
  <si>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</si>
  <si>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</si>
  <si>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</si>
  <si>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</si>
  <si>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</si>
  <si>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</si>
  <si>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</si>
  <si>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</si>
  <si>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</si>
  <si>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2018. évi eredeti előirányzat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</si>
  <si>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</si>
  <si>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</si>
  <si>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</si>
  <si>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</si>
  <si>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</si>
  <si>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</si>
  <si>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</si>
  <si>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</si>
  <si>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</si>
  <si>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</si>
  <si>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</si>
  <si>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</si>
  <si>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</si>
  <si>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</si>
  <si>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</si>
  <si>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</si>
  <si>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</si>
  <si>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</si>
  <si>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</si>
  <si>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</si>
  <si>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</si>
  <si>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</si>
  <si>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</si>
  <si>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</si>
  <si>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</si>
  <si>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</si>
  <si>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</si>
  <si>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</si>
  <si>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</si>
  <si>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</si>
  <si>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</si>
  <si>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</si>
  <si>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</si>
  <si>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   Egyéb pénzügyi műveletek kiadásai (bankköltség)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</si>
  <si>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</si>
  <si>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</si>
  <si>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</si>
  <si>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</si>
  <si>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</si>
  <si>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</si>
  <si>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</si>
  <si>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</si>
  <si>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</si>
  <si>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IV. Felhalmozási célú tartalék 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</si>
  <si>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</si>
  <si>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</si>
  <si>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</si>
  <si>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</si>
  <si>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</si>
  <si>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</si>
  <si>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</si>
  <si>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</si>
  <si>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</si>
  <si>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</si>
  <si>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</si>
  <si>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
összesen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</si>
  <si>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</si>
  <si>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</si>
  <si>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</si>
  <si>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</si>
  <si>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</si>
  <si>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</si>
  <si>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</si>
  <si>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</si>
  <si>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</si>
  <si>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</si>
  <si>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</si>
  <si>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</si>
  <si>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</si>
  <si>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</si>
  <si>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Ellátottak 
pénzbeli juttatásai</t>
  </si>
  <si>
    <t xml:space="preserve">        Tisztítószer </t>
  </si>
  <si>
    <t xml:space="preserve">        Nyomtatvány, irodaszer </t>
  </si>
  <si>
    <t xml:space="preserve">III. A helyi önkormányzatok előző évi elszámolásából származó kiadások </t>
  </si>
  <si>
    <t>Egyéb működési célú kiadások mindösszesen (I+II+III)</t>
  </si>
  <si>
    <t>Munkaadót terhelő jár., szoc. hozzájárulási adó</t>
  </si>
  <si>
    <t xml:space="preserve">              DRV Zrt. lakossági víz és csatornaszolgáltatás támogatás továbbutalása</t>
  </si>
  <si>
    <t xml:space="preserve">     11. Egyéb működési bevételek 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</si>
  <si>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</si>
  <si>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</si>
  <si>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</si>
  <si>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</si>
  <si>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Házi segítségnyújtás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</si>
  <si>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</si>
  <si>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</si>
  <si>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</si>
  <si>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</si>
  <si>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</si>
  <si>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</si>
  <si>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 (KÖH)</t>
  </si>
  <si>
    <t xml:space="preserve">      Intézmény (KÖH)</t>
  </si>
  <si>
    <t xml:space="preserve">     Intézmény (KÖH)</t>
  </si>
  <si>
    <t xml:space="preserve">      3. Egyéb tárgyi eszközök értékesítése 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</si>
  <si>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</si>
  <si>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</si>
  <si>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Reprezentációs kiadás (egyéb)</t>
  </si>
  <si>
    <t xml:space="preserve">        Biztosítás (kötelező, casco: NXG-772 Dacia Duster)</t>
  </si>
  <si>
    <t xml:space="preserve">        Autópálya matrica (NXG-772 Dacia Duster)</t>
  </si>
  <si>
    <t xml:space="preserve">     IFA ellenőrök megbízási díja</t>
  </si>
  <si>
    <t xml:space="preserve">     Cafeteria</t>
  </si>
  <si>
    <t xml:space="preserve">        Egyéb</t>
  </si>
  <si>
    <t xml:space="preserve">           Telefonközpont</t>
  </si>
  <si>
    <t xml:space="preserve">           Fénymásolók</t>
  </si>
  <si>
    <t xml:space="preserve">           Egyéb eszközök javítása, karbantartása</t>
  </si>
  <si>
    <t xml:space="preserve">              Illemhely építése (posta melletti terület)</t>
  </si>
  <si>
    <t xml:space="preserve">      2. Önkormányzati intézmények működési kiadásai (hivatal)</t>
  </si>
  <si>
    <r>
      <t xml:space="preserve">              TV stúdió eszközbeszerzés </t>
    </r>
    <r>
      <rPr>
        <sz val="8"/>
        <rFont val="Times New Roman"/>
        <family val="1"/>
        <charset val="238"/>
      </rPr>
      <t>(2 db digitális kamera, keverőpult, 4 db stúdiómikrofon)</t>
    </r>
  </si>
  <si>
    <t xml:space="preserve">        Kézműves, gyermekfoglalkozások, könyvbemutatók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</si>
  <si>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</si>
  <si>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</si>
  <si>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</si>
  <si>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</si>
  <si>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</si>
  <si>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</si>
  <si>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Állami támogatás továbbadása</t>
  </si>
  <si>
    <t xml:space="preserve">                                 Működési támogatás</t>
  </si>
  <si>
    <t>Működési és felhalmozási célú tartalék</t>
  </si>
  <si>
    <t>13. melléklet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</si>
  <si>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</si>
  <si>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</si>
  <si>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</si>
  <si>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</si>
  <si>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</si>
  <si>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</si>
  <si>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</si>
  <si>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>107051 Szociális étkeztetés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</si>
  <si>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</si>
  <si>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</si>
  <si>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</si>
  <si>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</si>
  <si>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</si>
  <si>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</si>
  <si>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</si>
  <si>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</si>
  <si>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</si>
  <si>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</si>
  <si>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 xml:space="preserve">              Laboratóriumi szolg.működési ktg.támogatás (82/2017.(IV.11.))</t>
  </si>
  <si>
    <t xml:space="preserve">               DBRHÖT működési hozzájárulás</t>
  </si>
  <si>
    <t xml:space="preserve">               Munka- és tűzvédelmi Társulás tagdíj</t>
  </si>
  <si>
    <t>Beszámoló előtti ei.mód.</t>
  </si>
  <si>
    <t xml:space="preserve">        1.2. ÁHB megelőlegezések bevétele</t>
  </si>
  <si>
    <t>14. melléklet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</si>
  <si>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</si>
  <si>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</si>
  <si>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</si>
  <si>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</si>
  <si>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</si>
  <si>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</si>
  <si>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</si>
  <si>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</si>
  <si>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</si>
  <si>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</si>
  <si>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</si>
  <si>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</si>
  <si>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</si>
  <si>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</si>
  <si>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</si>
  <si>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</si>
  <si>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</si>
  <si>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</si>
  <si>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</si>
  <si>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</si>
  <si>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15. melléklet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</si>
  <si>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</si>
  <si>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</si>
  <si>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</si>
  <si>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</si>
  <si>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</si>
  <si>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</si>
  <si>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</si>
  <si>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</si>
  <si>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</si>
  <si>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</si>
  <si>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</si>
  <si>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</si>
  <si>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</si>
  <si>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</si>
  <si>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</si>
  <si>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</si>
  <si>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</si>
  <si>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</si>
  <si>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</si>
  <si>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</si>
  <si>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</si>
  <si>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</si>
  <si>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</si>
  <si>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</si>
  <si>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</si>
  <si>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</si>
  <si>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</si>
  <si>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</si>
  <si>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</si>
  <si>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</si>
  <si>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</si>
  <si>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</si>
  <si>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</si>
  <si>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</si>
  <si>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</si>
  <si>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</si>
  <si>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</si>
  <si>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</si>
  <si>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 Költségvetési évben esedékes követelések (=D/I/1+…+D/I/8)</t>
  </si>
  <si>
    <t>D/II/5 Költségvetési évet követően esedékes követelések felhalmozási bevételre (=D/II/5a+…+D/II/5e)</t>
  </si>
  <si>
    <t>D/II/5b - ebből: költségvetési évet követően esedékes követelések ingatlanok értékesítésére</t>
  </si>
  <si>
    <t>D/II Költségvetési évet követően esedékes követelések (=D/II/1+…+D/II/8)</t>
  </si>
  <si>
    <t>D/III/1 Adott előlegek (=D/III/1a+…+D/III/1f)</t>
  </si>
  <si>
    <t xml:space="preserve">D/III/1e - ebből: foglalkoztatottaknak adott előlegek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</si>
  <si>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</si>
  <si>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</si>
  <si>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</si>
  <si>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</si>
  <si>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</si>
  <si>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</si>
  <si>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</si>
  <si>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</si>
  <si>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</si>
  <si>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</si>
  <si>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</si>
  <si>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</si>
  <si>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</si>
  <si>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</si>
  <si>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G/III/3 Pénzeszközön kívüli egyéb eszközök induláskori értéke és változásai</t>
  </si>
  <si>
    <t>G/IV Felhalmozott eredmény</t>
  </si>
  <si>
    <t>G/VI Mérleg szerinti eredmény</t>
  </si>
  <si>
    <t>G/ SAJÁT TŐKE  (= G/I+…+G/VI)</t>
  </si>
  <si>
    <t>H/I/9 Költségvetési évben esedékes kötelezettségek finanszírozási kiadásokra (&gt;=H/I/9a+…+H/I/9l)</t>
  </si>
  <si>
    <t>H/I Költségvetési évben esedékes kötelezettségek (=H/I/1+…+H/I/9)</t>
  </si>
  <si>
    <t>H/II/9 Költségvetési évet követően esedékes kötelezettségek finanszírozási kiadásokra (&gt;=H/II/9a+…+H/II/9i)</t>
  </si>
  <si>
    <t>H/II Költségvetési évet követően esedékes kötelezettségek (=H/II/1+…+H/II/9)</t>
  </si>
  <si>
    <t>H/III/1c - ebből: egyéb túlfizetések, téves és visszajáró befizetések, egyéb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</si>
  <si>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</si>
  <si>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</si>
  <si>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</si>
  <si>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</si>
  <si>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</si>
  <si>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</si>
  <si>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16.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</si>
  <si>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</si>
  <si>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</si>
  <si>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</si>
  <si>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</si>
  <si>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</si>
  <si>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</si>
  <si>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</si>
  <si>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</si>
  <si>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</si>
  <si>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</si>
  <si>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</si>
  <si>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</si>
  <si>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</si>
  <si>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</si>
  <si>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</si>
  <si>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</si>
  <si>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</si>
  <si>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</si>
  <si>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</si>
  <si>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</si>
  <si>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</si>
  <si>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</si>
  <si>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</si>
  <si>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</si>
  <si>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</si>
  <si>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</si>
  <si>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</si>
  <si>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</si>
  <si>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</si>
  <si>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17. melléklet</t>
  </si>
  <si>
    <r>
      <t xml:space="preserve"> </t>
    </r>
    <r>
      <rPr>
        <b/>
        <sz val="10"/>
        <rFont val="Times New Roman"/>
        <family val="1"/>
        <charset val="238"/>
      </rPr>
      <t xml:space="preserve"> 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</si>
  <si>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</si>
  <si>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</si>
  <si>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</si>
  <si>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</si>
  <si>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</si>
  <si>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</si>
  <si>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</si>
  <si>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</si>
  <si>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</si>
  <si>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</si>
  <si>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</si>
  <si>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</si>
  <si>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</si>
  <si>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</si>
  <si>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</si>
  <si>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</si>
  <si>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</si>
  <si>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</si>
  <si>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</si>
  <si>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</si>
  <si>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</si>
  <si>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</si>
  <si>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</si>
  <si>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</si>
  <si>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</si>
  <si>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</si>
  <si>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</si>
  <si>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</si>
  <si>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</si>
  <si>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</si>
  <si>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</si>
  <si>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</si>
  <si>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</si>
  <si>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</si>
  <si>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</si>
  <si>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</si>
  <si>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</si>
  <si>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</si>
  <si>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</si>
  <si>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</si>
  <si>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</si>
  <si>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</si>
  <si>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</si>
  <si>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</si>
  <si>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</si>
  <si>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</si>
  <si>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</si>
  <si>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</si>
  <si>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</si>
  <si>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</si>
  <si>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</si>
  <si>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</si>
  <si>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</si>
  <si>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</si>
  <si>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</si>
  <si>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</si>
  <si>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</si>
  <si>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</si>
  <si>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</si>
  <si>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</si>
  <si>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</si>
  <si>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</si>
  <si>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</si>
  <si>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</si>
  <si>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</si>
  <si>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</si>
  <si>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</si>
  <si>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</si>
  <si>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</si>
  <si>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</si>
  <si>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</si>
  <si>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</si>
  <si>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</si>
  <si>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</si>
  <si>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</si>
  <si>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</si>
  <si>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</si>
  <si>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</si>
  <si>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</si>
  <si>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1. Önkormányzat tulajdonában álló gazdálkodó szervezetek 
működéséből származó kötelezettségek</t>
  </si>
  <si>
    <t xml:space="preserve">   Balatonföldvári Kulturális Szolgáltató és Fenntartó Közhasznú Nonprofit Kft.</t>
  </si>
  <si>
    <t>2. Önkormányzat tulajdonában álló gazdálkodó szervezetekben való részesedése</t>
  </si>
  <si>
    <t>2017. évi maradványkimutatása</t>
  </si>
  <si>
    <t>2017. évi konszolidált mérlege</t>
  </si>
  <si>
    <t>2017. évi konszolidált eredménykimutatása</t>
  </si>
  <si>
    <t>2017. évi vagyonkimutatása</t>
  </si>
  <si>
    <t>2017. év</t>
  </si>
  <si>
    <t>Balatonföldvár Város Önkormányzat 
2017. évi bevétel-kiadási előirányzat-felhasználási ütemterv teljesítése,
pénzeszközök változásának bemutatása</t>
  </si>
  <si>
    <t>Záró pénzkészlet 2017.12.31.</t>
  </si>
  <si>
    <t>Nyitó pénzkészlet 2017.01.01.</t>
  </si>
  <si>
    <t>Balatonföldvár Város Önkormányzat 
 tulajdonában álló gazdálkodó szervezetek működéséből származó 2017. évi kötelezettségek, részesedések alakulása</t>
  </si>
  <si>
    <t>3. Önkormányzat más gazdálkodó szervezetekben való részesedése</t>
  </si>
  <si>
    <t xml:space="preserve">    Önkormányzati részesedés %-a</t>
  </si>
  <si>
    <t>ezerFt-ban</t>
  </si>
  <si>
    <t>C/III-IV Forintszámlák és Devizaszámlák (=C6III/1+C/III/2+C/IV/1+C/IV/2)</t>
  </si>
  <si>
    <t>D/I/4a - ebből: költségvetési évben esedékes követelések készletértékesítés ellenértékére, szolgáltatások ellenértékére, közvetített szolgáltatások ellenértékére</t>
  </si>
  <si>
    <t>D/I/6 Költségvetési évben esedékes követelések működési célú átvett pénzeszközre (&gt;=D/I/6a+D/I/6b+D/I/6c)</t>
  </si>
  <si>
    <t xml:space="preserve">D/I/7c - ebből: költségvetési évben esedékes követelések felhalmozási célú visszatérítendő támogatások, kölcsönök visszatérülésére </t>
  </si>
  <si>
    <t>E) EGYÉB SAJÁTOS ELSZÁMOLÁSOK (=E/I+…+E/II)</t>
  </si>
  <si>
    <t>G/I-III  Nemzeti vagyon és egyéb eszközök induláskori értéke és változásai</t>
  </si>
  <si>
    <t>H/I/3 Költségvetési évben esedékes kötelezettségek dologi kiadásokra</t>
  </si>
  <si>
    <t>H/I/4 Költségvetési évben esedékes kötelezettségek ellátottak pénzbeli juttatásaora</t>
  </si>
  <si>
    <t>199</t>
  </si>
  <si>
    <t>B/II Értékpapírok (=B/II/1+B/II/2)</t>
  </si>
  <si>
    <t>DRV Zrt.</t>
  </si>
  <si>
    <t>Teljesítés 2018.12.31.</t>
  </si>
  <si>
    <t xml:space="preserve">    Egyéb személyi juttatás (bérkomp., betegszabi, táppénz)</t>
  </si>
  <si>
    <t xml:space="preserve">        Közbeszerzési szakértői díj</t>
  </si>
  <si>
    <t xml:space="preserve">        Fapótlások</t>
  </si>
  <si>
    <t>2021. évi eredeti előirányzat</t>
  </si>
  <si>
    <t xml:space="preserve">   Felhalmozási célú pénzeszközátadás</t>
  </si>
  <si>
    <t>Projekt összköltség
(Bföldvárra jutó)
további a konzorciumi partnereknél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</si>
  <si>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</si>
  <si>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</si>
  <si>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</si>
  <si>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</si>
  <si>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</si>
  <si>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</si>
  <si>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</si>
  <si>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</si>
  <si>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</si>
  <si>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</si>
  <si>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</si>
  <si>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</si>
  <si>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</si>
  <si>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</si>
  <si>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</si>
  <si>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</si>
  <si>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</si>
  <si>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</si>
  <si>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</si>
  <si>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</si>
  <si>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</si>
  <si>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</si>
  <si>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</si>
  <si>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</si>
  <si>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</si>
  <si>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</si>
  <si>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</si>
  <si>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</si>
  <si>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</si>
  <si>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</si>
  <si>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</si>
  <si>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</si>
  <si>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</si>
  <si>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>046020 Vezetékes műsorelosztás, kábel TV</t>
  </si>
  <si>
    <t xml:space="preserve">        Munkaruha, egyenruha</t>
  </si>
  <si>
    <t xml:space="preserve">        Vagyonkataszter felmérés, felülvizsgálat</t>
  </si>
  <si>
    <t xml:space="preserve">Beruházások </t>
  </si>
  <si>
    <t xml:space="preserve">                     Közösségi ház + Kulipintyó</t>
  </si>
  <si>
    <t xml:space="preserve">                                Állami támogatás továbbadása (kulturális feladatok)</t>
  </si>
  <si>
    <t xml:space="preserve">          "Zöld város program megvalósítása" (TOP-2.1.2-15-2016-00002)</t>
  </si>
  <si>
    <t xml:space="preserve">          "Hivatal épületének energetikai korszerűsítése" (TOP-3.2.1-15-SO-2016-00012)</t>
  </si>
  <si>
    <t xml:space="preserve">              Gépbeszerzés pályázat</t>
  </si>
  <si>
    <t xml:space="preserve">              Kelta túra táblák készítése (8 db)</t>
  </si>
  <si>
    <t xml:space="preserve">              Zsolnay pirogránit kerámia stáció felirat (14 db)</t>
  </si>
  <si>
    <t xml:space="preserve">      1.3.  Meglévő részesedések növeléséhez kapcsolódó kiadások (BAHART)</t>
  </si>
  <si>
    <t xml:space="preserve">      1. Felhalmozási célú pénzeszközátadás Nonprofit Kft. részére</t>
  </si>
  <si>
    <t xml:space="preserve">          1.2. Kommunális adó                                      </t>
  </si>
  <si>
    <t xml:space="preserve">          1.3. Telekadó                                                   </t>
  </si>
  <si>
    <t>előleg</t>
  </si>
  <si>
    <t>kulipintyó</t>
  </si>
  <si>
    <t>Városháza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</si>
  <si>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</si>
  <si>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</si>
  <si>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</si>
  <si>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</si>
  <si>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      Működési célú pénzmaradvány</t>
  </si>
  <si>
    <t xml:space="preserve">          Felhalmozási célú pénzmaradvány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</si>
  <si>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</si>
  <si>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</si>
  <si>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</si>
  <si>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</si>
  <si>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</si>
  <si>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</si>
  <si>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</si>
  <si>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</si>
  <si>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</si>
  <si>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</si>
  <si>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</si>
  <si>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 xml:space="preserve">     Működési ÁFA</t>
  </si>
  <si>
    <t>K355</t>
  </si>
  <si>
    <t>K506</t>
  </si>
  <si>
    <t>K512</t>
  </si>
  <si>
    <t>K513</t>
  </si>
  <si>
    <t xml:space="preserve">    Céltartalék</t>
  </si>
  <si>
    <t xml:space="preserve">     Felhalmozási célú tartalék </t>
  </si>
  <si>
    <t xml:space="preserve">     Felhalmozási célú céltartalék </t>
  </si>
  <si>
    <t>Költségvetési kiadások mindösszesen</t>
  </si>
  <si>
    <t>K71</t>
  </si>
  <si>
    <t xml:space="preserve">              Útkarbantartáshoz szükséges eszközpark fejlesztése VP6-7.2.1-7.4.1.2-16</t>
  </si>
  <si>
    <t>K123</t>
  </si>
  <si>
    <t>K1104</t>
  </si>
  <si>
    <t xml:space="preserve">           Kvassay sétány fejlesztésének támogatása (BFT)</t>
  </si>
  <si>
    <t xml:space="preserve">              Kamerák (Kápolna park) (115/2018.(V.31.))</t>
  </si>
  <si>
    <t xml:space="preserve">              Hematológiai automata beszerzés (145/2018.(VII.31.))</t>
  </si>
  <si>
    <t xml:space="preserve">     Humán szolgáltatások fejlesztése (konzorciumi pályázat EFOP-1.5.2.-16)</t>
  </si>
  <si>
    <t xml:space="preserve">     BAHART osztalékbevétel</t>
  </si>
  <si>
    <t xml:space="preserve">         " Kulipintyó villa turisztikai hasznosítása" eszközbeszerzés  (TOP-1.2.1-15-15-SO1-2016-00008)</t>
  </si>
  <si>
    <t xml:space="preserve">         " Nyugati strand turisztikai infrastruktúrájának fejl.": kerítés, pad, hull.gyűjtő, játszóeszk., inf.tábla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</si>
  <si>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</si>
  <si>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</si>
  <si>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       Mobiltelefon beszerzés</t>
  </si>
  <si>
    <t xml:space="preserve">              Műszerállvány, szék (védőnő)</t>
  </si>
  <si>
    <t xml:space="preserve">       Nyilvános illemhely útszakasz burkolása</t>
  </si>
  <si>
    <t>K1107</t>
  </si>
  <si>
    <t xml:space="preserve">     Megbízási díj </t>
  </si>
  <si>
    <t>13/2. melléklet a 4/2018.(II.28.) önkormányzati rendelethez</t>
  </si>
  <si>
    <t xml:space="preserve">             Emberi Erőforrás Támogatáskezelő (BURSA)</t>
  </si>
  <si>
    <t>B351</t>
  </si>
  <si>
    <t xml:space="preserve">        Rovarirtás, kártevőírtás</t>
  </si>
  <si>
    <t>K352</t>
  </si>
  <si>
    <t xml:space="preserve">              Irodabútor vásárlás</t>
  </si>
  <si>
    <t xml:space="preserve">              Kamerák (Kulipintyó épülete) </t>
  </si>
  <si>
    <t xml:space="preserve">              Matrac beszerzés (2 db)</t>
  </si>
  <si>
    <t>K1109</t>
  </si>
  <si>
    <t>K1106</t>
  </si>
  <si>
    <t>2019. évi felhalmozási bevételei, kiadásai</t>
  </si>
  <si>
    <t>3. melléklet a /2019.(....) önkormányzati rendelethez</t>
  </si>
  <si>
    <t xml:space="preserve">      2. Ingatlanok értékesítése</t>
  </si>
  <si>
    <t xml:space="preserve">         2.2. Felhalmozási célú hitel parkolók kialakításához</t>
  </si>
  <si>
    <t xml:space="preserve">             Közös Önkormányzati Hivatal (szoftverek, telefonközpont, egyéb tárgyi eszk. beszerzés)</t>
  </si>
  <si>
    <t xml:space="preserve">            Ebből céltartalék:</t>
  </si>
  <si>
    <t xml:space="preserve">                     Közterületek, utak, zöldfelület fenntartása (GAMESZ) </t>
  </si>
  <si>
    <t>lakás</t>
  </si>
  <si>
    <t>(Pub-Lik előtti terület +)</t>
  </si>
  <si>
    <t xml:space="preserve">        Műszaki jellegű szolgáltatások</t>
  </si>
  <si>
    <t>011130 Önk. és önk.-i hivatalok 
jogalkotói és ált. igazgatási tev.-e</t>
  </si>
  <si>
    <t xml:space="preserve">        Gyermek- és felnőtt eü szolgáltatás</t>
  </si>
  <si>
    <t xml:space="preserve">            Felhalmozási célra elkülönített tartalék </t>
  </si>
  <si>
    <t xml:space="preserve">              Hivatal épületében kábelhálózat (internet) korszerűsítése</t>
  </si>
  <si>
    <r>
      <t xml:space="preserve">          Informatikai biztonsági, GDPR feladatok ellátása </t>
    </r>
    <r>
      <rPr>
        <sz val="8"/>
        <rFont val="Times New Roman"/>
        <family val="1"/>
        <charset val="238"/>
      </rPr>
      <t>(20+25 e Ft/hó + áfa)</t>
    </r>
  </si>
  <si>
    <t xml:space="preserve">        Egyéb szakmai tevékenységet segítő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</si>
  <si>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</si>
  <si>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</si>
  <si>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</si>
  <si>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</si>
  <si>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</si>
  <si>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</si>
  <si>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 " Hivatal épületének energetikai korszerűsítése" többletköltsége önerőből (nettó)</t>
  </si>
  <si>
    <t>Műszaki ellenőrzés (Zöld Város)</t>
  </si>
  <si>
    <t>Műszaki ellenőrzés (Hivatal energetika)</t>
  </si>
  <si>
    <t>Nyilvánosság (Zöld Város)</t>
  </si>
  <si>
    <t>Szemléletformálás (Zöld Város)</t>
  </si>
  <si>
    <t xml:space="preserve">        Felhalmozási célú átvett pénzeszközök (Nonprofit Kft. hiteltörlesztés)</t>
  </si>
  <si>
    <t xml:space="preserve">         " Hivatal épületének energetikai korszerűsítése" (TOP-3.2.1-15-SO-2016-00012) (nettó)</t>
  </si>
  <si>
    <t xml:space="preserve">              Dísz- és térvilágítás kivitelezése</t>
  </si>
  <si>
    <t xml:space="preserve">              Játszótér építés</t>
  </si>
  <si>
    <t xml:space="preserve">              Új buszvárók telepítése (2 db, központban)</t>
  </si>
  <si>
    <t xml:space="preserve">              Temető kerítés</t>
  </si>
  <si>
    <t xml:space="preserve">              Óvoda tetőszerkezet felújítása</t>
  </si>
  <si>
    <t xml:space="preserve">              Iskola padlóburkolat felújítása</t>
  </si>
  <si>
    <t xml:space="preserve">              Út- és járdafelújítások</t>
  </si>
  <si>
    <t xml:space="preserve">              Kvassay sétány partvédőmű rekonstrukciója (II. ütem) (nettó)</t>
  </si>
  <si>
    <t xml:space="preserve">                  Zöld Város projekt</t>
  </si>
  <si>
    <t xml:space="preserve">                  Hivatal energetikai felújítása</t>
  </si>
  <si>
    <t xml:space="preserve">              Széchényi Imre mellszobor</t>
  </si>
  <si>
    <t xml:space="preserve">         2.1. Felhalmozási célú hitel  2019. évi út- és járdafejlesztéshez</t>
  </si>
  <si>
    <t xml:space="preserve">         Hitel törlesztés (OTP 100+100 M Ft-os fejlesztési hitel)</t>
  </si>
  <si>
    <t xml:space="preserve">         " Hivatal épületének energetikai korszerűsítése" többletköltsége önerőből (tető pótmunka, nettó)</t>
  </si>
  <si>
    <t xml:space="preserve">              Új buszvárók telepítése (2 db, Kőröshegy u.)</t>
  </si>
  <si>
    <t xml:space="preserve">              Csapadékvízelvezető árok burkolása (Panoráma körút)</t>
  </si>
  <si>
    <t xml:space="preserve">          "Balatonföldvár zöld város program megval.-a" (TOP-2.1.2-15-2016-00002) építés (nettó)</t>
  </si>
  <si>
    <t xml:space="preserve">          "Balatonföldvár zöld város program megval.-a" (TOP-2.1.2-15-2016-00002) többletktg önerő (nettő)</t>
  </si>
  <si>
    <t>br. 60 m</t>
  </si>
  <si>
    <t>EU-s 
össz.</t>
  </si>
  <si>
    <t>Saját
 forrásból</t>
  </si>
  <si>
    <t>EU-s
önerő</t>
  </si>
  <si>
    <t>EU-s 
támogatott</t>
  </si>
  <si>
    <t>Fejlesztések 2019-ben</t>
  </si>
  <si>
    <t>2022. évi eredeti előirányzat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</si>
  <si>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</si>
  <si>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</si>
  <si>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</si>
  <si>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</si>
  <si>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</si>
  <si>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</si>
  <si>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Hitel törlesztés (OTP  fejlesztési hitel)</t>
  </si>
  <si>
    <t xml:space="preserve">             Közös Önkormányzati Hivatal (szoftverek, számítástech. és egyéb tárgyi eszk. beszerzés)</t>
  </si>
  <si>
    <t>Pénzmaradvány</t>
  </si>
  <si>
    <t>Átvett pénzeszköz (TKT)</t>
  </si>
  <si>
    <t>Átvett pénzeszköz (közös hivatali önkormányzatok)</t>
  </si>
  <si>
    <t xml:space="preserve">        Autópályadíj (éves)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</si>
  <si>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</si>
  <si>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</si>
  <si>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 Alkalmazottak illetménye, illetménykiegészítése (34+4+2 fő)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</si>
  <si>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(pl. adóhatározatok, értesítő levelek nyomtatása)</t>
    </r>
  </si>
  <si>
    <r>
      <t xml:space="preserve">                             </t>
    </r>
    <r>
      <rPr>
        <sz val="8"/>
        <rFont val="Times New Roman"/>
        <family val="1"/>
        <charset val="238"/>
      </rPr>
      <t xml:space="preserve">   (gépjármű casco)</t>
    </r>
  </si>
  <si>
    <t xml:space="preserve">    Fizetendő ÁFA ** alább részletezve</t>
  </si>
  <si>
    <t>Zöld város program építés (fordított áfa)</t>
  </si>
  <si>
    <t>bevétel-kiadás egyenlege előző évi maradvány, 
tartalék és működésben jelentkező beruh. ktg-ek nélkül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</si>
  <si>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</si>
  <si>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</si>
  <si>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</si>
  <si>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 Közpark, közösségi tér kialakítása (kikötő)</t>
  </si>
  <si>
    <t>Tervezési díj (Bölcsőde pályázat)</t>
  </si>
  <si>
    <t xml:space="preserve">             Összpróba Alapítvány</t>
  </si>
  <si>
    <t xml:space="preserve">             Nyári rendezvények finanszírozása</t>
  </si>
  <si>
    <t xml:space="preserve">               Szociális étkeztetés állami tám. átadása</t>
  </si>
  <si>
    <t xml:space="preserve">         Hitel törlesztés (OTP fejlesztési hitel)</t>
  </si>
  <si>
    <t xml:space="preserve">              Kamerarendszer kiépítése a város közterületein</t>
  </si>
  <si>
    <t>Műszaki ellenőrzés (Strandfejlesztések)</t>
  </si>
  <si>
    <t>Közbeszerzési szakértői díj (Bölcsőde pályázat)</t>
  </si>
  <si>
    <t>Egyéb szolgáltatások (Bölcsőde pályázat)</t>
  </si>
  <si>
    <t>Nyilvánosság (Bölcsőde pályázat)</t>
  </si>
  <si>
    <t>Műszaki ellenőrzés (Bölcsőde pályázat)</t>
  </si>
  <si>
    <t>2023. évi eredeti előirányzat</t>
  </si>
  <si>
    <t xml:space="preserve">         Hitel törlesztés (tőke rész, kamat a működésben)</t>
  </si>
  <si>
    <t xml:space="preserve">Bölcsődei férőhelyek kialakítása, fejlesztése </t>
  </si>
  <si>
    <t>(TOP-1,4,1-19-SO1-20169-00013)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</si>
  <si>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</si>
  <si>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</si>
  <si>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</si>
  <si>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</si>
  <si>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</si>
  <si>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</si>
  <si>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</si>
  <si>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</si>
  <si>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</si>
  <si>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 Önerős felújítások elmaradása</t>
  </si>
  <si>
    <t xml:space="preserve">K355 </t>
  </si>
  <si>
    <t xml:space="preserve">             3. Bérkompenzáció</t>
  </si>
  <si>
    <t xml:space="preserve">      2. Ingatlanok értékesítése, lakásrészletek befizetései</t>
  </si>
  <si>
    <t xml:space="preserve">     Rendkívüli időre járó juttatás</t>
  </si>
  <si>
    <t xml:space="preserve">               Szociális étkeztetés (csomagolás)</t>
  </si>
  <si>
    <t xml:space="preserve"> </t>
  </si>
  <si>
    <t>1. melléklet</t>
  </si>
  <si>
    <t>2. melléklet</t>
  </si>
  <si>
    <t>3. melléklet</t>
  </si>
  <si>
    <t>4. melléklet</t>
  </si>
  <si>
    <t>011130 Önk. és önk.-i hivatalok jogalkotói és ált. igazgatási tevékenysége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</si>
  <si>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</si>
  <si>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</si>
  <si>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</si>
  <si>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 xml:space="preserve">13. melléklet </t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</si>
  <si>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</si>
  <si>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</si>
  <si>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</si>
  <si>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</si>
  <si>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Egyéb személyi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</si>
  <si>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</si>
  <si>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</si>
  <si>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Házi segítségnyújtás (kiegészítő támogatás)</t>
  </si>
  <si>
    <t xml:space="preserve">     2019. évi gyermekétkeztetés normatíva visszafizetés</t>
  </si>
  <si>
    <t xml:space="preserve">     Hivatal energetika pályázat időközi elszámolás</t>
  </si>
  <si>
    <t xml:space="preserve">     Gépjárműadó központi elvonás </t>
  </si>
  <si>
    <t xml:space="preserve">     Iparűzési adó</t>
  </si>
  <si>
    <t>K341</t>
  </si>
  <si>
    <t xml:space="preserve">     Műszaki tanácsadás: Kwassay sétány partvédőmű</t>
  </si>
  <si>
    <t xml:space="preserve">     Tervezési munkák: zöld város pályázat</t>
  </si>
  <si>
    <t xml:space="preserve">     Kötelező nyilvánosság: hivatal energetika pályázat</t>
  </si>
  <si>
    <t xml:space="preserve">     2. Egyéb működési célú pénzeszközátadás </t>
  </si>
  <si>
    <t xml:space="preserve">     Közlekedési költségtérítés (átcsoportosítás K1101-ről)</t>
  </si>
  <si>
    <t xml:space="preserve">     Települési önk.-ok egyes köznevelési feladatainak tám.-a (óvoda) (októberi felmérés)</t>
  </si>
  <si>
    <t>intézmény finanszírozás növelése</t>
  </si>
  <si>
    <t xml:space="preserve">              Bölcsőde fejlesztés (TOP-1.4.1-19-SO1-20169-00013) (eszközbeszerzés)</t>
  </si>
  <si>
    <t xml:space="preserve">     Pénzeszközátadás társulásban közösen ellátott feladatokra (labor, ügyelet, TV ktgnövekedés)</t>
  </si>
  <si>
    <t xml:space="preserve">     Útkarbantartáshoz szükséges eszközpark fejl.támogatása</t>
  </si>
  <si>
    <t xml:space="preserve">     Fizetendő ÁFA Zöld város projekt</t>
  </si>
  <si>
    <t xml:space="preserve">     Nonprofit Kft. működési támogatás (saját) </t>
  </si>
  <si>
    <t>2021. évi összevont mérlege</t>
  </si>
  <si>
    <t>Teljesítés 2021.12.31.</t>
  </si>
  <si>
    <t>2021. évi működési célú bevételei, kiadásai</t>
  </si>
  <si>
    <t>2021. évi felhalmozási bevételei, kiadásai</t>
  </si>
  <si>
    <t>2021.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</si>
  <si>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2021.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</si>
  <si>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2021. év)</t>
  </si>
  <si>
    <t xml:space="preserve">       Kötelező (eredeti előirányzat 2021. év)</t>
  </si>
  <si>
    <t xml:space="preserve">       Nem kötelező (eredeti előirányzat 2021. év)</t>
  </si>
  <si>
    <t>KÖH (eredeti előirányzat 2021. év)</t>
  </si>
  <si>
    <t>Önk.mindösszesen (eredeti előirányzat 2021. év)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</si>
  <si>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</si>
  <si>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</si>
  <si>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</si>
  <si>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</si>
  <si>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Balatonföldvár Város Önkormányzatának 2021. évi kiadásai intézményenként, kiemelt előirányzatonként, 
feladatonkénti bontásban</t>
  </si>
  <si>
    <t xml:space="preserve">Balatonföldvár Város Önkormányzatának 2021. évi intézményi szintű összes kiadásai, intézményfinanszírozása
</t>
  </si>
  <si>
    <t>Módosított előirányzat 2021.12.31</t>
  </si>
  <si>
    <t>2021. évi költségvetési kiadásainak részletezése kormányzati funkciók szerint</t>
  </si>
  <si>
    <t>teljesítés 2021.12.31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</si>
  <si>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</si>
  <si>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</si>
  <si>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</si>
  <si>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</si>
  <si>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1.1.1.3. Településüzemeltetés - közvilágítás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</si>
  <si>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</si>
  <si>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</si>
  <si>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</si>
  <si>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</si>
  <si>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</si>
  <si>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</si>
  <si>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</si>
  <si>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</si>
  <si>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</si>
  <si>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</si>
  <si>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</si>
  <si>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</si>
  <si>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</si>
  <si>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</si>
  <si>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</si>
  <si>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</si>
  <si>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</si>
  <si>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</si>
  <si>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</si>
  <si>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</si>
  <si>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</si>
  <si>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</si>
  <si>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</si>
  <si>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</si>
  <si>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</si>
  <si>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</si>
  <si>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       2.3.2.5. Táncművészeti szervezetek támogatása (Előadó és Alkotóművészetért Alapítvány)</t>
  </si>
  <si>
    <t xml:space="preserve">      Elszámolásból származó bevételek </t>
  </si>
  <si>
    <t xml:space="preserve">      Egyéb működési célú támogatások államháztartáson belülről </t>
  </si>
  <si>
    <t xml:space="preserve">          OEP védőnő</t>
  </si>
  <si>
    <t xml:space="preserve">          Egyéb működési célú támogatások  (TV)</t>
  </si>
  <si>
    <t xml:space="preserve">          Évközi állami támogatás módosítás miatti átadás</t>
  </si>
  <si>
    <t xml:space="preserve">          Közfoglalkoztatás támogatása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</si>
  <si>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</si>
  <si>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</si>
  <si>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</si>
  <si>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>Állami támogatás visszafizetés (2020. évi állami elszámolásból)</t>
  </si>
  <si>
    <t xml:space="preserve">               2020. évi normatíva elszámolás többlettámogatás átadása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</si>
  <si>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</si>
  <si>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</si>
  <si>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</si>
  <si>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</si>
  <si>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</si>
  <si>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</si>
  <si>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 xml:space="preserve">    1. Működési célú pénzeszközátadások, támogatások</t>
  </si>
  <si>
    <t>Állami támogatás</t>
  </si>
  <si>
    <t xml:space="preserve">          Pénzeszközátvétel Többcélú Társulástól (Hivatal) </t>
  </si>
  <si>
    <t xml:space="preserve">          Pénzeszközátvétel önkormányzatoktól (Hivatal)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</si>
  <si>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</si>
  <si>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</si>
  <si>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 xml:space="preserve">      Informatikai szolgáltatások  (rendszerkövetések: honlap, kártyarendszer, IFA szoftver, védőnő, könyvtár)</t>
  </si>
  <si>
    <t>074031 Család és nővédelmi egészségügyi gondozás</t>
  </si>
  <si>
    <t xml:space="preserve">       Előirányzott támogatási keret (ebből polgármesteri keret:  1000 e Ft)</t>
  </si>
  <si>
    <t xml:space="preserve">              Balatonföldvári szivattyúpark felújítása</t>
  </si>
  <si>
    <t xml:space="preserve">           BFT pályázati támogatás - Balatonföldvári Szivattyúpark felúíjtása</t>
  </si>
  <si>
    <t xml:space="preserve">          Zöld Város projekt - támogatás ráemelés</t>
  </si>
  <si>
    <t>Kiviteli terv végszámla (Zöld Város)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</si>
  <si>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</si>
  <si>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</si>
  <si>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</si>
  <si>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</si>
  <si>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</si>
  <si>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</si>
  <si>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</si>
  <si>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</si>
  <si>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</si>
  <si>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 xml:space="preserve">              Keleti strand fejlesztése IV. ütem - eszközök beszerzése (Strand pályázat Kisfaludy2030)</t>
  </si>
  <si>
    <t xml:space="preserve">              Nyugati strand fejlesztése IV. ütem - eszközök beszerzése (Strand pályázat Kisfaludy2030)</t>
  </si>
  <si>
    <t xml:space="preserve">           Városháza épületének tetőfelújítása</t>
  </si>
  <si>
    <t xml:space="preserve">           Keleti strand fejlesztése IV. ütem - építési beruházás (Strand pályázat Kisfaludy2030)</t>
  </si>
  <si>
    <t xml:space="preserve">           Nyugati strand fejlesztése IV. ütem - építési beruházás (Strand pályázat Kisfaludy2030)</t>
  </si>
  <si>
    <t>Bölcsőde építés (fordított áfa)</t>
  </si>
  <si>
    <t xml:space="preserve">               Bérkompenzáció, ágazati pótlék, Tb, átadás</t>
  </si>
  <si>
    <t>Egyéb szakértői díj (Bölcsőde pályázat)</t>
  </si>
  <si>
    <t>Műszaki ell. (MFP óvoda tető, tornaszoba felúj.)</t>
  </si>
  <si>
    <t xml:space="preserve">           Magyar Falu program - óvoda tornaszoba felújítása</t>
  </si>
  <si>
    <t xml:space="preserve">           Magyar Falu program - óvoda épület tetőfelújítása</t>
  </si>
  <si>
    <t>Műszaki ellenőrzés (dísz- és térvilágítás)</t>
  </si>
  <si>
    <t xml:space="preserve">           Járdafelújítások</t>
  </si>
  <si>
    <t xml:space="preserve">           Kőröshegy utcai buszvárók felújítása</t>
  </si>
  <si>
    <t>korrekció (beruházásokhoz kapcsolódó működésben jelentkező kapcsolódó kiadások)</t>
  </si>
  <si>
    <t>korrekció (beruházások fordított áfa fizetési kötelezettsége)</t>
  </si>
  <si>
    <t>Szakértői díj, előkészítő tanulmány</t>
  </si>
  <si>
    <t xml:space="preserve">    Megbízási díj (egyéb fel., polgármesteri hatáskör)</t>
  </si>
  <si>
    <t xml:space="preserve">           Ebből felhalmozási célú céltartalék</t>
  </si>
  <si>
    <t xml:space="preserve">           2020. évi áthúzódó bérkompenzáció</t>
  </si>
  <si>
    <t xml:space="preserve">     Jubileumi jutalom (3 fő)</t>
  </si>
  <si>
    <t xml:space="preserve">     Egyéb személyi juttatás (bérkomp., betegsz.,)</t>
  </si>
  <si>
    <t xml:space="preserve">          WinSzoc program</t>
  </si>
  <si>
    <t xml:space="preserve">          2.2. Idegenforgalmi adó</t>
  </si>
  <si>
    <t>Szakértői díj (tervezés) Boldog Békeidők projekt</t>
  </si>
  <si>
    <t xml:space="preserve">        Főszerkesztői feladatok ellátása</t>
  </si>
  <si>
    <t xml:space="preserve">        Intarzia</t>
  </si>
  <si>
    <t xml:space="preserve">           Kulipintyó udvarrendezés, öntözőrendszer telepítés</t>
  </si>
  <si>
    <t>működési egyenleg</t>
  </si>
  <si>
    <t>Partvédőmű tervezés, engedélyeztetés (IV.ütem)</t>
  </si>
  <si>
    <t xml:space="preserve">           BFT támogatás - Partvédőmű rekonstrukció III. ütem</t>
  </si>
  <si>
    <t xml:space="preserve">              Labor analizátor (Mindray H50P)</t>
  </si>
  <si>
    <t xml:space="preserve">          EFOP pályázat támogatása (záró elszámolás)</t>
  </si>
  <si>
    <t xml:space="preserve">     3. K507 Működési célú garancia- és kezességvállalásból származó kifizetés államháztartáson kívülre</t>
  </si>
  <si>
    <t>Szolidaritási hozzájárulás</t>
  </si>
  <si>
    <t>2020 és korábbi évek</t>
  </si>
  <si>
    <t>2021. évi adósságot keletkeztető ügyleteiből eredő fizetési kötelezettségek, várható saját bevételek</t>
  </si>
  <si>
    <r>
      <t xml:space="preserve">                                           </t>
    </r>
    <r>
      <rPr>
        <b/>
        <i/>
        <u/>
        <sz val="12"/>
        <rFont val="Times New Roman"/>
        <family val="1"/>
        <charset val="238"/>
      </rPr>
      <t>Balatonföldvár Város Önkormányzat 2021. évi bevétel-kiadási előirányzat-felhasználási ütemterve</t>
    </r>
  </si>
  <si>
    <t xml:space="preserve">Egyéb elvonások, befizetések </t>
  </si>
  <si>
    <t>Költségfelosztás 2021. Összesítő (2021.02.03.)</t>
  </si>
  <si>
    <t>Települések</t>
  </si>
  <si>
    <t>Lakosságszám 
(fő)</t>
  </si>
  <si>
    <t xml:space="preserve">TKT </t>
  </si>
  <si>
    <t>2020. évi hozzájárulás (módosított)</t>
  </si>
  <si>
    <t>2020. évi
 hátralék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</si>
  <si>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</si>
  <si>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</si>
  <si>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</si>
  <si>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</si>
  <si>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</si>
  <si>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</si>
  <si>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</si>
  <si>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</si>
  <si>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</si>
  <si>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</si>
  <si>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</si>
  <si>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</si>
  <si>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</si>
  <si>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</si>
  <si>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</si>
  <si>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</si>
  <si>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</si>
  <si>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</si>
  <si>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</si>
  <si>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</si>
  <si>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</si>
  <si>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</si>
  <si>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</si>
  <si>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</si>
  <si>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</si>
  <si>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</si>
  <si>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>Házi segítség
nyújtás 
2021</t>
  </si>
  <si>
    <t xml:space="preserve">előző év
</t>
  </si>
  <si>
    <t>TKT ügyeleti díj / labor díj alakulása</t>
  </si>
  <si>
    <t>ügyelet 
2020. I.</t>
  </si>
  <si>
    <t>ügyelet 2020. II.</t>
  </si>
  <si>
    <t>többletfin.
ügyelet
2020.II-2021</t>
  </si>
  <si>
    <t>labor 
2020. I.</t>
  </si>
  <si>
    <t>labor 
2020. II.</t>
  </si>
  <si>
    <t>többletfin.
labor
2020.II-2021</t>
  </si>
  <si>
    <t>Eü-i feladatok többlete összesen</t>
  </si>
  <si>
    <t>EÜ feladatokon kívül 
változás előző évhez képes</t>
  </si>
  <si>
    <t>többletfin. 2020. évi
eredetihez</t>
  </si>
  <si>
    <t>Bölcsőde fejlesztés</t>
  </si>
  <si>
    <t>2021. évi Európai Uniós forrásból finanszírozott támogatással megvalósuló projektek kiadásai, 
projekt megvalósításhoz történő önkormányzati hozzájárulásai</t>
  </si>
  <si>
    <t>2021. évi költségvetés érintő kiadás</t>
  </si>
  <si>
    <t>2021. évi költségvetés érintő várható önerő összege</t>
  </si>
  <si>
    <t xml:space="preserve">      1. Egyéb működési célú átvett pénzeszközök (Földvár kártya értékesítés terv. bevétele 2021. évi)</t>
  </si>
  <si>
    <t>2024. évi eredeti előirányzat</t>
  </si>
  <si>
    <t>2021-2024. évi gördülő tervezése</t>
  </si>
  <si>
    <t>támogatás ráemelés folyamatban</t>
  </si>
  <si>
    <t xml:space="preserve">          Állami támogatás visszatérítése TKT-tól (óvodai nevelés 2019. évi visszafizetés)</t>
  </si>
  <si>
    <t>zv (egyéb)</t>
  </si>
  <si>
    <t xml:space="preserve">          Ágazati pótlék</t>
  </si>
  <si>
    <t xml:space="preserve">           Táncművészeti szervek támogatása (Előadó és Alkotóművészetért Alapítvány)</t>
  </si>
  <si>
    <t xml:space="preserve">      Idegenforgalmi adóhoz kapcsolódó kiegészítő támogatás (2020. évről 2532 e Ft)</t>
  </si>
  <si>
    <t xml:space="preserve">2021. évi költségvetésének módosítása - indoklás </t>
  </si>
  <si>
    <t xml:space="preserve">              Löszfal vásárlás (36/2021.(IV.7.) polgármesteri határozat )</t>
  </si>
  <si>
    <t xml:space="preserve">        Faállomány felmérése (59/2021.(V.7.) polgm.-i hat.)</t>
  </si>
  <si>
    <t xml:space="preserve">     Közutak támogatása (kiegészítő támogatás)</t>
  </si>
  <si>
    <t xml:space="preserve">     Szociális étkeztetés állami támogatás átadása (májusi felmérés)</t>
  </si>
  <si>
    <t xml:space="preserve">            Szociális ágazati pótlék</t>
  </si>
  <si>
    <t xml:space="preserve">     Szociális ágazati pótlék (átcsoportosítás B115-ről) </t>
  </si>
  <si>
    <t xml:space="preserve">     Egyéb személyi juttatás: védőnő OEP fin.</t>
  </si>
  <si>
    <t>K121</t>
  </si>
  <si>
    <t>K332</t>
  </si>
  <si>
    <t xml:space="preserve">        Egyéb (füvesítés, zöldterület karbant.,kamerarend.)</t>
  </si>
  <si>
    <t xml:space="preserve">     Földvár TV (Elek Dezső) átcsoportosítás K336-ról</t>
  </si>
  <si>
    <t>K5021</t>
  </si>
  <si>
    <t xml:space="preserve">     2020. évi kiegészítő támogatás visszafizetés</t>
  </si>
  <si>
    <t>Tervezési munka, vízbekötés (Szivattyúpark)</t>
  </si>
  <si>
    <t xml:space="preserve">           Balatonföldvári szivattyúpark felújítása</t>
  </si>
  <si>
    <t xml:space="preserve">              Ingatlan beszerzés: telekalakítás</t>
  </si>
  <si>
    <t xml:space="preserve">              Hematológiai automata készülék</t>
  </si>
  <si>
    <t xml:space="preserve">     Megbízási díj: anyakönyvvezető helyettesítés</t>
  </si>
  <si>
    <t xml:space="preserve">     Helyettesítési bér megtérítése, egyéb működési bevétel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</si>
  <si>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</si>
  <si>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</si>
  <si>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</si>
  <si>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</si>
  <si>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</si>
  <si>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</si>
  <si>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2020. évi szoc.tűzifa támogatás visszafizetés</t>
  </si>
  <si>
    <t xml:space="preserve">     2020. évi szoc.tűzifa támogatás visszafizetés</t>
  </si>
  <si>
    <t xml:space="preserve">         Egyéb működési támogatás ÁHK-ről</t>
  </si>
  <si>
    <t>K84</t>
  </si>
  <si>
    <t>Egészségügyi 
ellátások 072111, 074011, 072112</t>
  </si>
  <si>
    <t>Módosított előirányzat 2021.07. havi</t>
  </si>
  <si>
    <t>Önkormányzat (módosított előirányzat 2021.07.havi)</t>
  </si>
  <si>
    <t xml:space="preserve">       Kötelező (módosított előirányzat 2021.07. havi)</t>
  </si>
  <si>
    <t xml:space="preserve">       Nem kötelező (módosított előirányzat 2021.07. havi)</t>
  </si>
  <si>
    <t>KÖH (módosított előirányzat 2021.07. havi)</t>
  </si>
  <si>
    <t>Önk.mindösszesen (módosított ei. 2021.07. havi)</t>
  </si>
  <si>
    <t>Módosított előirányzat 2021.07.hó</t>
  </si>
  <si>
    <t>mód.ei.          2021.07.hó</t>
  </si>
  <si>
    <t>mód.előir.
2021.07.hó</t>
  </si>
  <si>
    <t>Módosított előirányzat 2021.10. havi</t>
  </si>
  <si>
    <t>mód.előir.
2021.10.hó</t>
  </si>
  <si>
    <t>mód.ei.          2021.10. hó</t>
  </si>
  <si>
    <t xml:space="preserve">        Biztosítások (vagyon, jogvédelem, felelősségbizt.)</t>
  </si>
  <si>
    <t>MFP: Puskás Tivadar u.felújítás tervezési térkép</t>
  </si>
  <si>
    <t xml:space="preserve">     MFP: Puskás Tivadar u.felújítás tervezési térkép</t>
  </si>
  <si>
    <t xml:space="preserve">     MFP: Puskás Tivadar utca felújítás támogatása (25/2021.(VIII.5.))</t>
  </si>
  <si>
    <t xml:space="preserve">     Szociális célú tüzelőanyag vásárlásához kapcsolódó támogatás (23/2021.(VIII.5.))</t>
  </si>
  <si>
    <t xml:space="preserve">     Lakossági víz és csatornaszolgáltatás pályázat támogatása (62/2021.(V.19.) polgármesteri hat.)</t>
  </si>
  <si>
    <t xml:space="preserve">     DRV Zrt. lakossági víz és csatornaszolg. tám. továbbutalása (62/2021.(V.19.) polgármesteri hat.)</t>
  </si>
  <si>
    <t xml:space="preserve">    Kitüntetéssel, címmel, díjjal járó juttatás </t>
  </si>
  <si>
    <t xml:space="preserve">     Kitüntetéssel, címmel, díjjal járó juttatás (57/2021.(V.7.) és 58/2021.(V.7.) polgm.-i hat.)</t>
  </si>
  <si>
    <t xml:space="preserve">           MFP: Puskás Tivadar utca felújítás támogatása (25/2021.(VIII.5.))</t>
  </si>
  <si>
    <t xml:space="preserve">           MFP: Puskás Tivadar utca felújítása (25/2021.(VIII.5.))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</si>
  <si>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</si>
  <si>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</si>
  <si>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Önkormányzati elszámolások (iparűzési adó kieg.tám.)</t>
  </si>
  <si>
    <t xml:space="preserve">     Nyilvános könyvtári és közművelődési feladatainak támogatása (kerekítés)</t>
  </si>
  <si>
    <t xml:space="preserve">     Idegenforgalmi adó bevételek</t>
  </si>
  <si>
    <t xml:space="preserve">        Műszaki ellenőr:járdafelújítások (29/2021.(IX.9.))</t>
  </si>
  <si>
    <t xml:space="preserve">     Műszaki ellenőri tevékenység: járdafelújítások (29/2021.(IX.9.))</t>
  </si>
  <si>
    <t xml:space="preserve">           Hunyadi János utca felújítása (30/2021.(IX.9.))</t>
  </si>
  <si>
    <t xml:space="preserve">      Hunyadi János utca felújítása (30/2021.(IX.9.))</t>
  </si>
  <si>
    <t xml:space="preserve">        Műszaki ellenőr:Hunyadi u.felújítás(31/2021.(IX.9.))</t>
  </si>
  <si>
    <t xml:space="preserve">     Műszaki ellenőri tevékenység: Hunyadi utca felújítás (31/2021.(IX.9.))</t>
  </si>
  <si>
    <t xml:space="preserve">      Városháza épületének tetőfelújítása (33/2021.(IX.9.))</t>
  </si>
  <si>
    <t>Építészeti vázlatterv/koncepcióterv (Boldog Békeidők) 34/2021.(IX.9.)</t>
  </si>
  <si>
    <t xml:space="preserve">     Építészeti vázlatterv/koncepcióterv (Boldog Békeidők) 34/2021.(IX.9.)</t>
  </si>
  <si>
    <t xml:space="preserve">      3. Felhalmozási célú tartalék</t>
  </si>
  <si>
    <t xml:space="preserve">      2. Felhalmozási célú támogatások ÁHK-re: Római Katolikus Egyház támogatása (36/2021.(IX.9.))</t>
  </si>
  <si>
    <r>
      <t xml:space="preserve">     </t>
    </r>
    <r>
      <rPr>
        <i/>
        <sz val="10"/>
        <rFont val="Times New Roman"/>
        <family val="1"/>
        <charset val="238"/>
      </rPr>
      <t xml:space="preserve">    3.3. Felhalmozási célú tartalék (céltartalék)</t>
    </r>
  </si>
  <si>
    <t xml:space="preserve">         3.2. Felhalmozási célú támogatások ÁHK-re</t>
  </si>
  <si>
    <t>K89</t>
  </si>
  <si>
    <t xml:space="preserve">     Tulajdonosi bevételek: bérleti díjak, közterület használat</t>
  </si>
  <si>
    <t xml:space="preserve">     Műszaki jellegű szolgáltatások</t>
  </si>
  <si>
    <t xml:space="preserve">     Kiszámlázott ÁFA</t>
  </si>
  <si>
    <t xml:space="preserve">     Alkalmazottak illetménye: (átcsoportosítás K1104-re)</t>
  </si>
  <si>
    <t xml:space="preserve">     Rendkívüli munkaidőre járó juttatás (készenléti, ügyeleti, túlóra díj) (átcsoportosítás K1101-ről)</t>
  </si>
  <si>
    <t xml:space="preserve">     Elszámolásból származó bev. (idegenforgalmi adóhoz kapcs. kieg. tám.) átcsop.B115-ről</t>
  </si>
  <si>
    <t xml:space="preserve">     Telefonköltség (átcsoportosítás K121-ről)</t>
  </si>
  <si>
    <t>K335</t>
  </si>
  <si>
    <t xml:space="preserve">     Közvetített szolgáltatások: továbbszámlázott közüzemi díjak </t>
  </si>
  <si>
    <t xml:space="preserve">     Lépcső javítás, zöldterület rekonstrukció</t>
  </si>
  <si>
    <t xml:space="preserve">     Murva elterítés (útjavítás)</t>
  </si>
  <si>
    <t xml:space="preserve">               Települési Önkormányzatok Országos Szövetsége tagdíj</t>
  </si>
  <si>
    <t>Statikai vizsgálat (Boldog Békeidők)</t>
  </si>
  <si>
    <t xml:space="preserve">     Statikai vizsgálat (Boldog Békeidők)</t>
  </si>
  <si>
    <t xml:space="preserve">      Keleti strand fejlesztése IV. ütem - építési beruházás (Strand pályázat Kisfaludy2030)</t>
  </si>
  <si>
    <t xml:space="preserve">              Nyugati strand családbarát fejlesztése: eligazító táblák elhelyezése</t>
  </si>
  <si>
    <t xml:space="preserve">           Bajcsy-Zs. u. járdaszegély építése (szivattyúpark pályázaton kívüli rész)</t>
  </si>
  <si>
    <t xml:space="preserve">      Bajcsy-Zs. u. járdaszegély építése (szivattyúpark pályázaton kívüli rész)</t>
  </si>
  <si>
    <t xml:space="preserve">     Cafeteria (átcsoportosítás K1103, K1113-ra)</t>
  </si>
  <si>
    <t xml:space="preserve">     Reprezentáció (átcsoportosítás K1113-ra)</t>
  </si>
  <si>
    <t xml:space="preserve">     Megbízási díjak (átcsoportosítás K121-ről, átcsop. K1109-re)</t>
  </si>
  <si>
    <t xml:space="preserve">     Működési célú tartalék</t>
  </si>
  <si>
    <t>Önkormányzat (módosított előirányzat 2021.10.havi)</t>
  </si>
  <si>
    <t xml:space="preserve">       Kötelező (módosított előirányzat 2021.10. havi)</t>
  </si>
  <si>
    <t xml:space="preserve">       Nem kötelező (módosított előirányzat 2021.10. havi)</t>
  </si>
  <si>
    <t>KÖH (módosított előirányzat 2021.10. havi)</t>
  </si>
  <si>
    <t>Önk.mindösszesen (módosított ei. 2021.10. havi)</t>
  </si>
  <si>
    <t xml:space="preserve">              Ingatlan vásárlás (7/2021.(VI.24.)) (Keringő épületegyüttes)</t>
  </si>
  <si>
    <t xml:space="preserve">         2.1. Fejlesztési célú hitel  felvétele (ingatlan vásárlás)  (8/2021.(VI.24.))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</si>
  <si>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</si>
  <si>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</si>
  <si>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 xml:space="preserve">   Tartalék felhasználása, tervezett maradvány</t>
  </si>
  <si>
    <t>Módosított előirányzat 2021.10.hó</t>
  </si>
  <si>
    <t>Fejlesztési célú hitel (ingatlan vásárlás)</t>
  </si>
  <si>
    <t>2025 és további évek</t>
  </si>
  <si>
    <t xml:space="preserve">        Faállomány felmérése többletmérések ktg.e</t>
  </si>
  <si>
    <t xml:space="preserve">      Egyéb működési támogatás ÁHK-ről</t>
  </si>
  <si>
    <t>Változás (összeg)</t>
  </si>
  <si>
    <t xml:space="preserve">   Felhalmozási célú hitel felvétele</t>
  </si>
  <si>
    <t>1.melléklet az 1/2021.(II.25.) önkormányzati rendelethez</t>
  </si>
  <si>
    <t>2.melléklet az 1/2021.(II.25.) önkormányzati rendelethez</t>
  </si>
  <si>
    <t>3.melléklet az 1/2021.(II.25.) önkormányzati rendelethez</t>
  </si>
  <si>
    <t>4.melléklet az 1/2021.(II.25.) önkormányzati rendelethez</t>
  </si>
  <si>
    <t>5.melléklet az 1/2021.(II.25.) önkormányzati rendelethez</t>
  </si>
  <si>
    <t>6.melléklet az 1/2021.(II.25.) önkormányzati rendelethez</t>
  </si>
  <si>
    <t>7.melléklet az 1/2021.(II.25.) önkormányzati rendelethez</t>
  </si>
  <si>
    <t>8.melléklet az 1/2021.(II.25.) önkormányzati rendelethez</t>
  </si>
  <si>
    <t>9.melléklet az 1/2021.(II.25.) önkormányzati rendelethez</t>
  </si>
  <si>
    <t>10.melléklet az 1/2021.(II.25.) önkormányzati rendelethez</t>
  </si>
  <si>
    <t>11. melléklet</t>
  </si>
  <si>
    <t>11.melléklet az 1/2021.(II.25.) önkormányzati rendelethez</t>
  </si>
  <si>
    <t>12.melléklet az 1/2021.(II.25.) önkormányzati rendelethez</t>
  </si>
  <si>
    <t>mód.előir.
2021.12.31</t>
  </si>
  <si>
    <t>mód.ei.          2021.12.31</t>
  </si>
  <si>
    <t xml:space="preserve">     Jutalom </t>
  </si>
  <si>
    <t xml:space="preserve">     Munkaruha (közterület felügyelet)</t>
  </si>
  <si>
    <t xml:space="preserve">     Nyomtatvány, irodaszer</t>
  </si>
  <si>
    <t xml:space="preserve">     Tisztítószer</t>
  </si>
  <si>
    <t>K321</t>
  </si>
  <si>
    <t xml:space="preserve">     Informatikai szolgáltatás: ESET antivírus </t>
  </si>
  <si>
    <t xml:space="preserve">     Egyéb szolg.: közigazgatási alapvizsga, selejtezett iratanyag elszállítása</t>
  </si>
  <si>
    <t xml:space="preserve">     Postaköltség</t>
  </si>
  <si>
    <t xml:space="preserve">     Biztosítás </t>
  </si>
  <si>
    <t xml:space="preserve">     Kiküldetések</t>
  </si>
  <si>
    <t xml:space="preserve">      Fénymásológép </t>
  </si>
  <si>
    <t xml:space="preserve">     Jubileumi jutalom (átcsoportosítás K1113-ra)</t>
  </si>
  <si>
    <t xml:space="preserve">     Alkalmazottak illetménye: (átcsoportosítás K1113-ra)</t>
  </si>
  <si>
    <t xml:space="preserve">     Közüzemi díjak (átcsoportosítás K311-ről)</t>
  </si>
  <si>
    <t xml:space="preserve">     Bankköltség (átcsoportosítás K311-ről)</t>
  </si>
  <si>
    <t xml:space="preserve">     Októberi állami támogatások átadása TKT-nak</t>
  </si>
  <si>
    <t xml:space="preserve">     Szociális ágazati pótlék </t>
  </si>
  <si>
    <t xml:space="preserve">     Intézményi gyermekétkeztetés - bértámogatás (októberi felmérés alapján)</t>
  </si>
  <si>
    <t xml:space="preserve">     Intézményi gyermekétkeztetés - üzemeltetési támogatás (októberi felmérés alapján)</t>
  </si>
  <si>
    <t xml:space="preserve">     Személyi gondozás - társulás által történő feladatellátás (októberi felmérés alapján)</t>
  </si>
  <si>
    <t xml:space="preserve">          2020. évi állami támogatás visszafizetés</t>
  </si>
  <si>
    <t xml:space="preserve">     2020. évi állami támogatás visszafizetés</t>
  </si>
  <si>
    <t xml:space="preserve">     Rendezvény támogatás</t>
  </si>
  <si>
    <t xml:space="preserve">          Rendezvény támogatás</t>
  </si>
  <si>
    <t xml:space="preserve">     Útvonal engedélyek, perköltség megfizetése</t>
  </si>
  <si>
    <t xml:space="preserve">      Lakásrészletek befizetései</t>
  </si>
  <si>
    <t xml:space="preserve">      Földvár kártya értékesítés terv. bevétele 2021. évi</t>
  </si>
  <si>
    <t xml:space="preserve">         2020-2021. évi kulturális feladatok támogatása</t>
  </si>
  <si>
    <t xml:space="preserve">              Kulturális feladatok támogatás átadása</t>
  </si>
  <si>
    <t xml:space="preserve">     Kulturális feladatok támogatás átadása</t>
  </si>
  <si>
    <t xml:space="preserve">      2020-2021. évi kulturális feladatok támogatása</t>
  </si>
  <si>
    <t xml:space="preserve">     Közlekedési költségtérítés (átcsoportosítás K121-ről)</t>
  </si>
  <si>
    <t xml:space="preserve">     Külső személyi juttatás: cafeteria (átcsoportosítás K1109-re)</t>
  </si>
  <si>
    <t xml:space="preserve">     Képviselői tiszteletdíjak (átcsop. K113-ra)</t>
  </si>
  <si>
    <t xml:space="preserve">     Egyéb szolgáltatás (átcsop. K321-re)</t>
  </si>
  <si>
    <t xml:space="preserve">     Szirén könyvtári rendszer szoftverhasználat (átcsop.K337-ről)</t>
  </si>
  <si>
    <t xml:space="preserve">     Tursiztikai Navigátor és Kártyarendszter fenntartási díj, internet</t>
  </si>
  <si>
    <t xml:space="preserve">     Karbantartás, kisjavítás költségei (átcsop.K311, K333-ról)</t>
  </si>
  <si>
    <t xml:space="preserve">     Szakmai anyagok beszerzése (átcsoportosítás K334-re)</t>
  </si>
  <si>
    <t>K333</t>
  </si>
  <si>
    <t xml:space="preserve">     Bérleti díjak (átcsop. K334-re)</t>
  </si>
  <si>
    <t xml:space="preserve">     Egyéb munkavégzéshez kapcs. juttatás (betegszabi, szabadság megvált.)</t>
  </si>
  <si>
    <t xml:space="preserve">     Egyéb szolgáltatás: Bethlen telepítése, előadóműv.tev., tájékoztató készítés</t>
  </si>
  <si>
    <t>K342</t>
  </si>
  <si>
    <t xml:space="preserve">     Reklám- és propagandakiadások (átcsop. K337-re)</t>
  </si>
  <si>
    <t>K353</t>
  </si>
  <si>
    <t xml:space="preserve">     Hiteltörlesztési kamat, kezelési ktg.</t>
  </si>
  <si>
    <t xml:space="preserve">     Egyéb dologi kiadások: eljárási igazgatási díj</t>
  </si>
  <si>
    <t>K48</t>
  </si>
  <si>
    <t xml:space="preserve">     Települési támogatások</t>
  </si>
  <si>
    <t xml:space="preserve">               TV digitális átálláshoz szükséges eszköz besz.támogatása</t>
  </si>
  <si>
    <t xml:space="preserve">     TV digitális átálláshoz szükséges eszköz besz.támogatása</t>
  </si>
  <si>
    <t xml:space="preserve">     2020. évi normatíva elszámolás többlettámogatás átadása</t>
  </si>
  <si>
    <t xml:space="preserve">     Emberi Erőforrás Támogatáskezelő (BURSA) (átcsop. K506-ra)</t>
  </si>
  <si>
    <t xml:space="preserve">     Emberi Erőforrás Támogatáskezelő (BURSA) (átcsop. K512-ről)</t>
  </si>
  <si>
    <t xml:space="preserve">              Telefon, TV beszerzés, monitor, szoftver, asztal, iratszekrény, bojler</t>
  </si>
  <si>
    <t xml:space="preserve">              Óvodai támfal építés</t>
  </si>
  <si>
    <t xml:space="preserve">      Nyugati strand fejlesztése IV. ütem - eszközök beszerzése (Strand pályázat Kisfaludy2030)</t>
  </si>
  <si>
    <t xml:space="preserve">      Iratszekrény, bojler beszerzés</t>
  </si>
  <si>
    <t xml:space="preserve">      Óvodai támfal építés</t>
  </si>
  <si>
    <t xml:space="preserve">      Nyugati strand fejlesztése IV. ütem - építési beruházás (Strand pályázat Kisfaludy2030)</t>
  </si>
  <si>
    <t xml:space="preserve">      1. Egyéb felh.-i célú tám.visszafiz.: Kisfaludy2030 Ny.-i és K.-i strand családbarát fejl.tám.visszafiz.</t>
  </si>
  <si>
    <t>Kvassay sétány tervek</t>
  </si>
  <si>
    <t>Európa park tájépítészeti pályázati projektterve</t>
  </si>
  <si>
    <t>Puskás T. utca műszaki ellenőrzés</t>
  </si>
  <si>
    <t xml:space="preserve">     Esküvői díjbevétel (KÖH); bírság és pótlék bevételek (ÖNK)</t>
  </si>
  <si>
    <t>Önkormányzat (módosított előirányzat 2021.12.31.havi)</t>
  </si>
  <si>
    <t xml:space="preserve">       Kötelező (módosított előirányzat 2021.12.31.havi)</t>
  </si>
  <si>
    <t xml:space="preserve">       Nem kötelező (módosított előirányzat 2021.12.31. havi)</t>
  </si>
  <si>
    <t>KÖH (módosított előirányzat 2021.12.31.havi)</t>
  </si>
  <si>
    <t>Önk.mindösszesen (módosított ei. 2021.12.31.havi)</t>
  </si>
  <si>
    <t>ÁHB megelőlegezés</t>
  </si>
  <si>
    <t xml:space="preserve">   ÁHB megelőlegezés</t>
  </si>
  <si>
    <t xml:space="preserve">     Egyéb felh.-i célú tám.visszafiz.: Kisfaludy2030 Keleti strand családbarát fejl.tám.visszafiz.</t>
  </si>
  <si>
    <t xml:space="preserve">              Bölcsőde fejlesztés (TOP-1.4.1-19-SO1-20169-00013) (építési beruházás) (nettó)</t>
  </si>
  <si>
    <t xml:space="preserve">          "Balatonföldvár zöld város program megval.-a" (TOP-2.1.2-15-2016-00002) (nettó)</t>
  </si>
  <si>
    <t xml:space="preserve">     Szociális étkeztetés állami támogatás</t>
  </si>
  <si>
    <t xml:space="preserve">     Szociális étkeztetés állami tám. átadása</t>
  </si>
  <si>
    <t>a 7/2022.(V.27.) önkormányzati rendelethez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</si>
  <si>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</si>
  <si>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</si>
  <si>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</si>
  <si>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</si>
  <si>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</si>
  <si>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</si>
  <si>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</si>
  <si>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 xml:space="preserve">    Előző évi maradvány igénybevétele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</si>
</sst>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8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9" fillId="0" borderId="0" applyFill="0" applyBorder="0" applyAlignment="0" applyProtection="0"/>
    <xf numFmtId="0" fontId="10" fillId="0" borderId="0"/>
    <xf numFmtId="0" fontId="10" fillId="0" borderId="0"/>
    <xf numFmtId="0" fontId="70" fillId="0" borderId="0"/>
    <xf numFmtId="0" fontId="50" fillId="0" borderId="0"/>
    <xf numFmtId="0" fontId="52" fillId="0" borderId="0"/>
    <xf numFmtId="0" fontId="61" fillId="0" borderId="0"/>
    <xf numFmtId="0" fontId="19" fillId="0" borderId="0"/>
    <xf numFmtId="0" fontId="5" fillId="0" borderId="0"/>
    <xf numFmtId="0" fontId="64" fillId="0" borderId="0"/>
    <xf numFmtId="0" fontId="10" fillId="0" borderId="0"/>
  </cellStyleXfs>
  <cellXfs count="1115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0" xfId="0" applyBorder="1"/>
    <xf numFmtId="0" fontId="0" fillId="2" borderId="0" xfId="0" applyFill="1"/>
    <xf numFmtId="0" fontId="9" fillId="0" borderId="0" xfId="0" applyFo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/>
    <xf numFmtId="3" fontId="1" fillId="0" borderId="0" xfId="0" applyNumberFormat="1" applyFont="1"/>
    <xf numFmtId="0" fontId="1" fillId="0" borderId="1" xfId="0" applyFont="1" applyBorder="1"/>
    <xf numFmtId="0" fontId="11" fillId="0" borderId="0" xfId="0" applyFont="1"/>
    <xf numFmtId="0" fontId="11" fillId="0" borderId="0" xfId="0" applyFont="1" applyBorder="1"/>
    <xf numFmtId="0" fontId="1" fillId="2" borderId="0" xfId="0" applyFont="1" applyFill="1" applyAlignment="1">
      <alignment horizontal="right"/>
    </xf>
    <xf numFmtId="3" fontId="1" fillId="0" borderId="1" xfId="0" applyNumberFormat="1" applyFont="1" applyBorder="1"/>
    <xf numFmtId="0" fontId="1" fillId="0" borderId="2" xfId="0" applyFont="1" applyBorder="1"/>
    <xf numFmtId="3" fontId="4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Fill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 applyBorder="1"/>
    <xf numFmtId="0" fontId="14" fillId="0" borderId="0" xfId="0" applyFont="1"/>
    <xf numFmtId="3" fontId="14" fillId="0" borderId="0" xfId="0" applyNumberFormat="1" applyFont="1"/>
    <xf numFmtId="0" fontId="11" fillId="0" borderId="3" xfId="0" applyFont="1" applyBorder="1"/>
    <xf numFmtId="0" fontId="1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right"/>
    </xf>
    <xf numFmtId="3" fontId="11" fillId="0" borderId="1" xfId="0" applyNumberFormat="1" applyFont="1" applyBorder="1"/>
    <xf numFmtId="0" fontId="13" fillId="2" borderId="0" xfId="0" applyFont="1" applyFill="1" applyBorder="1"/>
    <xf numFmtId="3" fontId="18" fillId="0" borderId="1" xfId="0" applyNumberFormat="1" applyFont="1" applyBorder="1"/>
    <xf numFmtId="3" fontId="16" fillId="0" borderId="1" xfId="0" applyNumberFormat="1" applyFont="1" applyFill="1" applyBorder="1" applyAlignment="1">
      <alignment horizontal="right"/>
    </xf>
    <xf numFmtId="3" fontId="11" fillId="0" borderId="0" xfId="0" applyNumberFormat="1" applyFont="1"/>
    <xf numFmtId="3" fontId="3" fillId="0" borderId="1" xfId="0" applyNumberFormat="1" applyFont="1" applyBorder="1" applyAlignment="1"/>
    <xf numFmtId="3" fontId="1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Border="1"/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0" fillId="0" borderId="0" xfId="0" applyFont="1"/>
    <xf numFmtId="0" fontId="18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0" fillId="6" borderId="0" xfId="0" applyFill="1" applyBorder="1"/>
    <xf numFmtId="0" fontId="1" fillId="0" borderId="0" xfId="0" applyFont="1" applyAlignment="1">
      <alignment horizontal="right"/>
    </xf>
    <xf numFmtId="0" fontId="1" fillId="6" borderId="0" xfId="0" applyFont="1" applyFill="1"/>
    <xf numFmtId="3" fontId="1" fillId="0" borderId="0" xfId="0" applyNumberFormat="1" applyFont="1" applyAlignment="1">
      <alignment horizontal="right"/>
    </xf>
    <xf numFmtId="0" fontId="21" fillId="2" borderId="0" xfId="0" applyFont="1" applyFill="1" applyAlignment="1">
      <alignment horizontal="right"/>
    </xf>
    <xf numFmtId="3" fontId="0" fillId="0" borderId="1" xfId="0" applyNumberFormat="1" applyBorder="1"/>
    <xf numFmtId="0" fontId="23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4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3" fontId="1" fillId="0" borderId="1" xfId="2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2" xfId="2" applyNumberFormat="1" applyFont="1" applyFill="1" applyBorder="1" applyAlignment="1">
      <alignment horizontal="right" vertical="center"/>
    </xf>
    <xf numFmtId="3" fontId="26" fillId="0" borderId="7" xfId="0" applyNumberFormat="1" applyFont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/>
    </xf>
    <xf numFmtId="3" fontId="32" fillId="0" borderId="1" xfId="0" applyNumberFormat="1" applyFont="1" applyBorder="1" applyAlignment="1">
      <alignment horizontal="right"/>
    </xf>
    <xf numFmtId="9" fontId="14" fillId="0" borderId="0" xfId="0" applyNumberFormat="1" applyFont="1"/>
    <xf numFmtId="3" fontId="0" fillId="0" borderId="0" xfId="0" applyNumberFormat="1"/>
    <xf numFmtId="0" fontId="4" fillId="5" borderId="4" xfId="0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0" fontId="0" fillId="0" borderId="0" xfId="0" applyFill="1"/>
    <xf numFmtId="0" fontId="24" fillId="0" borderId="3" xfId="0" applyFont="1" applyBorder="1" applyAlignment="1">
      <alignment horizontal="left"/>
    </xf>
    <xf numFmtId="0" fontId="0" fillId="0" borderId="0" xfId="0" applyAlignment="1"/>
    <xf numFmtId="3" fontId="1" fillId="0" borderId="1" xfId="0" applyNumberFormat="1" applyFont="1" applyFill="1" applyBorder="1" applyAlignment="1">
      <alignment vertical="center" wrapText="1"/>
    </xf>
    <xf numFmtId="3" fontId="1" fillId="0" borderId="2" xfId="0" applyNumberFormat="1" applyFont="1" applyBorder="1"/>
    <xf numFmtId="0" fontId="6" fillId="0" borderId="1" xfId="0" applyFont="1" applyBorder="1"/>
    <xf numFmtId="3" fontId="1" fillId="0" borderId="3" xfId="0" applyNumberFormat="1" applyFont="1" applyFill="1" applyBorder="1"/>
    <xf numFmtId="3" fontId="1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1" fillId="6" borderId="0" xfId="0" applyFont="1" applyFill="1" applyAlignment="1">
      <alignment horizontal="right"/>
    </xf>
    <xf numFmtId="0" fontId="5" fillId="2" borderId="0" xfId="0" applyFont="1" applyFill="1"/>
    <xf numFmtId="0" fontId="34" fillId="2" borderId="0" xfId="0" applyFont="1" applyFill="1"/>
    <xf numFmtId="0" fontId="21" fillId="2" borderId="0" xfId="0" applyFont="1" applyFill="1"/>
    <xf numFmtId="0" fontId="34" fillId="2" borderId="0" xfId="0" applyFont="1" applyFill="1" applyAlignment="1">
      <alignment horizontal="right"/>
    </xf>
    <xf numFmtId="0" fontId="35" fillId="2" borderId="0" xfId="0" applyFont="1" applyFill="1"/>
    <xf numFmtId="0" fontId="21" fillId="2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Alignment="1">
      <alignment horizontal="right"/>
    </xf>
    <xf numFmtId="3" fontId="3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3" fontId="7" fillId="0" borderId="0" xfId="0" applyNumberFormat="1" applyFont="1" applyBorder="1"/>
    <xf numFmtId="0" fontId="0" fillId="6" borderId="0" xfId="0" applyFill="1"/>
    <xf numFmtId="0" fontId="34" fillId="2" borderId="0" xfId="0" applyFont="1" applyFill="1" applyBorder="1"/>
    <xf numFmtId="0" fontId="7" fillId="2" borderId="1" xfId="0" applyFont="1" applyFill="1" applyBorder="1"/>
    <xf numFmtId="3" fontId="34" fillId="0" borderId="0" xfId="0" applyNumberFormat="1" applyFont="1"/>
    <xf numFmtId="0" fontId="34" fillId="0" borderId="0" xfId="0" applyFont="1"/>
    <xf numFmtId="0" fontId="40" fillId="2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0" fillId="0" borderId="11" xfId="0" applyBorder="1"/>
    <xf numFmtId="3" fontId="7" fillId="0" borderId="12" xfId="0" applyNumberFormat="1" applyFont="1" applyBorder="1"/>
    <xf numFmtId="0" fontId="7" fillId="0" borderId="11" xfId="0" applyFont="1" applyBorder="1"/>
    <xf numFmtId="3" fontId="7" fillId="0" borderId="1" xfId="0" applyNumberFormat="1" applyFont="1" applyBorder="1"/>
    <xf numFmtId="0" fontId="7" fillId="0" borderId="13" xfId="0" applyFont="1" applyBorder="1"/>
    <xf numFmtId="3" fontId="7" fillId="2" borderId="8" xfId="0" applyNumberFormat="1" applyFont="1" applyFill="1" applyBorder="1"/>
    <xf numFmtId="3" fontId="7" fillId="2" borderId="14" xfId="0" applyNumberFormat="1" applyFont="1" applyFill="1" applyBorder="1"/>
    <xf numFmtId="0" fontId="7" fillId="2" borderId="0" xfId="0" applyFont="1" applyFill="1" applyBorder="1"/>
    <xf numFmtId="0" fontId="41" fillId="2" borderId="0" xfId="0" applyFont="1" applyFill="1" applyBorder="1"/>
    <xf numFmtId="0" fontId="2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3" fontId="4" fillId="7" borderId="2" xfId="0" applyNumberFormat="1" applyFont="1" applyFill="1" applyBorder="1" applyAlignment="1"/>
    <xf numFmtId="0" fontId="1" fillId="0" borderId="1" xfId="0" applyFont="1" applyFill="1" applyBorder="1" applyAlignment="1">
      <alignment wrapText="1"/>
    </xf>
    <xf numFmtId="3" fontId="21" fillId="0" borderId="3" xfId="0" applyNumberFormat="1" applyFont="1" applyBorder="1" applyAlignment="1">
      <alignment horizontal="right"/>
    </xf>
    <xf numFmtId="0" fontId="21" fillId="0" borderId="3" xfId="0" applyFont="1" applyBorder="1" applyAlignment="1">
      <alignment horizontal="right"/>
    </xf>
    <xf numFmtId="0" fontId="42" fillId="7" borderId="1" xfId="0" applyFont="1" applyFill="1" applyBorder="1"/>
    <xf numFmtId="0" fontId="7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/>
    <xf numFmtId="3" fontId="0" fillId="7" borderId="1" xfId="0" applyNumberFormat="1" applyFill="1" applyBorder="1"/>
    <xf numFmtId="0" fontId="0" fillId="0" borderId="11" xfId="0" applyBorder="1" applyAlignment="1">
      <alignment wrapText="1"/>
    </xf>
    <xf numFmtId="3" fontId="4" fillId="8" borderId="4" xfId="0" applyNumberFormat="1" applyFont="1" applyFill="1" applyBorder="1" applyAlignment="1">
      <alignment horizontal="left" vertical="center"/>
    </xf>
    <xf numFmtId="3" fontId="4" fillId="8" borderId="5" xfId="2" applyNumberFormat="1" applyFont="1" applyFill="1" applyBorder="1" applyAlignment="1">
      <alignment horizontal="right" vertical="center"/>
    </xf>
    <xf numFmtId="3" fontId="4" fillId="8" borderId="6" xfId="0" applyNumberFormat="1" applyFont="1" applyFill="1" applyBorder="1" applyAlignment="1">
      <alignment vertical="center"/>
    </xf>
    <xf numFmtId="3" fontId="27" fillId="8" borderId="5" xfId="2" applyNumberFormat="1" applyFont="1" applyFill="1" applyBorder="1" applyAlignment="1">
      <alignment horizontal="right" vertical="center"/>
    </xf>
    <xf numFmtId="3" fontId="27" fillId="8" borderId="6" xfId="2" applyNumberFormat="1" applyFont="1" applyFill="1" applyBorder="1" applyAlignment="1">
      <alignment horizontal="right" vertical="center"/>
    </xf>
    <xf numFmtId="3" fontId="1" fillId="0" borderId="3" xfId="2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4" fillId="8" borderId="5" xfId="0" applyNumberFormat="1" applyFont="1" applyFill="1" applyBorder="1" applyAlignment="1">
      <alignment vertical="center"/>
    </xf>
    <xf numFmtId="3" fontId="25" fillId="8" borderId="4" xfId="0" applyNumberFormat="1" applyFont="1" applyFill="1" applyBorder="1" applyAlignment="1">
      <alignment horizontal="left" vertical="center" wrapText="1"/>
    </xf>
    <xf numFmtId="3" fontId="25" fillId="8" borderId="5" xfId="0" applyNumberFormat="1" applyFont="1" applyFill="1" applyBorder="1" applyAlignment="1">
      <alignment vertical="center"/>
    </xf>
    <xf numFmtId="3" fontId="25" fillId="8" borderId="6" xfId="0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4" fillId="8" borderId="6" xfId="2" applyNumberFormat="1" applyFont="1" applyFill="1" applyBorder="1" applyAlignment="1">
      <alignment horizontal="right" vertical="center"/>
    </xf>
    <xf numFmtId="0" fontId="34" fillId="6" borderId="0" xfId="0" applyFont="1" applyFill="1"/>
    <xf numFmtId="0" fontId="35" fillId="2" borderId="0" xfId="0" applyFont="1" applyFill="1" applyAlignment="1"/>
    <xf numFmtId="0" fontId="16" fillId="2" borderId="4" xfId="0" applyFont="1" applyFill="1" applyBorder="1"/>
    <xf numFmtId="0" fontId="16" fillId="2" borderId="5" xfId="0" applyFont="1" applyFill="1" applyBorder="1"/>
    <xf numFmtId="3" fontId="16" fillId="2" borderId="5" xfId="0" applyNumberFormat="1" applyFont="1" applyFill="1" applyBorder="1"/>
    <xf numFmtId="3" fontId="16" fillId="2" borderId="6" xfId="0" applyNumberFormat="1" applyFont="1" applyFill="1" applyBorder="1"/>
    <xf numFmtId="49" fontId="1" fillId="0" borderId="2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0" fillId="0" borderId="1" xfId="0" applyNumberFormat="1" applyFill="1" applyBorder="1"/>
    <xf numFmtId="0" fontId="1" fillId="0" borderId="16" xfId="0" applyFont="1" applyFill="1" applyBorder="1" applyAlignment="1">
      <alignment horizontal="left" vertical="center" wrapText="1"/>
    </xf>
    <xf numFmtId="0" fontId="4" fillId="0" borderId="3" xfId="0" applyFont="1" applyBorder="1"/>
    <xf numFmtId="3" fontId="16" fillId="0" borderId="1" xfId="0" applyNumberFormat="1" applyFont="1" applyBorder="1" applyAlignment="1"/>
    <xf numFmtId="3" fontId="4" fillId="7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0" fillId="0" borderId="17" xfId="0" applyBorder="1"/>
    <xf numFmtId="0" fontId="21" fillId="0" borderId="1" xfId="0" applyFont="1" applyFill="1" applyBorder="1"/>
    <xf numFmtId="0" fontId="4" fillId="7" borderId="2" xfId="0" applyFont="1" applyFill="1" applyBorder="1"/>
    <xf numFmtId="0" fontId="6" fillId="0" borderId="17" xfId="0" applyFont="1" applyBorder="1"/>
    <xf numFmtId="3" fontId="1" fillId="0" borderId="3" xfId="0" applyNumberFormat="1" applyFont="1" applyBorder="1"/>
    <xf numFmtId="3" fontId="21" fillId="0" borderId="3" xfId="0" applyNumberFormat="1" applyFont="1" applyFill="1" applyBorder="1"/>
    <xf numFmtId="0" fontId="14" fillId="0" borderId="0" xfId="0" applyFont="1" applyFill="1"/>
    <xf numFmtId="0" fontId="1" fillId="0" borderId="0" xfId="0" applyFont="1" applyFill="1"/>
    <xf numFmtId="3" fontId="2" fillId="7" borderId="5" xfId="0" applyNumberFormat="1" applyFont="1" applyFill="1" applyBorder="1" applyAlignment="1"/>
    <xf numFmtId="0" fontId="8" fillId="7" borderId="4" xfId="0" applyFont="1" applyFill="1" applyBorder="1" applyAlignment="1">
      <alignment horizontal="left"/>
    </xf>
    <xf numFmtId="0" fontId="6" fillId="0" borderId="3" xfId="0" applyFont="1" applyBorder="1"/>
    <xf numFmtId="3" fontId="4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/>
    <xf numFmtId="3" fontId="12" fillId="0" borderId="1" xfId="0" applyNumberFormat="1" applyFont="1" applyBorder="1" applyAlignment="1">
      <alignment horizontal="right"/>
    </xf>
    <xf numFmtId="3" fontId="4" fillId="7" borderId="3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/>
    <xf numFmtId="0" fontId="21" fillId="0" borderId="0" xfId="0" applyFont="1"/>
    <xf numFmtId="0" fontId="2" fillId="7" borderId="1" xfId="0" applyFont="1" applyFill="1" applyBorder="1" applyAlignment="1">
      <alignment horizontal="left"/>
    </xf>
    <xf numFmtId="0" fontId="1" fillId="0" borderId="3" xfId="0" applyFont="1" applyFill="1" applyBorder="1"/>
    <xf numFmtId="3" fontId="30" fillId="0" borderId="0" xfId="0" applyNumberFormat="1" applyFont="1"/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3" fontId="23" fillId="0" borderId="0" xfId="0" applyNumberFormat="1" applyFont="1"/>
    <xf numFmtId="3" fontId="15" fillId="0" borderId="0" xfId="0" applyNumberFormat="1" applyFont="1"/>
    <xf numFmtId="0" fontId="23" fillId="0" borderId="0" xfId="0" applyFont="1"/>
    <xf numFmtId="3" fontId="1" fillId="0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horizontal="right"/>
    </xf>
    <xf numFmtId="3" fontId="2" fillId="0" borderId="3" xfId="0" applyNumberFormat="1" applyFont="1" applyBorder="1"/>
    <xf numFmtId="0" fontId="2" fillId="0" borderId="2" xfId="0" applyFont="1" applyBorder="1" applyAlignment="1">
      <alignment vertical="center"/>
    </xf>
    <xf numFmtId="3" fontId="14" fillId="0" borderId="1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right"/>
    </xf>
    <xf numFmtId="0" fontId="39" fillId="3" borderId="18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right"/>
    </xf>
    <xf numFmtId="0" fontId="13" fillId="6" borderId="0" xfId="0" applyFont="1" applyFill="1" applyBorder="1"/>
    <xf numFmtId="3" fontId="1" fillId="6" borderId="0" xfId="0" applyNumberFormat="1" applyFont="1" applyFill="1" applyAlignment="1">
      <alignment horizontal="right"/>
    </xf>
    <xf numFmtId="0" fontId="14" fillId="6" borderId="0" xfId="0" applyFont="1" applyFill="1"/>
    <xf numFmtId="3" fontId="16" fillId="0" borderId="5" xfId="0" applyNumberFormat="1" applyFont="1" applyBorder="1"/>
    <xf numFmtId="3" fontId="6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6" fillId="0" borderId="1" xfId="0" applyNumberFormat="1" applyFont="1" applyBorder="1"/>
    <xf numFmtId="3" fontId="11" fillId="6" borderId="0" xfId="0" applyNumberFormat="1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/>
    <xf numFmtId="3" fontId="16" fillId="0" borderId="1" xfId="0" applyNumberFormat="1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3" fillId="0" borderId="1" xfId="0" applyFont="1" applyFill="1" applyBorder="1"/>
    <xf numFmtId="3" fontId="1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10" fillId="0" borderId="0" xfId="0" applyFont="1" applyFill="1"/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3" fontId="3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wrapText="1"/>
    </xf>
    <xf numFmtId="3" fontId="2" fillId="0" borderId="3" xfId="0" applyNumberFormat="1" applyFont="1" applyBorder="1" applyAlignment="1"/>
    <xf numFmtId="0" fontId="23" fillId="0" borderId="0" xfId="0" applyFont="1" applyAlignment="1"/>
    <xf numFmtId="3" fontId="1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3" fontId="14" fillId="0" borderId="0" xfId="0" applyNumberFormat="1" applyFont="1" applyAlignment="1"/>
    <xf numFmtId="3" fontId="2" fillId="0" borderId="1" xfId="0" applyNumberFormat="1" applyFont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3" fontId="14" fillId="0" borderId="1" xfId="0" applyNumberFormat="1" applyFont="1" applyBorder="1" applyAlignment="1"/>
    <xf numFmtId="3" fontId="2" fillId="0" borderId="1" xfId="0" applyNumberFormat="1" applyFont="1" applyFill="1" applyBorder="1" applyAlignment="1"/>
    <xf numFmtId="3" fontId="47" fillId="0" borderId="0" xfId="0" applyNumberFormat="1" applyFont="1"/>
    <xf numFmtId="3" fontId="0" fillId="9" borderId="19" xfId="0" applyNumberFormat="1" applyFill="1" applyBorder="1"/>
    <xf numFmtId="0" fontId="4" fillId="0" borderId="4" xfId="0" applyFont="1" applyFill="1" applyBorder="1"/>
    <xf numFmtId="0" fontId="4" fillId="0" borderId="0" xfId="0" applyFont="1" applyFill="1" applyBorder="1"/>
    <xf numFmtId="0" fontId="8" fillId="7" borderId="20" xfId="0" applyFont="1" applyFill="1" applyBorder="1" applyAlignment="1">
      <alignment horizontal="left"/>
    </xf>
    <xf numFmtId="3" fontId="2" fillId="7" borderId="21" xfId="0" applyNumberFormat="1" applyFont="1" applyFill="1" applyBorder="1" applyAlignment="1"/>
    <xf numFmtId="0" fontId="71" fillId="0" borderId="0" xfId="0" applyFont="1"/>
    <xf numFmtId="0" fontId="72" fillId="0" borderId="0" xfId="0" applyFont="1"/>
    <xf numFmtId="0" fontId="72" fillId="6" borderId="0" xfId="0" applyFont="1" applyFill="1"/>
    <xf numFmtId="0" fontId="4" fillId="7" borderId="3" xfId="0" applyFont="1" applyFill="1" applyBorder="1"/>
    <xf numFmtId="0" fontId="3" fillId="7" borderId="4" xfId="0" applyFont="1" applyFill="1" applyBorder="1"/>
    <xf numFmtId="0" fontId="31" fillId="0" borderId="1" xfId="0" applyFont="1" applyFill="1" applyBorder="1"/>
    <xf numFmtId="0" fontId="3" fillId="7" borderId="7" xfId="0" applyFont="1" applyFill="1" applyBorder="1"/>
    <xf numFmtId="3" fontId="3" fillId="7" borderId="7" xfId="0" applyNumberFormat="1" applyFont="1" applyFill="1" applyBorder="1" applyAlignment="1"/>
    <xf numFmtId="0" fontId="2" fillId="7" borderId="4" xfId="0" applyFont="1" applyFill="1" applyBorder="1"/>
    <xf numFmtId="0" fontId="21" fillId="5" borderId="11" xfId="0" applyFont="1" applyFill="1" applyBorder="1" applyAlignment="1">
      <alignment horizontal="center"/>
    </xf>
    <xf numFmtId="3" fontId="46" fillId="0" borderId="0" xfId="0" applyNumberFormat="1" applyFont="1"/>
    <xf numFmtId="3" fontId="26" fillId="6" borderId="0" xfId="0" applyNumberFormat="1" applyFont="1" applyFill="1" applyBorder="1" applyAlignment="1">
      <alignment vertical="center"/>
    </xf>
    <xf numFmtId="3" fontId="12" fillId="0" borderId="2" xfId="0" applyNumberFormat="1" applyFont="1" applyBorder="1" applyAlignment="1">
      <alignment horizontal="right"/>
    </xf>
    <xf numFmtId="0" fontId="1" fillId="5" borderId="4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3" fontId="11" fillId="0" borderId="18" xfId="0" applyNumberFormat="1" applyFont="1" applyFill="1" applyBorder="1"/>
    <xf numFmtId="3" fontId="28" fillId="3" borderId="8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/>
    <xf numFmtId="0" fontId="21" fillId="0" borderId="1" xfId="0" applyFont="1" applyBorder="1"/>
    <xf numFmtId="3" fontId="14" fillId="0" borderId="1" xfId="0" applyNumberFormat="1" applyFont="1" applyFill="1" applyBorder="1" applyAlignment="1"/>
    <xf numFmtId="0" fontId="14" fillId="0" borderId="1" xfId="0" applyFont="1" applyFill="1" applyBorder="1"/>
    <xf numFmtId="0" fontId="14" fillId="0" borderId="1" xfId="0" applyFont="1" applyBorder="1"/>
    <xf numFmtId="0" fontId="3" fillId="0" borderId="3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3" fontId="3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3" fontId="1" fillId="0" borderId="3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/>
    <xf numFmtId="3" fontId="1" fillId="0" borderId="3" xfId="0" applyNumberFormat="1" applyFont="1" applyFill="1" applyBorder="1" applyAlignment="1"/>
    <xf numFmtId="3" fontId="31" fillId="0" borderId="1" xfId="0" applyNumberFormat="1" applyFont="1" applyBorder="1" applyAlignment="1"/>
    <xf numFmtId="0" fontId="0" fillId="0" borderId="5" xfId="0" applyFont="1" applyBorder="1" applyAlignment="1"/>
    <xf numFmtId="3" fontId="4" fillId="7" borderId="1" xfId="0" applyNumberFormat="1" applyFont="1" applyFill="1" applyBorder="1" applyAlignment="1">
      <alignment horizontal="right"/>
    </xf>
    <xf numFmtId="3" fontId="4" fillId="7" borderId="2" xfId="0" applyNumberFormat="1" applyFont="1" applyFill="1" applyBorder="1" applyAlignment="1">
      <alignment horizontal="right"/>
    </xf>
    <xf numFmtId="3" fontId="2" fillId="7" borderId="5" xfId="0" applyNumberFormat="1" applyFont="1" applyFill="1" applyBorder="1" applyAlignment="1">
      <alignment horizontal="right"/>
    </xf>
    <xf numFmtId="3" fontId="4" fillId="7" borderId="3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32" fillId="0" borderId="1" xfId="0" applyNumberFormat="1" applyFont="1" applyFill="1" applyBorder="1" applyAlignment="1"/>
    <xf numFmtId="3" fontId="32" fillId="0" borderId="1" xfId="0" applyNumberFormat="1" applyFont="1" applyBorder="1" applyAlignment="1"/>
    <xf numFmtId="3" fontId="21" fillId="0" borderId="1" xfId="0" applyNumberFormat="1" applyFont="1" applyFill="1" applyBorder="1" applyAlignment="1"/>
    <xf numFmtId="3" fontId="21" fillId="0" borderId="1" xfId="0" applyNumberFormat="1" applyFont="1" applyBorder="1" applyAlignment="1"/>
    <xf numFmtId="3" fontId="21" fillId="0" borderId="3" xfId="0" applyNumberFormat="1" applyFont="1" applyBorder="1" applyAlignment="1"/>
    <xf numFmtId="3" fontId="4" fillId="5" borderId="22" xfId="0" applyNumberFormat="1" applyFont="1" applyFill="1" applyBorder="1" applyAlignment="1"/>
    <xf numFmtId="3" fontId="4" fillId="5" borderId="2" xfId="0" applyNumberFormat="1" applyFont="1" applyFill="1" applyBorder="1" applyAlignment="1"/>
    <xf numFmtId="3" fontId="4" fillId="5" borderId="1" xfId="0" applyNumberFormat="1" applyFont="1" applyFill="1" applyBorder="1" applyAlignment="1"/>
    <xf numFmtId="3" fontId="4" fillId="5" borderId="5" xfId="0" applyNumberFormat="1" applyFont="1" applyFill="1" applyBorder="1" applyAlignment="1"/>
    <xf numFmtId="3" fontId="4" fillId="5" borderId="3" xfId="0" applyNumberFormat="1" applyFont="1" applyFill="1" applyBorder="1" applyAlignment="1"/>
    <xf numFmtId="3" fontId="4" fillId="5" borderId="23" xfId="0" applyNumberFormat="1" applyFont="1" applyFill="1" applyBorder="1" applyAlignment="1"/>
    <xf numFmtId="3" fontId="4" fillId="5" borderId="12" xfId="0" applyNumberFormat="1" applyFont="1" applyFill="1" applyBorder="1" applyAlignment="1"/>
    <xf numFmtId="3" fontId="4" fillId="9" borderId="6" xfId="0" applyNumberFormat="1" applyFont="1" applyFill="1" applyBorder="1" applyAlignment="1"/>
    <xf numFmtId="3" fontId="4" fillId="5" borderId="10" xfId="0" applyNumberFormat="1" applyFont="1" applyFill="1" applyBorder="1" applyAlignment="1"/>
    <xf numFmtId="3" fontId="8" fillId="5" borderId="6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3" fontId="3" fillId="0" borderId="3" xfId="0" applyNumberFormat="1" applyFont="1" applyBorder="1"/>
    <xf numFmtId="0" fontId="8" fillId="5" borderId="5" xfId="0" applyFont="1" applyFill="1" applyBorder="1" applyAlignment="1">
      <alignment horizontal="center" wrapText="1"/>
    </xf>
    <xf numFmtId="3" fontId="8" fillId="5" borderId="5" xfId="0" applyNumberFormat="1" applyFont="1" applyFill="1" applyBorder="1" applyAlignment="1">
      <alignment vertical="center"/>
    </xf>
    <xf numFmtId="3" fontId="8" fillId="5" borderId="6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3" fontId="2" fillId="5" borderId="5" xfId="0" applyNumberFormat="1" applyFont="1" applyFill="1" applyBorder="1" applyAlignment="1">
      <alignment horizontal="right"/>
    </xf>
    <xf numFmtId="3" fontId="2" fillId="5" borderId="6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/>
    <xf numFmtId="3" fontId="4" fillId="0" borderId="3" xfId="0" applyNumberFormat="1" applyFont="1" applyFill="1" applyBorder="1" applyAlignment="1">
      <alignment vertical="center" wrapText="1"/>
    </xf>
    <xf numFmtId="3" fontId="14" fillId="0" borderId="16" xfId="0" applyNumberFormat="1" applyFont="1" applyBorder="1" applyAlignment="1">
      <alignment vertical="center"/>
    </xf>
    <xf numFmtId="3" fontId="1" fillId="9" borderId="1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vertical="center"/>
    </xf>
    <xf numFmtId="3" fontId="21" fillId="0" borderId="0" xfId="0" applyNumberFormat="1" applyFont="1"/>
    <xf numFmtId="0" fontId="73" fillId="0" borderId="0" xfId="0" applyFont="1"/>
    <xf numFmtId="0" fontId="4" fillId="5" borderId="4" xfId="0" applyFont="1" applyFill="1" applyBorder="1"/>
    <xf numFmtId="0" fontId="1" fillId="0" borderId="1" xfId="0" applyFont="1" applyFill="1" applyBorder="1" applyAlignment="1"/>
    <xf numFmtId="0" fontId="74" fillId="6" borderId="0" xfId="0" applyFont="1" applyFill="1"/>
    <xf numFmtId="3" fontId="31" fillId="0" borderId="3" xfId="0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wrapText="1"/>
    </xf>
    <xf numFmtId="3" fontId="4" fillId="9" borderId="6" xfId="0" applyNumberFormat="1" applyFont="1" applyFill="1" applyBorder="1" applyAlignment="1">
      <alignment vertical="center"/>
    </xf>
    <xf numFmtId="3" fontId="49" fillId="0" borderId="1" xfId="0" applyNumberFormat="1" applyFont="1" applyFill="1" applyBorder="1" applyAlignment="1">
      <alignment horizontal="right"/>
    </xf>
    <xf numFmtId="0" fontId="32" fillId="0" borderId="1" xfId="0" applyFont="1" applyBorder="1"/>
    <xf numFmtId="0" fontId="32" fillId="0" borderId="1" xfId="0" applyFont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 wrapText="1"/>
    </xf>
    <xf numFmtId="0" fontId="32" fillId="0" borderId="3" xfId="0" applyFont="1" applyBorder="1"/>
    <xf numFmtId="3" fontId="21" fillId="0" borderId="2" xfId="0" applyNumberFormat="1" applyFont="1" applyFill="1" applyBorder="1" applyAlignment="1"/>
    <xf numFmtId="3" fontId="32" fillId="0" borderId="2" xfId="0" applyNumberFormat="1" applyFont="1" applyBorder="1" applyAlignment="1"/>
    <xf numFmtId="0" fontId="32" fillId="0" borderId="3" xfId="0" applyFont="1" applyFill="1" applyBorder="1"/>
    <xf numFmtId="0" fontId="23" fillId="0" borderId="11" xfId="0" applyFont="1" applyBorder="1"/>
    <xf numFmtId="0" fontId="23" fillId="6" borderId="0" xfId="0" applyFont="1" applyFill="1"/>
    <xf numFmtId="0" fontId="47" fillId="0" borderId="3" xfId="0" applyFont="1" applyBorder="1"/>
    <xf numFmtId="0" fontId="47" fillId="0" borderId="1" xfId="0" applyFont="1" applyBorder="1"/>
    <xf numFmtId="0" fontId="23" fillId="0" borderId="17" xfId="0" applyFont="1" applyBorder="1"/>
    <xf numFmtId="0" fontId="47" fillId="0" borderId="17" xfId="0" applyFont="1" applyBorder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wrapText="1"/>
    </xf>
    <xf numFmtId="0" fontId="32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32" fillId="0" borderId="1" xfId="0" applyFont="1" applyFill="1" applyBorder="1" applyAlignment="1"/>
    <xf numFmtId="0" fontId="4" fillId="5" borderId="9" xfId="0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right" vertical="center"/>
    </xf>
    <xf numFmtId="0" fontId="15" fillId="3" borderId="22" xfId="0" applyFont="1" applyFill="1" applyBorder="1" applyAlignment="1">
      <alignment horizontal="center" vertical="center"/>
    </xf>
    <xf numFmtId="3" fontId="31" fillId="9" borderId="24" xfId="0" applyNumberFormat="1" applyFont="1" applyFill="1" applyBorder="1" applyAlignment="1">
      <alignment horizontal="right"/>
    </xf>
    <xf numFmtId="3" fontId="31" fillId="9" borderId="5" xfId="0" applyNumberFormat="1" applyFont="1" applyFill="1" applyBorder="1" applyAlignment="1">
      <alignment horizontal="right"/>
    </xf>
    <xf numFmtId="0" fontId="0" fillId="0" borderId="0" xfId="0" applyFont="1" applyFill="1"/>
    <xf numFmtId="0" fontId="24" fillId="0" borderId="25" xfId="0" applyFont="1" applyFill="1" applyBorder="1" applyAlignment="1">
      <alignment horizontal="center" vertical="center" wrapText="1"/>
    </xf>
    <xf numFmtId="0" fontId="23" fillId="0" borderId="26" xfId="0" applyFont="1" applyBorder="1"/>
    <xf numFmtId="3" fontId="1" fillId="8" borderId="3" xfId="0" applyNumberFormat="1" applyFont="1" applyFill="1" applyBorder="1" applyAlignment="1"/>
    <xf numFmtId="3" fontId="4" fillId="8" borderId="1" xfId="0" applyNumberFormat="1" applyFont="1" applyFill="1" applyBorder="1" applyAlignment="1"/>
    <xf numFmtId="0" fontId="6" fillId="0" borderId="0" xfId="0" applyFont="1" applyAlignment="1"/>
    <xf numFmtId="0" fontId="47" fillId="9" borderId="27" xfId="0" applyFont="1" applyFill="1" applyBorder="1" applyAlignment="1"/>
    <xf numFmtId="0" fontId="21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 wrapText="1"/>
    </xf>
    <xf numFmtId="3" fontId="4" fillId="8" borderId="4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horizontal="left" vertical="center" wrapText="1"/>
    </xf>
    <xf numFmtId="3" fontId="4" fillId="0" borderId="12" xfId="0" applyNumberFormat="1" applyFont="1" applyFill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26" fillId="6" borderId="0" xfId="0" applyNumberFormat="1" applyFont="1" applyFill="1" applyBorder="1" applyAlignment="1">
      <alignment horizontal="right" vertical="center"/>
    </xf>
    <xf numFmtId="3" fontId="44" fillId="0" borderId="16" xfId="0" applyNumberFormat="1" applyFont="1" applyBorder="1" applyAlignment="1">
      <alignment vertical="center"/>
    </xf>
    <xf numFmtId="3" fontId="29" fillId="0" borderId="16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" fillId="0" borderId="9" xfId="0" applyNumberFormat="1" applyFont="1" applyFill="1" applyBorder="1" applyAlignment="1">
      <alignment horizontal="left" vertical="center" wrapText="1"/>
    </xf>
    <xf numFmtId="3" fontId="4" fillId="0" borderId="10" xfId="2" applyNumberFormat="1" applyFont="1" applyFill="1" applyBorder="1" applyAlignment="1">
      <alignment horizontal="right" vertical="center"/>
    </xf>
    <xf numFmtId="3" fontId="1" fillId="0" borderId="29" xfId="0" applyNumberFormat="1" applyFont="1" applyFill="1" applyBorder="1" applyAlignment="1">
      <alignment horizontal="left" vertical="center" wrapText="1"/>
    </xf>
    <xf numFmtId="3" fontId="4" fillId="8" borderId="3" xfId="0" applyNumberFormat="1" applyFont="1" applyFill="1" applyBorder="1" applyAlignment="1">
      <alignment horizontal="right" vertical="center" wrapText="1"/>
    </xf>
    <xf numFmtId="3" fontId="1" fillId="8" borderId="3" xfId="0" applyNumberFormat="1" applyFont="1" applyFill="1" applyBorder="1" applyAlignment="1">
      <alignment horizontal="right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3" fontId="2" fillId="5" borderId="5" xfId="0" applyNumberFormat="1" applyFont="1" applyFill="1" applyBorder="1" applyAlignment="1">
      <alignment horizontal="right" vertical="center"/>
    </xf>
    <xf numFmtId="3" fontId="2" fillId="5" borderId="6" xfId="0" applyNumberFormat="1" applyFont="1" applyFill="1" applyBorder="1" applyAlignment="1">
      <alignment horizontal="right" vertical="center"/>
    </xf>
    <xf numFmtId="3" fontId="11" fillId="0" borderId="0" xfId="0" applyNumberFormat="1" applyFont="1" applyFill="1"/>
    <xf numFmtId="0" fontId="1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right"/>
    </xf>
    <xf numFmtId="0" fontId="25" fillId="7" borderId="4" xfId="5" applyFont="1" applyFill="1" applyBorder="1" applyAlignment="1">
      <alignment horizontal="center" vertical="top" wrapText="1"/>
    </xf>
    <xf numFmtId="0" fontId="25" fillId="7" borderId="5" xfId="5" applyFont="1" applyFill="1" applyBorder="1" applyAlignment="1">
      <alignment horizontal="center" vertical="center" wrapText="1"/>
    </xf>
    <xf numFmtId="0" fontId="25" fillId="7" borderId="25" xfId="5" applyFont="1" applyFill="1" applyBorder="1" applyAlignment="1">
      <alignment horizontal="center" vertical="center" wrapText="1"/>
    </xf>
    <xf numFmtId="0" fontId="4" fillId="0" borderId="0" xfId="5" applyFont="1"/>
    <xf numFmtId="0" fontId="1" fillId="0" borderId="9" xfId="5" applyFont="1" applyBorder="1" applyAlignment="1">
      <alignment horizontal="center" vertical="top" wrapText="1"/>
    </xf>
    <xf numFmtId="0" fontId="1" fillId="0" borderId="3" xfId="5" applyFont="1" applyBorder="1" applyAlignment="1">
      <alignment horizontal="left" vertical="top" wrapText="1"/>
    </xf>
    <xf numFmtId="3" fontId="1" fillId="0" borderId="3" xfId="5" applyNumberFormat="1" applyFont="1" applyBorder="1" applyAlignment="1">
      <alignment horizontal="right" vertical="top" wrapText="1"/>
    </xf>
    <xf numFmtId="3" fontId="1" fillId="7" borderId="31" xfId="5" applyNumberFormat="1" applyFont="1" applyFill="1" applyBorder="1" applyAlignment="1">
      <alignment horizontal="right" vertical="top" wrapText="1"/>
    </xf>
    <xf numFmtId="0" fontId="1" fillId="0" borderId="11" xfId="5" applyFont="1" applyBorder="1" applyAlignment="1">
      <alignment horizontal="center" vertical="top" wrapText="1"/>
    </xf>
    <xf numFmtId="0" fontId="1" fillId="0" borderId="1" xfId="5" applyFont="1" applyBorder="1" applyAlignment="1">
      <alignment horizontal="left" vertical="top" wrapText="1"/>
    </xf>
    <xf numFmtId="3" fontId="1" fillId="0" borderId="1" xfId="5" applyNumberFormat="1" applyFont="1" applyBorder="1" applyAlignment="1">
      <alignment horizontal="right" vertical="top" wrapText="1"/>
    </xf>
    <xf numFmtId="3" fontId="1" fillId="7" borderId="32" xfId="5" applyNumberFormat="1" applyFont="1" applyFill="1" applyBorder="1" applyAlignment="1">
      <alignment horizontal="right" vertical="top" wrapText="1"/>
    </xf>
    <xf numFmtId="3" fontId="1" fillId="0" borderId="0" xfId="5" applyNumberFormat="1" applyFont="1"/>
    <xf numFmtId="0" fontId="4" fillId="0" borderId="1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left" vertical="top" wrapText="1"/>
    </xf>
    <xf numFmtId="3" fontId="4" fillId="0" borderId="1" xfId="5" applyNumberFormat="1" applyFont="1" applyBorder="1" applyAlignment="1">
      <alignment horizontal="right" vertical="top" wrapText="1"/>
    </xf>
    <xf numFmtId="3" fontId="4" fillId="7" borderId="32" xfId="5" applyNumberFormat="1" applyFont="1" applyFill="1" applyBorder="1" applyAlignment="1">
      <alignment horizontal="right" vertical="top" wrapText="1"/>
    </xf>
    <xf numFmtId="3" fontId="14" fillId="0" borderId="0" xfId="5" applyNumberFormat="1" applyFont="1"/>
    <xf numFmtId="3" fontId="1" fillId="0" borderId="1" xfId="5" applyNumberFormat="1" applyFont="1" applyBorder="1" applyAlignment="1">
      <alignment horizontal="right" vertical="center" wrapText="1"/>
    </xf>
    <xf numFmtId="3" fontId="1" fillId="7" borderId="32" xfId="5" applyNumberFormat="1" applyFont="1" applyFill="1" applyBorder="1" applyAlignment="1">
      <alignment horizontal="right" vertical="center" wrapText="1"/>
    </xf>
    <xf numFmtId="0" fontId="4" fillId="0" borderId="13" xfId="5" applyFont="1" applyBorder="1" applyAlignment="1">
      <alignment horizontal="center" vertical="top" wrapText="1"/>
    </xf>
    <xf numFmtId="0" fontId="4" fillId="0" borderId="8" xfId="5" applyFont="1" applyBorder="1" applyAlignment="1">
      <alignment horizontal="left" vertical="top" wrapText="1"/>
    </xf>
    <xf numFmtId="3" fontId="4" fillId="0" borderId="8" xfId="5" applyNumberFormat="1" applyFont="1" applyBorder="1" applyAlignment="1">
      <alignment horizontal="right" vertical="top" wrapText="1"/>
    </xf>
    <xf numFmtId="3" fontId="4" fillId="7" borderId="33" xfId="5" applyNumberFormat="1" applyFont="1" applyFill="1" applyBorder="1" applyAlignment="1">
      <alignment horizontal="right" vertical="top" wrapText="1"/>
    </xf>
    <xf numFmtId="0" fontId="25" fillId="7" borderId="1" xfId="5" applyFont="1" applyFill="1" applyBorder="1" applyAlignment="1">
      <alignment horizontal="center" vertical="top" wrapText="1"/>
    </xf>
    <xf numFmtId="0" fontId="25" fillId="7" borderId="1" xfId="5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top" wrapText="1"/>
    </xf>
    <xf numFmtId="0" fontId="4" fillId="0" borderId="1" xfId="5" applyFont="1" applyBorder="1" applyAlignment="1">
      <alignment horizontal="center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0" fontId="1" fillId="0" borderId="1" xfId="5" applyFont="1" applyBorder="1" applyAlignment="1">
      <alignment horizontal="center" vertical="center" wrapText="1"/>
    </xf>
    <xf numFmtId="3" fontId="1" fillId="0" borderId="1" xfId="5" applyNumberFormat="1" applyFont="1" applyFill="1" applyBorder="1" applyAlignment="1">
      <alignment horizontal="right" vertical="top" wrapText="1"/>
    </xf>
    <xf numFmtId="0" fontId="25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19" fillId="0" borderId="0" xfId="7" applyFont="1" applyAlignment="1">
      <alignment vertical="center"/>
    </xf>
    <xf numFmtId="0" fontId="1" fillId="0" borderId="0" xfId="7" applyFont="1" applyAlignment="1">
      <alignment horizontal="right" vertical="center"/>
    </xf>
    <xf numFmtId="3" fontId="19" fillId="0" borderId="0" xfId="7" applyNumberFormat="1" applyFont="1" applyAlignment="1">
      <alignment vertical="center"/>
    </xf>
    <xf numFmtId="3" fontId="17" fillId="0" borderId="0" xfId="0" applyNumberFormat="1" applyFont="1" applyAlignment="1"/>
    <xf numFmtId="0" fontId="20" fillId="0" borderId="0" xfId="7" applyFont="1" applyAlignment="1">
      <alignment horizontal="right" vertical="center"/>
    </xf>
    <xf numFmtId="0" fontId="1" fillId="0" borderId="13" xfId="7" applyFont="1" applyBorder="1" applyAlignment="1">
      <alignment horizontal="center" vertical="center" wrapText="1"/>
    </xf>
    <xf numFmtId="0" fontId="1" fillId="0" borderId="8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31" fillId="0" borderId="3" xfId="7" applyFont="1" applyBorder="1" applyAlignment="1">
      <alignment horizontal="left" vertical="center" wrapText="1"/>
    </xf>
    <xf numFmtId="3" fontId="4" fillId="0" borderId="3" xfId="7" applyNumberFormat="1" applyFont="1" applyBorder="1" applyAlignment="1">
      <alignment horizontal="right" vertical="center" wrapText="1"/>
    </xf>
    <xf numFmtId="0" fontId="1" fillId="0" borderId="1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" fillId="0" borderId="1" xfId="7" applyNumberFormat="1" applyFont="1" applyBorder="1" applyAlignment="1">
      <alignment horizontal="right" vertical="center" wrapText="1"/>
    </xf>
    <xf numFmtId="0" fontId="31" fillId="0" borderId="1" xfId="7" applyFont="1" applyBorder="1" applyAlignment="1">
      <alignment horizontal="left" vertical="center" wrapText="1"/>
    </xf>
    <xf numFmtId="0" fontId="31" fillId="0" borderId="1" xfId="7" applyFont="1" applyBorder="1" applyAlignment="1">
      <alignment vertical="center" wrapText="1"/>
    </xf>
    <xf numFmtId="0" fontId="53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3" fontId="4" fillId="0" borderId="1" xfId="7" applyNumberFormat="1" applyFont="1" applyFill="1" applyBorder="1" applyAlignment="1">
      <alignment horizontal="right" vertical="center" wrapText="1"/>
    </xf>
    <xf numFmtId="3" fontId="55" fillId="0" borderId="0" xfId="7" applyNumberFormat="1" applyFont="1" applyFill="1" applyAlignment="1">
      <alignment vertical="center"/>
    </xf>
    <xf numFmtId="3" fontId="19" fillId="0" borderId="0" xfId="7" applyNumberFormat="1" applyFont="1" applyFill="1" applyAlignment="1">
      <alignment vertical="center"/>
    </xf>
    <xf numFmtId="0" fontId="19" fillId="0" borderId="0" xfId="7" applyFont="1" applyFill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3" fontId="1" fillId="0" borderId="1" xfId="7" applyNumberFormat="1" applyFont="1" applyFill="1" applyBorder="1" applyAlignment="1">
      <alignment horizontal="right" vertical="center" wrapText="1"/>
    </xf>
    <xf numFmtId="0" fontId="31" fillId="0" borderId="1" xfId="7" applyFont="1" applyFill="1" applyBorder="1" applyAlignment="1">
      <alignment horizontal="left" vertical="center" wrapText="1"/>
    </xf>
    <xf numFmtId="3" fontId="14" fillId="0" borderId="1" xfId="7" applyNumberFormat="1" applyFont="1" applyFill="1" applyBorder="1" applyAlignment="1">
      <alignment horizontal="right" vertical="center" wrapText="1"/>
    </xf>
    <xf numFmtId="3" fontId="15" fillId="0" borderId="1" xfId="7" applyNumberFormat="1" applyFont="1" applyFill="1" applyBorder="1" applyAlignment="1">
      <alignment horizontal="right" vertical="center" wrapText="1"/>
    </xf>
    <xf numFmtId="0" fontId="54" fillId="0" borderId="1" xfId="7" applyFont="1" applyBorder="1" applyAlignment="1">
      <alignment horizontal="left" vertical="center" wrapText="1"/>
    </xf>
    <xf numFmtId="3" fontId="56" fillId="0" borderId="1" xfId="7" applyNumberFormat="1" applyFont="1" applyBorder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top" wrapText="1"/>
    </xf>
    <xf numFmtId="3" fontId="54" fillId="0" borderId="1" xfId="7" applyNumberFormat="1" applyFont="1" applyBorder="1" applyAlignment="1">
      <alignment horizontal="right" vertical="center" wrapText="1"/>
    </xf>
    <xf numFmtId="0" fontId="4" fillId="0" borderId="1" xfId="7" applyFont="1" applyBorder="1" applyAlignment="1">
      <alignment horizontal="justify" vertical="center" wrapText="1"/>
    </xf>
    <xf numFmtId="3" fontId="56" fillId="0" borderId="1" xfId="7" applyNumberFormat="1" applyFont="1" applyFill="1" applyBorder="1" applyAlignment="1">
      <alignment horizontal="right" vertical="center" wrapText="1"/>
    </xf>
    <xf numFmtId="0" fontId="53" fillId="0" borderId="1" xfId="7" applyFont="1" applyBorder="1" applyAlignment="1">
      <alignment horizontal="left" vertical="center" wrapText="1"/>
    </xf>
    <xf numFmtId="0" fontId="1" fillId="0" borderId="1" xfId="7" applyFont="1" applyBorder="1" applyAlignment="1">
      <alignment horizontal="justify" vertical="center" wrapText="1"/>
    </xf>
    <xf numFmtId="3" fontId="56" fillId="0" borderId="0" xfId="7" applyNumberFormat="1" applyFont="1" applyFill="1" applyBorder="1" applyAlignment="1">
      <alignment vertical="center" wrapText="1"/>
    </xf>
    <xf numFmtId="0" fontId="12" fillId="0" borderId="1" xfId="7" applyFont="1" applyBorder="1" applyAlignment="1">
      <alignment horizontal="left" vertical="center" wrapText="1"/>
    </xf>
    <xf numFmtId="0" fontId="57" fillId="0" borderId="1" xfId="7" applyFont="1" applyBorder="1" applyAlignment="1">
      <alignment horizontal="left" vertical="center" wrapText="1"/>
    </xf>
    <xf numFmtId="0" fontId="58" fillId="0" borderId="1" xfId="7" applyFont="1" applyBorder="1" applyAlignment="1">
      <alignment horizontal="left" vertical="center" wrapText="1"/>
    </xf>
    <xf numFmtId="3" fontId="4" fillId="4" borderId="1" xfId="7" applyNumberFormat="1" applyFont="1" applyFill="1" applyBorder="1" applyAlignment="1">
      <alignment horizontal="right" vertical="center" wrapText="1"/>
    </xf>
    <xf numFmtId="0" fontId="1" fillId="0" borderId="0" xfId="7" applyFont="1" applyAlignment="1">
      <alignment horizontal="justify" vertical="center"/>
    </xf>
    <xf numFmtId="3" fontId="51" fillId="0" borderId="0" xfId="7" applyNumberFormat="1" applyFont="1" applyAlignment="1">
      <alignment horizontal="right" vertical="center"/>
    </xf>
    <xf numFmtId="0" fontId="54" fillId="0" borderId="0" xfId="7" applyFont="1" applyBorder="1" applyAlignment="1">
      <alignment vertical="center"/>
    </xf>
    <xf numFmtId="0" fontId="54" fillId="0" borderId="0" xfId="7" applyFont="1" applyBorder="1" applyAlignment="1">
      <alignment horizontal="right" vertical="center"/>
    </xf>
    <xf numFmtId="0" fontId="4" fillId="0" borderId="6" xfId="7" applyFont="1" applyBorder="1" applyAlignment="1">
      <alignment horizontal="center" vertical="center" wrapText="1"/>
    </xf>
    <xf numFmtId="0" fontId="19" fillId="0" borderId="3" xfId="7" applyFont="1" applyBorder="1" applyAlignment="1">
      <alignment vertical="center"/>
    </xf>
    <xf numFmtId="0" fontId="54" fillId="0" borderId="3" xfId="7" applyFont="1" applyBorder="1" applyAlignment="1">
      <alignment horizontal="left" vertical="center" wrapText="1"/>
    </xf>
    <xf numFmtId="3" fontId="1" fillId="0" borderId="3" xfId="7" applyNumberFormat="1" applyFont="1" applyBorder="1" applyAlignment="1">
      <alignment horizontal="right" vertical="center" wrapText="1"/>
    </xf>
    <xf numFmtId="0" fontId="19" fillId="0" borderId="1" xfId="7" applyFont="1" applyBorder="1" applyAlignment="1">
      <alignment vertical="center"/>
    </xf>
    <xf numFmtId="0" fontId="56" fillId="0" borderId="1" xfId="7" applyFont="1" applyBorder="1" applyAlignment="1">
      <alignment horizontal="left" vertical="center" wrapText="1"/>
    </xf>
    <xf numFmtId="0" fontId="60" fillId="0" borderId="0" xfId="7" applyFont="1" applyAlignment="1">
      <alignment horizontal="left" vertical="center"/>
    </xf>
    <xf numFmtId="0" fontId="59" fillId="0" borderId="0" xfId="7" applyFont="1" applyAlignment="1">
      <alignment horizontal="center" vertical="center"/>
    </xf>
    <xf numFmtId="0" fontId="54" fillId="0" borderId="0" xfId="7" applyFont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4" fillId="0" borderId="1" xfId="7" applyFont="1" applyBorder="1" applyAlignment="1">
      <alignment horizontal="left" vertical="center"/>
    </xf>
    <xf numFmtId="3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7" applyFont="1" applyBorder="1" applyAlignment="1">
      <alignment vertical="center"/>
    </xf>
    <xf numFmtId="0" fontId="1" fillId="0" borderId="16" xfId="7" applyFont="1" applyBorder="1" applyAlignment="1">
      <alignment vertical="center"/>
    </xf>
    <xf numFmtId="0" fontId="1" fillId="0" borderId="1" xfId="7" applyFont="1" applyFill="1" applyBorder="1" applyAlignment="1">
      <alignment vertical="center"/>
    </xf>
    <xf numFmtId="0" fontId="1" fillId="0" borderId="16" xfId="7" applyFont="1" applyFill="1" applyBorder="1" applyAlignment="1">
      <alignment vertical="center"/>
    </xf>
    <xf numFmtId="0" fontId="1" fillId="0" borderId="34" xfId="7" applyFont="1" applyBorder="1" applyAlignment="1">
      <alignment horizontal="center" vertical="center"/>
    </xf>
    <xf numFmtId="0" fontId="1" fillId="0" borderId="0" xfId="7" applyFont="1" applyFill="1" applyBorder="1" applyAlignment="1">
      <alignment horizontal="center" vertical="center"/>
    </xf>
    <xf numFmtId="0" fontId="1" fillId="0" borderId="0" xfId="7" applyFont="1" applyFill="1" applyBorder="1" applyAlignment="1">
      <alignment vertical="center"/>
    </xf>
    <xf numFmtId="3" fontId="1" fillId="0" borderId="0" xfId="3" applyNumberFormat="1" applyFont="1" applyFill="1" applyBorder="1" applyAlignment="1" applyProtection="1">
      <alignment horizontal="center" vertical="center"/>
    </xf>
    <xf numFmtId="3" fontId="19" fillId="0" borderId="0" xfId="7" applyNumberFormat="1" applyFont="1" applyBorder="1" applyAlignment="1">
      <alignment vertical="center"/>
    </xf>
    <xf numFmtId="0" fontId="4" fillId="0" borderId="1" xfId="7" applyFont="1" applyFill="1" applyBorder="1" applyAlignment="1">
      <alignment horizontal="left" vertical="center"/>
    </xf>
    <xf numFmtId="0" fontId="1" fillId="0" borderId="0" xfId="7" applyFont="1" applyFill="1" applyBorder="1" applyAlignment="1">
      <alignment horizontal="left" vertical="center"/>
    </xf>
    <xf numFmtId="0" fontId="1" fillId="0" borderId="1" xfId="7" applyFont="1" applyFill="1" applyBorder="1" applyAlignment="1">
      <alignment horizontal="left" vertical="center"/>
    </xf>
    <xf numFmtId="0" fontId="1" fillId="0" borderId="0" xfId="7" applyFont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Font="1" applyFill="1" applyBorder="1" applyAlignment="1">
      <alignment vertical="center" wrapText="1"/>
    </xf>
    <xf numFmtId="3" fontId="7" fillId="0" borderId="10" xfId="0" applyNumberFormat="1" applyFont="1" applyBorder="1"/>
    <xf numFmtId="3" fontId="7" fillId="0" borderId="12" xfId="0" applyNumberFormat="1" applyFont="1" applyFill="1" applyBorder="1"/>
    <xf numFmtId="0" fontId="6" fillId="0" borderId="11" xfId="0" applyFont="1" applyBorder="1"/>
    <xf numFmtId="3" fontId="6" fillId="0" borderId="12" xfId="0" applyNumberFormat="1" applyFont="1" applyBorder="1"/>
    <xf numFmtId="0" fontId="6" fillId="0" borderId="13" xfId="0" applyFont="1" applyBorder="1"/>
    <xf numFmtId="3" fontId="6" fillId="0" borderId="14" xfId="0" applyNumberFormat="1" applyFont="1" applyBorder="1"/>
    <xf numFmtId="0" fontId="7" fillId="0" borderId="9" xfId="0" applyFont="1" applyBorder="1" applyAlignment="1">
      <alignment horizontal="left" wrapText="1"/>
    </xf>
    <xf numFmtId="0" fontId="0" fillId="0" borderId="11" xfId="0" applyFont="1" applyBorder="1"/>
    <xf numFmtId="3" fontId="0" fillId="0" borderId="12" xfId="0" applyNumberFormat="1" applyFont="1" applyBorder="1"/>
    <xf numFmtId="0" fontId="7" fillId="0" borderId="11" xfId="0" applyFont="1" applyBorder="1" applyAlignment="1">
      <alignment wrapText="1"/>
    </xf>
    <xf numFmtId="0" fontId="0" fillId="0" borderId="0" xfId="0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13" xfId="0" applyBorder="1"/>
    <xf numFmtId="0" fontId="7" fillId="0" borderId="9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3" fontId="11" fillId="0" borderId="12" xfId="0" applyNumberFormat="1" applyFont="1" applyBorder="1"/>
    <xf numFmtId="0" fontId="11" fillId="0" borderId="11" xfId="0" applyFont="1" applyBorder="1" applyAlignment="1">
      <alignment horizontal="left"/>
    </xf>
    <xf numFmtId="3" fontId="0" fillId="0" borderId="12" xfId="0" applyNumberFormat="1" applyFont="1" applyFill="1" applyBorder="1"/>
    <xf numFmtId="3" fontId="1" fillId="0" borderId="3" xfId="5" applyNumberFormat="1" applyFont="1" applyFill="1" applyBorder="1" applyAlignment="1">
      <alignment horizontal="right" vertical="top" wrapText="1"/>
    </xf>
    <xf numFmtId="3" fontId="1" fillId="0" borderId="1" xfId="5" applyNumberFormat="1" applyFont="1" applyFill="1" applyBorder="1" applyAlignment="1">
      <alignment horizontal="right" vertical="center" wrapText="1"/>
    </xf>
    <xf numFmtId="3" fontId="4" fillId="0" borderId="8" xfId="5" applyNumberFormat="1" applyFont="1" applyFill="1" applyBorder="1" applyAlignment="1">
      <alignment horizontal="right" vertical="top" wrapText="1"/>
    </xf>
    <xf numFmtId="3" fontId="26" fillId="0" borderId="7" xfId="0" applyNumberFormat="1" applyFont="1" applyFill="1" applyBorder="1" applyAlignment="1">
      <alignment vertical="center"/>
    </xf>
    <xf numFmtId="3" fontId="0" fillId="0" borderId="14" xfId="0" applyNumberFormat="1" applyFont="1" applyFill="1" applyBorder="1"/>
    <xf numFmtId="3" fontId="37" fillId="7" borderId="35" xfId="0" applyNumberFormat="1" applyFont="1" applyFill="1" applyBorder="1" applyAlignment="1">
      <alignment horizontal="center" vertical="center" wrapText="1"/>
    </xf>
    <xf numFmtId="0" fontId="75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5" fillId="0" borderId="1" xfId="0" applyNumberFormat="1" applyFont="1" applyFill="1" applyBorder="1" applyAlignment="1">
      <alignment horizontal="right"/>
    </xf>
    <xf numFmtId="0" fontId="39" fillId="3" borderId="36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/>
    </xf>
    <xf numFmtId="0" fontId="76" fillId="0" borderId="0" xfId="6" applyFont="1"/>
    <xf numFmtId="0" fontId="76" fillId="6" borderId="0" xfId="6" applyFont="1" applyFill="1"/>
    <xf numFmtId="0" fontId="77" fillId="0" borderId="0" xfId="6" applyFont="1" applyAlignment="1"/>
    <xf numFmtId="0" fontId="77" fillId="0" borderId="0" xfId="6" applyFont="1" applyAlignment="1">
      <alignment wrapText="1"/>
    </xf>
    <xf numFmtId="0" fontId="77" fillId="0" borderId="0" xfId="6" applyFont="1"/>
    <xf numFmtId="0" fontId="78" fillId="5" borderId="8" xfId="6" applyFont="1" applyFill="1" applyBorder="1" applyAlignment="1">
      <alignment horizontal="center"/>
    </xf>
    <xf numFmtId="0" fontId="78" fillId="5" borderId="14" xfId="6" applyFont="1" applyFill="1" applyBorder="1" applyAlignment="1">
      <alignment horizontal="center"/>
    </xf>
    <xf numFmtId="0" fontId="79" fillId="0" borderId="3" xfId="6" applyFont="1" applyFill="1" applyBorder="1"/>
    <xf numFmtId="3" fontId="80" fillId="0" borderId="3" xfId="6" applyNumberFormat="1" applyFont="1" applyFill="1" applyBorder="1" applyAlignment="1">
      <alignment horizontal="right"/>
    </xf>
    <xf numFmtId="3" fontId="75" fillId="0" borderId="0" xfId="6" applyNumberFormat="1" applyFont="1"/>
    <xf numFmtId="3" fontId="80" fillId="0" borderId="1" xfId="6" applyNumberFormat="1" applyFont="1" applyFill="1" applyBorder="1" applyAlignment="1">
      <alignment horizontal="right"/>
    </xf>
    <xf numFmtId="0" fontId="79" fillId="0" borderId="7" xfId="6" applyFont="1" applyFill="1" applyBorder="1"/>
    <xf numFmtId="3" fontId="80" fillId="0" borderId="2" xfId="6" applyNumberFormat="1" applyFont="1" applyBorder="1" applyAlignment="1">
      <alignment horizontal="right"/>
    </xf>
    <xf numFmtId="3" fontId="80" fillId="0" borderId="2" xfId="6" applyNumberFormat="1" applyFont="1" applyFill="1" applyBorder="1" applyAlignment="1">
      <alignment horizontal="right"/>
    </xf>
    <xf numFmtId="0" fontId="81" fillId="7" borderId="1" xfId="6" applyFont="1" applyFill="1" applyBorder="1"/>
    <xf numFmtId="3" fontId="75" fillId="7" borderId="1" xfId="6" applyNumberFormat="1" applyFont="1" applyFill="1" applyBorder="1" applyAlignment="1">
      <alignment horizontal="right"/>
    </xf>
    <xf numFmtId="0" fontId="81" fillId="8" borderId="1" xfId="6" applyFont="1" applyFill="1" applyBorder="1"/>
    <xf numFmtId="3" fontId="75" fillId="8" borderId="1" xfId="6" applyNumberFormat="1" applyFont="1" applyFill="1" applyBorder="1" applyAlignment="1">
      <alignment horizontal="right"/>
    </xf>
    <xf numFmtId="0" fontId="81" fillId="0" borderId="3" xfId="6" applyFont="1" applyFill="1" applyBorder="1"/>
    <xf numFmtId="3" fontId="75" fillId="0" borderId="3" xfId="6" applyNumberFormat="1" applyFont="1" applyFill="1" applyBorder="1" applyAlignment="1">
      <alignment horizontal="right"/>
    </xf>
    <xf numFmtId="0" fontId="81" fillId="0" borderId="1" xfId="6" applyFont="1" applyFill="1" applyBorder="1"/>
    <xf numFmtId="3" fontId="75" fillId="0" borderId="1" xfId="6" applyNumberFormat="1" applyFont="1" applyFill="1" applyBorder="1" applyAlignment="1">
      <alignment horizontal="right"/>
    </xf>
    <xf numFmtId="3" fontId="75" fillId="0" borderId="0" xfId="6" applyNumberFormat="1" applyFont="1" applyAlignment="1"/>
    <xf numFmtId="0" fontId="82" fillId="0" borderId="1" xfId="6" applyFont="1" applyFill="1" applyBorder="1" applyAlignment="1">
      <alignment wrapText="1"/>
    </xf>
    <xf numFmtId="0" fontId="81" fillId="0" borderId="1" xfId="6" applyFont="1" applyFill="1" applyBorder="1" applyAlignment="1">
      <alignment wrapText="1"/>
    </xf>
    <xf numFmtId="0" fontId="81" fillId="0" borderId="1" xfId="6" applyFont="1" applyFill="1" applyBorder="1" applyAlignment="1">
      <alignment vertical="center" wrapText="1"/>
    </xf>
    <xf numFmtId="0" fontId="81" fillId="7" borderId="1" xfId="6" applyFont="1" applyFill="1" applyBorder="1" applyAlignment="1">
      <alignment vertical="center" wrapText="1"/>
    </xf>
    <xf numFmtId="3" fontId="78" fillId="7" borderId="1" xfId="6" applyNumberFormat="1" applyFont="1" applyFill="1" applyBorder="1" applyAlignment="1">
      <alignment horizontal="right"/>
    </xf>
    <xf numFmtId="0" fontId="81" fillId="8" borderId="2" xfId="6" applyFont="1" applyFill="1" applyBorder="1" applyAlignment="1">
      <alignment wrapText="1"/>
    </xf>
    <xf numFmtId="3" fontId="75" fillId="8" borderId="2" xfId="6" applyNumberFormat="1" applyFont="1" applyFill="1" applyBorder="1" applyAlignment="1">
      <alignment horizontal="right"/>
    </xf>
    <xf numFmtId="3" fontId="80" fillId="8" borderId="2" xfId="6" applyNumberFormat="1" applyFont="1" applyFill="1" applyBorder="1" applyAlignment="1">
      <alignment horizontal="right"/>
    </xf>
    <xf numFmtId="0" fontId="77" fillId="7" borderId="4" xfId="6" applyFont="1" applyFill="1" applyBorder="1"/>
    <xf numFmtId="3" fontId="81" fillId="7" borderId="5" xfId="6" applyNumberFormat="1" applyFont="1" applyFill="1" applyBorder="1" applyAlignment="1">
      <alignment horizontal="right"/>
    </xf>
    <xf numFmtId="3" fontId="81" fillId="7" borderId="6" xfId="6" applyNumberFormat="1" applyFont="1" applyFill="1" applyBorder="1" applyAlignment="1">
      <alignment horizontal="right"/>
    </xf>
    <xf numFmtId="3" fontId="76" fillId="0" borderId="0" xfId="6" applyNumberFormat="1" applyFont="1"/>
    <xf numFmtId="0" fontId="83" fillId="0" borderId="3" xfId="6" applyFont="1" applyBorder="1" applyAlignment="1">
      <alignment wrapText="1"/>
    </xf>
    <xf numFmtId="3" fontId="75" fillId="0" borderId="38" xfId="6" applyNumberFormat="1" applyFont="1" applyBorder="1" applyAlignment="1"/>
    <xf numFmtId="3" fontId="75" fillId="0" borderId="39" xfId="6" applyNumberFormat="1" applyFont="1" applyBorder="1" applyAlignment="1"/>
    <xf numFmtId="3" fontId="83" fillId="0" borderId="38" xfId="6" applyNumberFormat="1" applyFont="1" applyBorder="1" applyAlignment="1"/>
    <xf numFmtId="3" fontId="83" fillId="0" borderId="39" xfId="6" applyNumberFormat="1" applyFont="1" applyBorder="1" applyAlignment="1"/>
    <xf numFmtId="3" fontId="83" fillId="0" borderId="3" xfId="6" applyNumberFormat="1" applyFont="1" applyBorder="1" applyAlignment="1">
      <alignment horizontal="center"/>
    </xf>
    <xf numFmtId="0" fontId="81" fillId="0" borderId="1" xfId="6" applyFont="1" applyBorder="1"/>
    <xf numFmtId="3" fontId="78" fillId="0" borderId="17" xfId="6" applyNumberFormat="1" applyFont="1" applyBorder="1" applyAlignment="1"/>
    <xf numFmtId="3" fontId="78" fillId="0" borderId="16" xfId="6" applyNumberFormat="1" applyFont="1" applyBorder="1" applyAlignment="1"/>
    <xf numFmtId="3" fontId="81" fillId="0" borderId="1" xfId="6" applyNumberFormat="1" applyFont="1" applyBorder="1" applyAlignment="1">
      <alignment horizontal="center"/>
    </xf>
    <xf numFmtId="3" fontId="81" fillId="0" borderId="17" xfId="6" applyNumberFormat="1" applyFont="1" applyBorder="1" applyAlignment="1"/>
    <xf numFmtId="3" fontId="81" fillId="0" borderId="16" xfId="6" applyNumberFormat="1" applyFont="1" applyBorder="1" applyAlignment="1"/>
    <xf numFmtId="0" fontId="75" fillId="0" borderId="0" xfId="6" applyFont="1"/>
    <xf numFmtId="0" fontId="83" fillId="0" borderId="1" xfId="6" applyFont="1" applyBorder="1"/>
    <xf numFmtId="3" fontId="75" fillId="0" borderId="17" xfId="6" applyNumberFormat="1" applyFont="1" applyBorder="1" applyAlignment="1"/>
    <xf numFmtId="3" fontId="75" fillId="0" borderId="16" xfId="6" applyNumberFormat="1" applyFont="1" applyBorder="1" applyAlignment="1"/>
    <xf numFmtId="3" fontId="83" fillId="0" borderId="1" xfId="6" applyNumberFormat="1" applyFont="1" applyBorder="1" applyAlignment="1">
      <alignment horizontal="center"/>
    </xf>
    <xf numFmtId="3" fontId="83" fillId="0" borderId="17" xfId="6" applyNumberFormat="1" applyFont="1" applyBorder="1" applyAlignment="1"/>
    <xf numFmtId="3" fontId="83" fillId="0" borderId="16" xfId="6" applyNumberFormat="1" applyFont="1" applyBorder="1" applyAlignment="1"/>
    <xf numFmtId="3" fontId="83" fillId="0" borderId="0" xfId="6" applyNumberFormat="1" applyFont="1"/>
    <xf numFmtId="3" fontId="84" fillId="0" borderId="0" xfId="6" applyNumberFormat="1" applyFont="1"/>
    <xf numFmtId="0" fontId="75" fillId="0" borderId="0" xfId="6" applyFont="1" applyAlignment="1">
      <alignment wrapText="1"/>
    </xf>
    <xf numFmtId="3" fontId="78" fillId="0" borderId="0" xfId="6" applyNumberFormat="1" applyFont="1" applyBorder="1"/>
    <xf numFmtId="0" fontId="78" fillId="0" borderId="0" xfId="6" applyFont="1" applyAlignment="1">
      <alignment wrapText="1"/>
    </xf>
    <xf numFmtId="3" fontId="78" fillId="0" borderId="27" xfId="6" applyNumberFormat="1" applyFont="1" applyBorder="1" applyAlignment="1"/>
    <xf numFmtId="3" fontId="78" fillId="0" borderId="25" xfId="6" applyNumberFormat="1" applyFont="1" applyBorder="1" applyAlignment="1"/>
    <xf numFmtId="3" fontId="78" fillId="0" borderId="24" xfId="6" applyNumberFormat="1" applyFont="1" applyBorder="1" applyAlignme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0" fontId="47" fillId="0" borderId="0" xfId="0" applyFont="1" applyFill="1" applyBorder="1"/>
    <xf numFmtId="3" fontId="18" fillId="0" borderId="0" xfId="0" applyNumberFormat="1" applyFont="1" applyFill="1"/>
    <xf numFmtId="3" fontId="3" fillId="0" borderId="2" xfId="0" applyNumberFormat="1" applyFont="1" applyFill="1" applyBorder="1" applyAlignment="1"/>
    <xf numFmtId="3" fontId="85" fillId="0" borderId="1" xfId="0" applyNumberFormat="1" applyFont="1" applyFill="1" applyBorder="1" applyAlignment="1">
      <alignment horizontal="right"/>
    </xf>
    <xf numFmtId="0" fontId="1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/>
    <xf numFmtId="0" fontId="2" fillId="5" borderId="2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1" xfId="0" applyFont="1" applyBorder="1"/>
    <xf numFmtId="0" fontId="1" fillId="0" borderId="11" xfId="0" applyFont="1" applyBorder="1"/>
    <xf numFmtId="0" fontId="31" fillId="0" borderId="11" xfId="0" applyFont="1" applyBorder="1"/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/>
    <xf numFmtId="0" fontId="42" fillId="0" borderId="0" xfId="0" applyFont="1"/>
    <xf numFmtId="0" fontId="1" fillId="0" borderId="40" xfId="0" applyFont="1" applyBorder="1"/>
    <xf numFmtId="0" fontId="1" fillId="5" borderId="27" xfId="0" applyFont="1" applyFill="1" applyBorder="1"/>
    <xf numFmtId="3" fontId="8" fillId="5" borderId="5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/>
    <xf numFmtId="3" fontId="1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8" fillId="5" borderId="4" xfId="0" applyFont="1" applyFill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3" fontId="2" fillId="0" borderId="10" xfId="0" applyNumberFormat="1" applyFont="1" applyBorder="1" applyAlignment="1">
      <alignment vertical="center"/>
    </xf>
    <xf numFmtId="3" fontId="3" fillId="0" borderId="12" xfId="0" applyNumberFormat="1" applyFont="1" applyBorder="1" applyAlignment="1"/>
    <xf numFmtId="3" fontId="1" fillId="0" borderId="12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1" fillId="0" borderId="12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3" fillId="0" borderId="12" xfId="0" applyNumberFormat="1" applyFont="1" applyFill="1" applyBorder="1" applyAlignment="1">
      <alignment horizontal="right"/>
    </xf>
    <xf numFmtId="3" fontId="12" fillId="0" borderId="12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1" fillId="0" borderId="0" xfId="0" applyNumberFormat="1" applyFont="1" applyFill="1"/>
    <xf numFmtId="3" fontId="1" fillId="0" borderId="7" xfId="0" applyNumberFormat="1" applyFont="1" applyFill="1" applyBorder="1" applyAlignment="1"/>
    <xf numFmtId="3" fontId="1" fillId="0" borderId="18" xfId="0" applyNumberFormat="1" applyFont="1" applyFill="1" applyBorder="1" applyAlignment="1"/>
    <xf numFmtId="3" fontId="8" fillId="5" borderId="41" xfId="0" applyNumberFormat="1" applyFont="1" applyFill="1" applyBorder="1" applyAlignment="1"/>
    <xf numFmtId="3" fontId="18" fillId="0" borderId="0" xfId="0" applyNumberFormat="1" applyFont="1" applyBorder="1"/>
    <xf numFmtId="3" fontId="1" fillId="9" borderId="1" xfId="0" applyNumberFormat="1" applyFont="1" applyFill="1" applyBorder="1" applyAlignment="1"/>
    <xf numFmtId="0" fontId="2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5" borderId="41" xfId="0" applyFont="1" applyFill="1" applyBorder="1" applyAlignment="1">
      <alignment horizontal="center" vertical="center" wrapText="1"/>
    </xf>
    <xf numFmtId="3" fontId="8" fillId="5" borderId="41" xfId="0" applyNumberFormat="1" applyFont="1" applyFill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0" fontId="11" fillId="6" borderId="0" xfId="0" applyFont="1" applyFill="1" applyBorder="1"/>
    <xf numFmtId="3" fontId="23" fillId="0" borderId="0" xfId="0" applyNumberFormat="1" applyFont="1" applyAlignment="1"/>
    <xf numFmtId="0" fontId="11" fillId="9" borderId="19" xfId="0" applyFont="1" applyFill="1" applyBorder="1"/>
    <xf numFmtId="3" fontId="14" fillId="0" borderId="0" xfId="0" applyNumberFormat="1" applyFont="1" applyFill="1"/>
    <xf numFmtId="0" fontId="74" fillId="6" borderId="0" xfId="0" applyFont="1" applyFill="1" applyAlignment="1">
      <alignment horizontal="center"/>
    </xf>
    <xf numFmtId="3" fontId="23" fillId="9" borderId="24" xfId="0" applyNumberFormat="1" applyFont="1" applyFill="1" applyBorder="1"/>
    <xf numFmtId="3" fontId="1" fillId="9" borderId="1" xfId="0" applyNumberFormat="1" applyFont="1" applyFill="1" applyBorder="1" applyAlignment="1">
      <alignment horizontal="right" vertical="center"/>
    </xf>
    <xf numFmtId="3" fontId="21" fillId="0" borderId="3" xfId="0" applyNumberFormat="1" applyFont="1" applyFill="1" applyBorder="1" applyAlignment="1">
      <alignment horizontal="right"/>
    </xf>
    <xf numFmtId="3" fontId="1" fillId="9" borderId="25" xfId="0" applyNumberFormat="1" applyFont="1" applyFill="1" applyBorder="1" applyAlignment="1">
      <alignment horizontal="right"/>
    </xf>
    <xf numFmtId="3" fontId="0" fillId="0" borderId="0" xfId="0" applyNumberFormat="1" applyFill="1"/>
    <xf numFmtId="3" fontId="30" fillId="0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85" fillId="9" borderId="1" xfId="0" applyNumberFormat="1" applyFont="1" applyFill="1" applyBorder="1" applyAlignment="1">
      <alignment horizontal="right"/>
    </xf>
    <xf numFmtId="3" fontId="1" fillId="10" borderId="0" xfId="0" applyNumberFormat="1" applyFont="1" applyFill="1"/>
    <xf numFmtId="0" fontId="1" fillId="10" borderId="1" xfId="0" applyFont="1" applyFill="1" applyBorder="1"/>
    <xf numFmtId="0" fontId="21" fillId="6" borderId="0" xfId="0" applyFont="1" applyFill="1" applyBorder="1"/>
    <xf numFmtId="3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21" fillId="0" borderId="3" xfId="0" applyNumberFormat="1" applyFont="1" applyFill="1" applyBorder="1" applyAlignment="1"/>
    <xf numFmtId="3" fontId="1" fillId="0" borderId="2" xfId="0" applyNumberFormat="1" applyFont="1" applyFill="1" applyBorder="1"/>
    <xf numFmtId="3" fontId="16" fillId="0" borderId="5" xfId="0" applyNumberFormat="1" applyFont="1" applyFill="1" applyBorder="1"/>
    <xf numFmtId="0" fontId="24" fillId="8" borderId="1" xfId="0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3" fontId="1" fillId="0" borderId="0" xfId="0" applyNumberFormat="1" applyFont="1" applyBorder="1" applyAlignment="1"/>
    <xf numFmtId="3" fontId="3" fillId="0" borderId="0" xfId="0" applyNumberFormat="1" applyFont="1" applyBorder="1" applyAlignme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16" fillId="0" borderId="0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3" fontId="20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7" fillId="0" borderId="18" xfId="0" applyNumberFormat="1" applyFont="1" applyFill="1" applyBorder="1"/>
    <xf numFmtId="3" fontId="7" fillId="0" borderId="0" xfId="0" applyNumberFormat="1" applyFont="1" applyFill="1" applyBorder="1"/>
    <xf numFmtId="0" fontId="0" fillId="0" borderId="0" xfId="0" applyFill="1" applyBorder="1"/>
    <xf numFmtId="0" fontId="20" fillId="0" borderId="0" xfId="0" applyFont="1" applyBorder="1"/>
    <xf numFmtId="3" fontId="20" fillId="0" borderId="0" xfId="0" applyNumberFormat="1" applyFont="1" applyBorder="1"/>
    <xf numFmtId="3" fontId="31" fillId="0" borderId="5" xfId="0" applyNumberFormat="1" applyFont="1" applyFill="1" applyBorder="1" applyAlignment="1">
      <alignment horizontal="right"/>
    </xf>
    <xf numFmtId="0" fontId="3" fillId="11" borderId="1" xfId="0" applyFont="1" applyFill="1" applyBorder="1"/>
    <xf numFmtId="3" fontId="2" fillId="11" borderId="1" xfId="0" applyNumberFormat="1" applyFont="1" applyFill="1" applyBorder="1" applyAlignment="1"/>
    <xf numFmtId="3" fontId="3" fillId="11" borderId="1" xfId="0" applyNumberFormat="1" applyFont="1" applyFill="1" applyBorder="1" applyAlignment="1">
      <alignment horizontal="right"/>
    </xf>
    <xf numFmtId="3" fontId="86" fillId="0" borderId="0" xfId="0" applyNumberFormat="1" applyFont="1" applyFill="1"/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" fontId="87" fillId="0" borderId="0" xfId="0" applyNumberFormat="1" applyFont="1"/>
    <xf numFmtId="3" fontId="8" fillId="5" borderId="41" xfId="0" applyNumberFormat="1" applyFont="1" applyFill="1" applyBorder="1" applyAlignment="1">
      <alignment horizontal="right"/>
    </xf>
    <xf numFmtId="3" fontId="31" fillId="9" borderId="25" xfId="0" applyNumberFormat="1" applyFont="1" applyFill="1" applyBorder="1" applyAlignment="1">
      <alignment horizontal="right"/>
    </xf>
    <xf numFmtId="3" fontId="30" fillId="0" borderId="0" xfId="0" applyNumberFormat="1" applyFont="1" applyFill="1" applyAlignment="1">
      <alignment horizontal="center"/>
    </xf>
    <xf numFmtId="3" fontId="37" fillId="3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3" fontId="88" fillId="0" borderId="0" xfId="0" applyNumberFormat="1" applyFont="1" applyFill="1" applyAlignment="1">
      <alignment horizontal="center"/>
    </xf>
    <xf numFmtId="0" fontId="71" fillId="0" borderId="0" xfId="0" applyFont="1" applyFill="1"/>
    <xf numFmtId="3" fontId="71" fillId="0" borderId="0" xfId="1" applyNumberFormat="1" applyFont="1" applyFill="1"/>
    <xf numFmtId="3" fontId="1" fillId="0" borderId="2" xfId="0" applyNumberFormat="1" applyFont="1" applyFill="1" applyBorder="1" applyAlignment="1">
      <alignment wrapText="1"/>
    </xf>
    <xf numFmtId="3" fontId="1" fillId="0" borderId="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1" fontId="3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1" fontId="37" fillId="7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/>
    </xf>
    <xf numFmtId="3" fontId="4" fillId="0" borderId="42" xfId="0" applyNumberFormat="1" applyFont="1" applyFill="1" applyBorder="1" applyAlignment="1">
      <alignment vertical="center"/>
    </xf>
    <xf numFmtId="3" fontId="4" fillId="0" borderId="7" xfId="2" applyNumberFormat="1" applyFont="1" applyFill="1" applyBorder="1" applyAlignment="1">
      <alignment horizontal="right" vertical="center"/>
    </xf>
    <xf numFmtId="3" fontId="1" fillId="0" borderId="7" xfId="2" applyNumberFormat="1" applyFont="1" applyFill="1" applyBorder="1" applyAlignment="1">
      <alignment horizontal="right" vertical="center"/>
    </xf>
    <xf numFmtId="3" fontId="1" fillId="8" borderId="7" xfId="0" applyNumberFormat="1" applyFont="1" applyFill="1" applyBorder="1" applyAlignment="1">
      <alignment horizontal="right" vertical="center" wrapText="1"/>
    </xf>
    <xf numFmtId="3" fontId="2" fillId="7" borderId="6" xfId="0" applyNumberFormat="1" applyFont="1" applyFill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3" fontId="85" fillId="0" borderId="0" xfId="0" applyNumberFormat="1" applyFont="1"/>
    <xf numFmtId="0" fontId="4" fillId="0" borderId="11" xfId="0" applyFont="1" applyFill="1" applyBorder="1"/>
    <xf numFmtId="3" fontId="3" fillId="0" borderId="12" xfId="0" applyNumberFormat="1" applyFont="1" applyFill="1" applyBorder="1" applyAlignment="1"/>
    <xf numFmtId="0" fontId="1" fillId="0" borderId="11" xfId="0" applyFont="1" applyFill="1" applyBorder="1"/>
    <xf numFmtId="0" fontId="1" fillId="0" borderId="43" xfId="0" applyFont="1" applyFill="1" applyBorder="1"/>
    <xf numFmtId="3" fontId="1" fillId="0" borderId="12" xfId="0" applyNumberFormat="1" applyFont="1" applyFill="1" applyBorder="1" applyAlignment="1">
      <alignment horizontal="right" vertical="center"/>
    </xf>
    <xf numFmtId="0" fontId="1" fillId="0" borderId="9" xfId="0" applyFont="1" applyFill="1" applyBorder="1"/>
    <xf numFmtId="0" fontId="4" fillId="0" borderId="1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1" fillId="0" borderId="11" xfId="0" applyFont="1" applyFill="1" applyBorder="1"/>
    <xf numFmtId="3" fontId="21" fillId="6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3" fontId="21" fillId="2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21" fillId="6" borderId="0" xfId="0" applyNumberFormat="1" applyFont="1" applyFill="1" applyAlignment="1">
      <alignment horizontal="right"/>
    </xf>
    <xf numFmtId="0" fontId="1" fillId="0" borderId="16" xfId="0" applyFont="1" applyFill="1" applyBorder="1"/>
    <xf numFmtId="0" fontId="4" fillId="0" borderId="0" xfId="0" applyFont="1" applyAlignment="1">
      <alignment vertical="center"/>
    </xf>
    <xf numFmtId="0" fontId="21" fillId="6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1" fillId="0" borderId="11" xfId="0" applyNumberFormat="1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vertical="center"/>
    </xf>
    <xf numFmtId="3" fontId="1" fillId="0" borderId="40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16" fillId="8" borderId="4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3" fontId="14" fillId="0" borderId="18" xfId="0" applyNumberFormat="1" applyFont="1" applyBorder="1" applyAlignment="1">
      <alignment wrapText="1"/>
    </xf>
    <xf numFmtId="0" fontId="1" fillId="0" borderId="7" xfId="0" applyFont="1" applyFill="1" applyBorder="1"/>
    <xf numFmtId="0" fontId="21" fillId="0" borderId="16" xfId="0" applyFont="1" applyBorder="1"/>
    <xf numFmtId="0" fontId="21" fillId="0" borderId="16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0" fontId="1" fillId="6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center"/>
    </xf>
    <xf numFmtId="3" fontId="11" fillId="10" borderId="0" xfId="0" applyNumberFormat="1" applyFont="1" applyFill="1"/>
    <xf numFmtId="0" fontId="24" fillId="7" borderId="24" xfId="0" applyFont="1" applyFill="1" applyBorder="1" applyAlignment="1">
      <alignment vertical="center" wrapText="1"/>
    </xf>
    <xf numFmtId="0" fontId="4" fillId="9" borderId="1" xfId="0" applyFont="1" applyFill="1" applyBorder="1"/>
    <xf numFmtId="0" fontId="14" fillId="0" borderId="1" xfId="0" applyFont="1" applyFill="1" applyBorder="1" applyAlignment="1">
      <alignment wrapText="1"/>
    </xf>
    <xf numFmtId="0" fontId="0" fillId="12" borderId="0" xfId="0" applyFill="1"/>
    <xf numFmtId="3" fontId="23" fillId="12" borderId="0" xfId="0" applyNumberFormat="1" applyFont="1" applyFill="1"/>
    <xf numFmtId="0" fontId="11" fillId="12" borderId="0" xfId="0" applyFont="1" applyFill="1"/>
    <xf numFmtId="3" fontId="47" fillId="12" borderId="0" xfId="0" applyNumberFormat="1" applyFont="1" applyFill="1"/>
    <xf numFmtId="3" fontId="11" fillId="12" borderId="0" xfId="0" applyNumberFormat="1" applyFont="1" applyFill="1"/>
    <xf numFmtId="3" fontId="0" fillId="12" borderId="0" xfId="0" applyNumberFormat="1" applyFill="1"/>
    <xf numFmtId="0" fontId="0" fillId="12" borderId="0" xfId="0" applyFont="1" applyFill="1"/>
    <xf numFmtId="0" fontId="0" fillId="12" borderId="0" xfId="0" applyFill="1" applyAlignment="1"/>
    <xf numFmtId="3" fontId="6" fillId="0" borderId="0" xfId="0" applyNumberFormat="1" applyFont="1"/>
    <xf numFmtId="0" fontId="0" fillId="0" borderId="1" xfId="0" applyFill="1" applyBorder="1"/>
    <xf numFmtId="3" fontId="30" fillId="0" borderId="0" xfId="0" applyNumberFormat="1" applyFont="1" applyFill="1" applyBorder="1" applyAlignment="1">
      <alignment wrapText="1"/>
    </xf>
    <xf numFmtId="0" fontId="30" fillId="0" borderId="0" xfId="0" applyFont="1"/>
    <xf numFmtId="3" fontId="30" fillId="0" borderId="0" xfId="0" applyNumberFormat="1" applyFont="1" applyFill="1" applyBorder="1" applyAlignment="1"/>
    <xf numFmtId="3" fontId="44" fillId="0" borderId="0" xfId="0" applyNumberFormat="1" applyFont="1"/>
    <xf numFmtId="4" fontId="11" fillId="0" borderId="0" xfId="0" applyNumberFormat="1" applyFont="1" applyBorder="1"/>
    <xf numFmtId="3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71" fillId="0" borderId="0" xfId="0" applyNumberFormat="1" applyFont="1"/>
    <xf numFmtId="0" fontId="89" fillId="0" borderId="0" xfId="0" applyFont="1"/>
    <xf numFmtId="3" fontId="1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wrapText="1"/>
    </xf>
    <xf numFmtId="3" fontId="85" fillId="0" borderId="0" xfId="0" applyNumberFormat="1" applyFont="1" applyFill="1"/>
    <xf numFmtId="0" fontId="21" fillId="0" borderId="16" xfId="0" applyFont="1" applyFill="1" applyBorder="1"/>
    <xf numFmtId="3" fontId="1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/>
    </xf>
    <xf numFmtId="0" fontId="64" fillId="6" borderId="0" xfId="12" applyFill="1"/>
    <xf numFmtId="0" fontId="51" fillId="6" borderId="0" xfId="12" applyFont="1" applyFill="1"/>
    <xf numFmtId="3" fontId="64" fillId="0" borderId="0" xfId="12" applyNumberFormat="1"/>
    <xf numFmtId="0" fontId="64" fillId="0" borderId="0" xfId="12"/>
    <xf numFmtId="0" fontId="19" fillId="6" borderId="0" xfId="12" applyFont="1" applyFill="1" applyAlignment="1">
      <alignment horizontal="right"/>
    </xf>
    <xf numFmtId="0" fontId="65" fillId="8" borderId="44" xfId="12" applyFont="1" applyFill="1" applyBorder="1" applyAlignment="1">
      <alignment horizontal="center" vertical="center" wrapText="1"/>
    </xf>
    <xf numFmtId="0" fontId="65" fillId="8" borderId="37" xfId="12" applyFont="1" applyFill="1" applyBorder="1" applyAlignment="1">
      <alignment horizontal="center" vertical="center" wrapText="1"/>
    </xf>
    <xf numFmtId="0" fontId="65" fillId="8" borderId="45" xfId="12" applyFont="1" applyFill="1" applyBorder="1" applyAlignment="1">
      <alignment horizontal="center" vertical="center" wrapText="1"/>
    </xf>
    <xf numFmtId="0" fontId="65" fillId="8" borderId="25" xfId="12" applyFont="1" applyFill="1" applyBorder="1" applyAlignment="1">
      <alignment horizontal="center" vertical="center" wrapText="1"/>
    </xf>
    <xf numFmtId="0" fontId="64" fillId="0" borderId="0" xfId="12" applyAlignment="1">
      <alignment horizontal="center" vertical="center"/>
    </xf>
    <xf numFmtId="3" fontId="66" fillId="0" borderId="0" xfId="12" applyNumberFormat="1" applyFont="1" applyAlignment="1">
      <alignment horizontal="center" vertical="center" wrapText="1"/>
    </xf>
    <xf numFmtId="0" fontId="51" fillId="8" borderId="46" xfId="12" applyFont="1" applyFill="1" applyBorder="1"/>
    <xf numFmtId="3" fontId="64" fillId="0" borderId="31" xfId="12" applyNumberFormat="1" applyBorder="1"/>
    <xf numFmtId="3" fontId="19" fillId="0" borderId="16" xfId="12" applyNumberFormat="1" applyFont="1" applyBorder="1"/>
    <xf numFmtId="3" fontId="19" fillId="0" borderId="3" xfId="12" applyNumberFormat="1" applyFont="1" applyBorder="1"/>
    <xf numFmtId="3" fontId="64" fillId="0" borderId="3" xfId="12" applyNumberFormat="1" applyBorder="1"/>
    <xf numFmtId="3" fontId="64" fillId="0" borderId="47" xfId="12" applyNumberFormat="1" applyBorder="1"/>
    <xf numFmtId="3" fontId="51" fillId="0" borderId="31" xfId="12" applyNumberFormat="1" applyFont="1" applyBorder="1"/>
    <xf numFmtId="3" fontId="64" fillId="0" borderId="28" xfId="12" applyNumberFormat="1" applyBorder="1"/>
    <xf numFmtId="3" fontId="64" fillId="0" borderId="48" xfId="12" applyNumberFormat="1" applyBorder="1"/>
    <xf numFmtId="3" fontId="51" fillId="8" borderId="31" xfId="12" applyNumberFormat="1" applyFont="1" applyFill="1" applyBorder="1"/>
    <xf numFmtId="3" fontId="20" fillId="0" borderId="0" xfId="12" applyNumberFormat="1" applyFont="1"/>
    <xf numFmtId="3" fontId="64" fillId="8" borderId="49" xfId="12" applyNumberFormat="1" applyFill="1" applyBorder="1"/>
    <xf numFmtId="1" fontId="19" fillId="0" borderId="0" xfId="12" applyNumberFormat="1" applyFont="1"/>
    <xf numFmtId="0" fontId="51" fillId="8" borderId="43" xfId="12" applyFont="1" applyFill="1" applyBorder="1"/>
    <xf numFmtId="0" fontId="51" fillId="0" borderId="32" xfId="12" applyFont="1" applyBorder="1"/>
    <xf numFmtId="3" fontId="64" fillId="0" borderId="1" xfId="12" applyNumberFormat="1" applyBorder="1"/>
    <xf numFmtId="3" fontId="20" fillId="0" borderId="32" xfId="12" applyNumberFormat="1" applyFont="1" applyBorder="1"/>
    <xf numFmtId="3" fontId="64" fillId="8" borderId="32" xfId="12" applyNumberFormat="1" applyFill="1" applyBorder="1"/>
    <xf numFmtId="6" fontId="64" fillId="0" borderId="0" xfId="12" applyNumberFormat="1"/>
    <xf numFmtId="0" fontId="67" fillId="0" borderId="0" xfId="12" applyFont="1"/>
    <xf numFmtId="3" fontId="19" fillId="0" borderId="1" xfId="12" applyNumberFormat="1" applyFont="1" applyBorder="1"/>
    <xf numFmtId="3" fontId="51" fillId="0" borderId="32" xfId="12" applyNumberFormat="1" applyFont="1" applyBorder="1"/>
    <xf numFmtId="3" fontId="64" fillId="0" borderId="16" xfId="12" applyNumberFormat="1" applyBorder="1"/>
    <xf numFmtId="3" fontId="51" fillId="8" borderId="32" xfId="12" applyNumberFormat="1" applyFont="1" applyFill="1" applyBorder="1"/>
    <xf numFmtId="0" fontId="51" fillId="8" borderId="17" xfId="12" applyFont="1" applyFill="1" applyBorder="1"/>
    <xf numFmtId="3" fontId="64" fillId="0" borderId="32" xfId="12" applyNumberFormat="1" applyBorder="1"/>
    <xf numFmtId="3" fontId="64" fillId="0" borderId="17" xfId="12" applyNumberFormat="1" applyBorder="1"/>
    <xf numFmtId="0" fontId="51" fillId="8" borderId="32" xfId="12" applyFont="1" applyFill="1" applyBorder="1"/>
    <xf numFmtId="0" fontId="51" fillId="8" borderId="50" xfId="12" applyFont="1" applyFill="1" applyBorder="1"/>
    <xf numFmtId="3" fontId="51" fillId="8" borderId="51" xfId="12" applyNumberFormat="1" applyFont="1" applyFill="1" applyBorder="1"/>
    <xf numFmtId="3" fontId="51" fillId="8" borderId="44" xfId="12" applyNumberFormat="1" applyFont="1" applyFill="1" applyBorder="1"/>
    <xf numFmtId="3" fontId="51" fillId="8" borderId="37" xfId="12" applyNumberFormat="1" applyFont="1" applyFill="1" applyBorder="1"/>
    <xf numFmtId="3" fontId="51" fillId="8" borderId="52" xfId="12" applyNumberFormat="1" applyFont="1" applyFill="1" applyBorder="1"/>
    <xf numFmtId="0" fontId="51" fillId="8" borderId="51" xfId="12" applyFont="1" applyFill="1" applyBorder="1"/>
    <xf numFmtId="3" fontId="51" fillId="8" borderId="45" xfId="12" applyNumberFormat="1" applyFont="1" applyFill="1" applyBorder="1"/>
    <xf numFmtId="3" fontId="66" fillId="8" borderId="51" xfId="12" applyNumberFormat="1" applyFont="1" applyFill="1" applyBorder="1"/>
    <xf numFmtId="3" fontId="51" fillId="8" borderId="33" xfId="12" applyNumberFormat="1" applyFont="1" applyFill="1" applyBorder="1"/>
    <xf numFmtId="3" fontId="19" fillId="0" borderId="0" xfId="12" applyNumberFormat="1" applyFont="1"/>
    <xf numFmtId="0" fontId="51" fillId="0" borderId="0" xfId="12" applyFont="1"/>
    <xf numFmtId="3" fontId="20" fillId="6" borderId="0" xfId="12" applyNumberFormat="1" applyFont="1" applyFill="1"/>
    <xf numFmtId="3" fontId="51" fillId="0" borderId="0" xfId="12" applyNumberFormat="1" applyFont="1"/>
    <xf numFmtId="3" fontId="66" fillId="0" borderId="0" xfId="12" applyNumberFormat="1" applyFont="1"/>
    <xf numFmtId="1" fontId="64" fillId="0" borderId="0" xfId="12" applyNumberFormat="1"/>
    <xf numFmtId="0" fontId="65" fillId="8" borderId="4" xfId="12" applyFont="1" applyFill="1" applyBorder="1" applyAlignment="1">
      <alignment horizontal="center" vertical="center" wrapText="1"/>
    </xf>
    <xf numFmtId="0" fontId="65" fillId="8" borderId="5" xfId="12" applyFont="1" applyFill="1" applyBorder="1" applyAlignment="1">
      <alignment horizontal="center" vertical="center" wrapText="1"/>
    </xf>
    <xf numFmtId="0" fontId="68" fillId="8" borderId="24" xfId="12" applyFont="1" applyFill="1" applyBorder="1" applyAlignment="1">
      <alignment horizontal="center" vertical="center" wrapText="1"/>
    </xf>
    <xf numFmtId="3" fontId="19" fillId="0" borderId="10" xfId="12" applyNumberFormat="1" applyFont="1" applyBorder="1"/>
    <xf numFmtId="3" fontId="20" fillId="0" borderId="10" xfId="12" applyNumberFormat="1" applyFont="1" applyBorder="1"/>
    <xf numFmtId="0" fontId="51" fillId="8" borderId="31" xfId="12" applyFont="1" applyFill="1" applyBorder="1"/>
    <xf numFmtId="3" fontId="19" fillId="0" borderId="9" xfId="12" applyNumberFormat="1" applyFont="1" applyBorder="1"/>
    <xf numFmtId="3" fontId="69" fillId="0" borderId="53" xfId="12" applyNumberFormat="1" applyFont="1" applyBorder="1"/>
    <xf numFmtId="3" fontId="69" fillId="0" borderId="3" xfId="12" applyNumberFormat="1" applyFont="1" applyBorder="1"/>
    <xf numFmtId="3" fontId="64" fillId="0" borderId="10" xfId="12" applyNumberFormat="1" applyBorder="1"/>
    <xf numFmtId="3" fontId="19" fillId="0" borderId="11" xfId="12" applyNumberFormat="1" applyFont="1" applyBorder="1"/>
    <xf numFmtId="3" fontId="69" fillId="0" borderId="26" xfId="12" applyNumberFormat="1" applyFont="1" applyBorder="1"/>
    <xf numFmtId="3" fontId="69" fillId="0" borderId="1" xfId="12" applyNumberFormat="1" applyFont="1" applyBorder="1"/>
    <xf numFmtId="3" fontId="64" fillId="0" borderId="12" xfId="12" applyNumberFormat="1" applyBorder="1"/>
    <xf numFmtId="3" fontId="19" fillId="0" borderId="12" xfId="12" applyNumberFormat="1" applyFont="1" applyBorder="1"/>
    <xf numFmtId="3" fontId="20" fillId="0" borderId="12" xfId="12" applyNumberFormat="1" applyFont="1" applyBorder="1"/>
    <xf numFmtId="3" fontId="51" fillId="8" borderId="54" xfId="12" applyNumberFormat="1" applyFont="1" applyFill="1" applyBorder="1"/>
    <xf numFmtId="3" fontId="66" fillId="8" borderId="54" xfId="12" applyNumberFormat="1" applyFont="1" applyFill="1" applyBorder="1"/>
    <xf numFmtId="3" fontId="51" fillId="8" borderId="55" xfId="12" applyNumberFormat="1" applyFont="1" applyFill="1" applyBorder="1"/>
    <xf numFmtId="3" fontId="55" fillId="8" borderId="56" xfId="12" applyNumberFormat="1" applyFont="1" applyFill="1" applyBorder="1"/>
    <xf numFmtId="3" fontId="55" fillId="8" borderId="52" xfId="12" applyNumberFormat="1" applyFont="1" applyFill="1" applyBorder="1"/>
    <xf numFmtId="3" fontId="51" fillId="8" borderId="14" xfId="12" applyNumberFormat="1" applyFont="1" applyFill="1" applyBorder="1"/>
    <xf numFmtId="3" fontId="67" fillId="0" borderId="0" xfId="12" applyNumberFormat="1" applyFont="1"/>
    <xf numFmtId="0" fontId="51" fillId="9" borderId="0" xfId="12" applyFont="1" applyFill="1" applyAlignment="1">
      <alignment wrapText="1"/>
    </xf>
    <xf numFmtId="0" fontId="64" fillId="9" borderId="0" xfId="12" applyFill="1"/>
    <xf numFmtId="3" fontId="51" fillId="9" borderId="0" xfId="12" applyNumberFormat="1" applyFont="1" applyFill="1"/>
    <xf numFmtId="0" fontId="51" fillId="9" borderId="46" xfId="12" applyFont="1" applyFill="1" applyBorder="1"/>
    <xf numFmtId="3" fontId="64" fillId="9" borderId="31" xfId="12" applyNumberFormat="1" applyFill="1" applyBorder="1"/>
    <xf numFmtId="3" fontId="19" fillId="9" borderId="16" xfId="12" applyNumberFormat="1" applyFont="1" applyFill="1" applyBorder="1"/>
    <xf numFmtId="3" fontId="19" fillId="9" borderId="3" xfId="12" applyNumberFormat="1" applyFont="1" applyFill="1" applyBorder="1"/>
    <xf numFmtId="3" fontId="64" fillId="9" borderId="3" xfId="12" applyNumberFormat="1" applyFill="1" applyBorder="1"/>
    <xf numFmtId="3" fontId="64" fillId="9" borderId="47" xfId="12" applyNumberFormat="1" applyFill="1" applyBorder="1"/>
    <xf numFmtId="3" fontId="51" fillId="9" borderId="31" xfId="12" applyNumberFormat="1" applyFont="1" applyFill="1" applyBorder="1"/>
    <xf numFmtId="0" fontId="51" fillId="9" borderId="49" xfId="12" applyFont="1" applyFill="1" applyBorder="1"/>
    <xf numFmtId="3" fontId="64" fillId="9" borderId="28" xfId="12" applyNumberFormat="1" applyFill="1" applyBorder="1"/>
    <xf numFmtId="3" fontId="64" fillId="9" borderId="48" xfId="12" applyNumberFormat="1" applyFill="1" applyBorder="1"/>
    <xf numFmtId="3" fontId="20" fillId="9" borderId="49" xfId="12" applyNumberFormat="1" applyFont="1" applyFill="1" applyBorder="1"/>
    <xf numFmtId="3" fontId="51" fillId="0" borderId="1" xfId="0" applyNumberFormat="1" applyFont="1" applyBorder="1"/>
    <xf numFmtId="0" fontId="90" fillId="0" borderId="1" xfId="0" applyFont="1" applyBorder="1" applyAlignment="1">
      <alignment wrapText="1"/>
    </xf>
    <xf numFmtId="0" fontId="51" fillId="2" borderId="1" xfId="0" applyFont="1" applyFill="1" applyBorder="1"/>
    <xf numFmtId="0" fontId="51" fillId="0" borderId="1" xfId="0" applyFont="1" applyBorder="1"/>
    <xf numFmtId="0" fontId="19" fillId="0" borderId="1" xfId="0" applyFont="1" applyBorder="1" applyAlignment="1">
      <alignment wrapText="1"/>
    </xf>
    <xf numFmtId="3" fontId="4" fillId="8" borderId="3" xfId="0" applyNumberFormat="1" applyFont="1" applyFill="1" applyBorder="1" applyAlignment="1"/>
    <xf numFmtId="0" fontId="0" fillId="0" borderId="0" xfId="0" applyFill="1" applyAlignment="1"/>
    <xf numFmtId="0" fontId="22" fillId="0" borderId="0" xfId="0" applyFont="1" applyFill="1" applyAlignment="1"/>
    <xf numFmtId="3" fontId="1" fillId="0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3" fontId="1" fillId="8" borderId="1" xfId="0" applyNumberFormat="1" applyFont="1" applyFill="1" applyBorder="1" applyAlignment="1"/>
    <xf numFmtId="0" fontId="0" fillId="12" borderId="0" xfId="0" applyFont="1" applyFill="1" applyAlignment="1">
      <alignment wrapText="1"/>
    </xf>
    <xf numFmtId="0" fontId="1" fillId="0" borderId="2" xfId="0" applyFont="1" applyBorder="1" applyAlignment="1">
      <alignment wrapText="1"/>
    </xf>
    <xf numFmtId="3" fontId="37" fillId="7" borderId="35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6" borderId="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25" xfId="0" applyNumberFormat="1" applyFont="1" applyFill="1" applyBorder="1" applyAlignment="1">
      <alignment horizontal="right"/>
    </xf>
    <xf numFmtId="3" fontId="31" fillId="0" borderId="25" xfId="0" applyNumberFormat="1" applyFont="1" applyFill="1" applyBorder="1" applyAlignment="1">
      <alignment horizontal="right"/>
    </xf>
    <xf numFmtId="3" fontId="31" fillId="0" borderId="41" xfId="0" applyNumberFormat="1" applyFont="1" applyFill="1" applyBorder="1" applyAlignment="1">
      <alignment horizontal="right"/>
    </xf>
    <xf numFmtId="0" fontId="0" fillId="0" borderId="1" xfId="0" applyBorder="1" applyAlignment="1"/>
    <xf numFmtId="3" fontId="1" fillId="0" borderId="0" xfId="0" applyNumberFormat="1" applyFont="1" applyFill="1" applyAlignment="1">
      <alignment horizontal="right"/>
    </xf>
    <xf numFmtId="0" fontId="1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3" fontId="15" fillId="3" borderId="17" xfId="0" applyNumberFormat="1" applyFont="1" applyFill="1" applyBorder="1" applyAlignment="1">
      <alignment horizontal="center" vertical="center" wrapText="1"/>
    </xf>
    <xf numFmtId="3" fontId="15" fillId="3" borderId="1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38" xfId="0" applyNumberFormat="1" applyFont="1" applyFill="1" applyBorder="1" applyAlignment="1">
      <alignment horizontal="center" vertical="center" wrapText="1"/>
    </xf>
    <xf numFmtId="3" fontId="4" fillId="3" borderId="60" xfId="0" applyNumberFormat="1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center" vertical="top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0" fontId="24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62" xfId="0" applyFont="1" applyFill="1" applyBorder="1" applyAlignment="1">
      <alignment horizontal="center" vertical="center" wrapText="1"/>
    </xf>
    <xf numFmtId="0" fontId="24" fillId="7" borderId="63" xfId="0" applyFont="1" applyFill="1" applyBorder="1" applyAlignment="1">
      <alignment horizontal="center" vertical="center" wrapText="1"/>
    </xf>
    <xf numFmtId="0" fontId="24" fillId="7" borderId="6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6" borderId="0" xfId="0" applyFont="1" applyFill="1" applyAlignment="1">
      <alignment horizontal="center"/>
    </xf>
    <xf numFmtId="0" fontId="3" fillId="7" borderId="6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3" fontId="46" fillId="0" borderId="18" xfId="0" applyNumberFormat="1" applyFont="1" applyBorder="1" applyAlignment="1">
      <alignment horizontal="right" vertical="center"/>
    </xf>
    <xf numFmtId="0" fontId="38" fillId="2" borderId="0" xfId="0" applyFont="1" applyFill="1" applyAlignment="1">
      <alignment horizontal="center"/>
    </xf>
    <xf numFmtId="3" fontId="37" fillId="7" borderId="1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" fontId="37" fillId="7" borderId="17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3" fontId="37" fillId="7" borderId="35" xfId="0" applyNumberFormat="1" applyFont="1" applyFill="1" applyBorder="1" applyAlignment="1">
      <alignment horizontal="center" vertical="center" wrapText="1"/>
    </xf>
    <xf numFmtId="3" fontId="37" fillId="7" borderId="1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7" fillId="3" borderId="62" xfId="0" applyFont="1" applyFill="1" applyBorder="1" applyAlignment="1">
      <alignment horizontal="center" vertical="center" wrapText="1"/>
    </xf>
    <xf numFmtId="0" fontId="37" fillId="3" borderId="63" xfId="0" applyFont="1" applyFill="1" applyBorder="1" applyAlignment="1">
      <alignment horizontal="center" vertical="center" wrapText="1"/>
    </xf>
    <xf numFmtId="0" fontId="37" fillId="3" borderId="64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65" xfId="0" applyFont="1" applyFill="1" applyBorder="1" applyAlignment="1">
      <alignment horizontal="center" vertical="center" wrapText="1"/>
    </xf>
    <xf numFmtId="0" fontId="37" fillId="3" borderId="48" xfId="0" applyFont="1" applyFill="1" applyBorder="1" applyAlignment="1">
      <alignment horizontal="center" vertical="center" wrapText="1"/>
    </xf>
    <xf numFmtId="0" fontId="37" fillId="3" borderId="4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center" vertical="center" wrapText="1"/>
    </xf>
    <xf numFmtId="3" fontId="5" fillId="7" borderId="17" xfId="0" applyNumberFormat="1" applyFont="1" applyFill="1" applyBorder="1" applyAlignment="1">
      <alignment horizontal="center"/>
    </xf>
    <xf numFmtId="3" fontId="5" fillId="7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4" fillId="0" borderId="1" xfId="7" applyFont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/>
    </xf>
    <xf numFmtId="0" fontId="4" fillId="0" borderId="1" xfId="7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4" fillId="0" borderId="22" xfId="7" applyFont="1" applyBorder="1" applyAlignment="1">
      <alignment horizontal="center" vertical="center" wrapText="1"/>
    </xf>
    <xf numFmtId="0" fontId="4" fillId="0" borderId="23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 wrapText="1"/>
    </xf>
    <xf numFmtId="0" fontId="59" fillId="0" borderId="0" xfId="7" applyFont="1" applyBorder="1" applyAlignment="1">
      <alignment horizontal="center" vertical="center"/>
    </xf>
    <xf numFmtId="0" fontId="56" fillId="0" borderId="1" xfId="7" applyFont="1" applyBorder="1" applyAlignment="1">
      <alignment horizontal="left" vertical="center" wrapText="1"/>
    </xf>
    <xf numFmtId="0" fontId="4" fillId="4" borderId="1" xfId="7" applyFont="1" applyFill="1" applyBorder="1" applyAlignment="1">
      <alignment horizontal="left" vertical="center" wrapText="1"/>
    </xf>
    <xf numFmtId="0" fontId="56" fillId="0" borderId="27" xfId="7" applyFont="1" applyBorder="1" applyAlignment="1">
      <alignment horizontal="center" vertical="center" wrapText="1"/>
    </xf>
    <xf numFmtId="0" fontId="56" fillId="0" borderId="19" xfId="7" applyFont="1" applyBorder="1" applyAlignment="1">
      <alignment horizontal="center" vertical="center" wrapText="1"/>
    </xf>
    <xf numFmtId="0" fontId="56" fillId="0" borderId="41" xfId="7" applyFont="1" applyBorder="1" applyAlignment="1">
      <alignment horizontal="center" vertical="center" wrapText="1"/>
    </xf>
    <xf numFmtId="0" fontId="54" fillId="0" borderId="3" xfId="7" applyFont="1" applyBorder="1" applyAlignment="1">
      <alignment horizontal="left" vertical="center" wrapText="1"/>
    </xf>
    <xf numFmtId="0" fontId="54" fillId="0" borderId="1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center" vertical="center" wrapText="1"/>
    </xf>
    <xf numFmtId="0" fontId="1" fillId="0" borderId="22" xfId="7" applyFont="1" applyBorder="1" applyAlignment="1">
      <alignment horizontal="center" vertical="center" wrapText="1"/>
    </xf>
    <xf numFmtId="0" fontId="12" fillId="0" borderId="3" xfId="7" applyFont="1" applyBorder="1" applyAlignment="1">
      <alignment horizontal="left" vertical="center" wrapText="1"/>
    </xf>
    <xf numFmtId="3" fontId="57" fillId="0" borderId="0" xfId="7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39" fillId="3" borderId="38" xfId="0" applyFont="1" applyFill="1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39" fillId="3" borderId="39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wrapText="1"/>
    </xf>
    <xf numFmtId="0" fontId="48" fillId="3" borderId="66" xfId="0" applyFont="1" applyFill="1" applyBorder="1" applyAlignment="1">
      <alignment horizontal="center" vertical="center" wrapText="1"/>
    </xf>
    <xf numFmtId="0" fontId="48" fillId="3" borderId="42" xfId="0" applyFont="1" applyFill="1" applyBorder="1" applyAlignment="1">
      <alignment horizontal="center" vertical="center" wrapText="1"/>
    </xf>
    <xf numFmtId="0" fontId="48" fillId="3" borderId="54" xfId="0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39" fillId="7" borderId="37" xfId="0" applyFont="1" applyFill="1" applyBorder="1" applyAlignment="1">
      <alignment horizontal="center" vertical="center" wrapText="1"/>
    </xf>
    <xf numFmtId="0" fontId="39" fillId="3" borderId="48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39" fillId="3" borderId="29" xfId="0" applyFont="1" applyFill="1" applyBorder="1" applyAlignment="1">
      <alignment horizontal="center" vertical="center" wrapText="1"/>
    </xf>
    <xf numFmtId="0" fontId="39" fillId="3" borderId="55" xfId="0" applyFont="1" applyFill="1" applyBorder="1" applyAlignment="1">
      <alignment horizontal="center" vertical="center" wrapText="1"/>
    </xf>
    <xf numFmtId="0" fontId="51" fillId="8" borderId="49" xfId="12" applyFont="1" applyFill="1" applyBorder="1" applyAlignment="1">
      <alignment horizontal="center" vertical="center"/>
    </xf>
    <xf numFmtId="0" fontId="51" fillId="8" borderId="33" xfId="12" applyFont="1" applyFill="1" applyBorder="1" applyAlignment="1">
      <alignment horizontal="center" vertical="center"/>
    </xf>
    <xf numFmtId="0" fontId="51" fillId="8" borderId="27" xfId="12" applyFont="1" applyFill="1" applyBorder="1" applyAlignment="1">
      <alignment horizontal="center" vertical="center"/>
    </xf>
    <xf numFmtId="0" fontId="51" fillId="8" borderId="19" xfId="12" applyFont="1" applyFill="1" applyBorder="1" applyAlignment="1">
      <alignment horizontal="center" vertical="center"/>
    </xf>
    <xf numFmtId="0" fontId="51" fillId="8" borderId="24" xfId="12" applyFont="1" applyFill="1" applyBorder="1" applyAlignment="1">
      <alignment horizontal="center" vertical="center"/>
    </xf>
    <xf numFmtId="0" fontId="19" fillId="0" borderId="0" xfId="12" applyFont="1" applyAlignment="1">
      <alignment horizontal="center" wrapText="1"/>
    </xf>
    <xf numFmtId="0" fontId="51" fillId="8" borderId="19" xfId="12" applyFont="1" applyFill="1" applyBorder="1" applyAlignment="1">
      <alignment horizontal="center"/>
    </xf>
    <xf numFmtId="0" fontId="51" fillId="8" borderId="67" xfId="12" applyFont="1" applyFill="1" applyBorder="1" applyAlignment="1">
      <alignment horizontal="center" vertical="center"/>
    </xf>
    <xf numFmtId="0" fontId="51" fillId="8" borderId="69" xfId="12" applyFont="1" applyFill="1" applyBorder="1" applyAlignment="1">
      <alignment horizontal="center" vertical="center"/>
    </xf>
    <xf numFmtId="0" fontId="51" fillId="8" borderId="4" xfId="12" applyFont="1" applyFill="1" applyBorder="1" applyAlignment="1">
      <alignment horizontal="center"/>
    </xf>
    <xf numFmtId="0" fontId="51" fillId="8" borderId="5" xfId="12" applyFont="1" applyFill="1" applyBorder="1" applyAlignment="1">
      <alignment horizontal="center"/>
    </xf>
    <xf numFmtId="0" fontId="51" fillId="8" borderId="30" xfId="12" applyFont="1" applyFill="1" applyBorder="1" applyAlignment="1">
      <alignment horizontal="center"/>
    </xf>
    <xf numFmtId="0" fontId="51" fillId="8" borderId="49" xfId="12" applyFont="1" applyFill="1" applyBorder="1" applyAlignment="1">
      <alignment horizontal="center" vertical="center" wrapText="1"/>
    </xf>
    <xf numFmtId="0" fontId="51" fillId="8" borderId="33" xfId="12" applyFont="1" applyFill="1" applyBorder="1" applyAlignment="1">
      <alignment horizontal="center" vertical="center" wrapText="1"/>
    </xf>
    <xf numFmtId="0" fontId="66" fillId="8" borderId="70" xfId="12" applyFont="1" applyFill="1" applyBorder="1" applyAlignment="1">
      <alignment horizontal="center" vertical="center" wrapText="1"/>
    </xf>
    <xf numFmtId="0" fontId="66" fillId="8" borderId="69" xfId="12" applyFont="1" applyFill="1" applyBorder="1" applyAlignment="1">
      <alignment horizontal="center" vertical="center" wrapText="1"/>
    </xf>
    <xf numFmtId="0" fontId="66" fillId="8" borderId="49" xfId="12" applyFont="1" applyFill="1" applyBorder="1" applyAlignment="1">
      <alignment horizontal="center" vertical="center" wrapText="1"/>
    </xf>
    <xf numFmtId="0" fontId="66" fillId="8" borderId="33" xfId="12" applyFont="1" applyFill="1" applyBorder="1" applyAlignment="1">
      <alignment horizontal="center" vertical="center" wrapText="1"/>
    </xf>
    <xf numFmtId="0" fontId="51" fillId="8" borderId="68" xfId="12" applyFont="1" applyFill="1" applyBorder="1" applyAlignment="1">
      <alignment horizontal="center" vertical="center"/>
    </xf>
    <xf numFmtId="0" fontId="65" fillId="8" borderId="49" xfId="12" applyFont="1" applyFill="1" applyBorder="1" applyAlignment="1">
      <alignment horizontal="center" vertical="center" wrapText="1"/>
    </xf>
    <xf numFmtId="0" fontId="65" fillId="8" borderId="33" xfId="12" applyFont="1" applyFill="1" applyBorder="1" applyAlignment="1">
      <alignment horizontal="center" vertical="center" wrapText="1"/>
    </xf>
    <xf numFmtId="0" fontId="51" fillId="8" borderId="61" xfId="12" applyFont="1" applyFill="1" applyBorder="1" applyAlignment="1">
      <alignment horizontal="center" vertical="center" wrapText="1"/>
    </xf>
    <xf numFmtId="0" fontId="51" fillId="8" borderId="51" xfId="12" applyFont="1" applyFill="1" applyBorder="1" applyAlignment="1">
      <alignment horizontal="center" vertical="center" wrapText="1"/>
    </xf>
    <xf numFmtId="0" fontId="20" fillId="8" borderId="61" xfId="12" applyFont="1" applyFill="1" applyBorder="1" applyAlignment="1">
      <alignment horizontal="center" vertical="center" wrapText="1"/>
    </xf>
    <xf numFmtId="0" fontId="20" fillId="8" borderId="51" xfId="12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/>
    </xf>
    <xf numFmtId="3" fontId="75" fillId="0" borderId="3" xfId="6" applyNumberFormat="1" applyFont="1" applyFill="1" applyBorder="1" applyAlignment="1">
      <alignment horizontal="right"/>
    </xf>
    <xf numFmtId="3" fontId="75" fillId="0" borderId="1" xfId="6" applyNumberFormat="1" applyFont="1" applyFill="1" applyBorder="1" applyAlignment="1">
      <alignment horizontal="right"/>
    </xf>
    <xf numFmtId="3" fontId="83" fillId="0" borderId="48" xfId="6" applyNumberFormat="1" applyFont="1" applyBorder="1" applyAlignment="1">
      <alignment horizontal="center"/>
    </xf>
    <xf numFmtId="3" fontId="83" fillId="0" borderId="28" xfId="6" applyNumberFormat="1" applyFont="1" applyBorder="1" applyAlignment="1">
      <alignment horizontal="center"/>
    </xf>
    <xf numFmtId="0" fontId="91" fillId="6" borderId="0" xfId="6" applyFont="1" applyFill="1" applyAlignment="1">
      <alignment horizontal="center"/>
    </xf>
    <xf numFmtId="0" fontId="78" fillId="5" borderId="20" xfId="6" applyFont="1" applyFill="1" applyBorder="1" applyAlignment="1">
      <alignment horizontal="center" vertical="center" wrapText="1"/>
    </xf>
    <xf numFmtId="0" fontId="78" fillId="5" borderId="55" xfId="6" applyFont="1" applyFill="1" applyBorder="1" applyAlignment="1">
      <alignment horizontal="center" vertical="center"/>
    </xf>
    <xf numFmtId="0" fontId="78" fillId="5" borderId="38" xfId="6" applyFont="1" applyFill="1" applyBorder="1" applyAlignment="1">
      <alignment horizontal="center"/>
    </xf>
    <xf numFmtId="0" fontId="78" fillId="5" borderId="60" xfId="6" applyFont="1" applyFill="1" applyBorder="1" applyAlignment="1">
      <alignment horizontal="center"/>
    </xf>
    <xf numFmtId="0" fontId="78" fillId="5" borderId="39" xfId="6" applyFont="1" applyFill="1" applyBorder="1" applyAlignment="1">
      <alignment horizontal="center"/>
    </xf>
    <xf numFmtId="0" fontId="78" fillId="5" borderId="22" xfId="6" applyFont="1" applyFill="1" applyBorder="1" applyAlignment="1">
      <alignment horizontal="center"/>
    </xf>
    <xf numFmtId="0" fontId="78" fillId="5" borderId="23" xfId="6" applyFont="1" applyFill="1" applyBorder="1" applyAlignment="1">
      <alignment horizontal="center"/>
    </xf>
  </cellXfs>
  <cellStyles count="14">
    <cellStyle name="Ezres" xfId="1" builtinId="3"/>
    <cellStyle name="Ezres 2" xfId="2" xr:uid="{00000000-0005-0000-0000-000001000000}"/>
    <cellStyle name="Ezres 3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 3" xfId="6" xr:uid="{00000000-0005-0000-0000-000006000000}"/>
    <cellStyle name="Normál 4" xfId="7" xr:uid="{00000000-0005-0000-0000-000007000000}"/>
    <cellStyle name="Normál 5" xfId="8" xr:uid="{00000000-0005-0000-0000-000008000000}"/>
    <cellStyle name="Normál 6" xfId="9" xr:uid="{00000000-0005-0000-0000-000009000000}"/>
    <cellStyle name="Normál 7" xfId="10" xr:uid="{00000000-0005-0000-0000-00000A000000}"/>
    <cellStyle name="Normál 8" xfId="11" xr:uid="{00000000-0005-0000-0000-00000B000000}"/>
    <cellStyle name="Normál 9" xfId="12" xr:uid="{00000000-0005-0000-0000-00000C000000}"/>
    <cellStyle name="Normal_KARSZJ3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21.%20&#233;vi%20k&#246;lts&#233;gvet&#233;s/TKT/01%20K&#246;lts&#233;gfeloszt&#225;s_2021_TK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egy&#233;b/kist&#233;rs&#233;g/2020_kist&#233;rs&#233;g/TKT%20&#252;l&#233;s_2020.10.15/Ktgfeloszt&#225;s_2020_TKT_2020.10.h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 gyerm.jólét"/>
      <sheetName val="Összesítő"/>
      <sheetName val="munka"/>
      <sheetName val="házi segítségnyújtás bér"/>
      <sheetName val="CSS GYJ"/>
    </sheetNames>
    <sheetDataSet>
      <sheetData sheetId="0"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34">
          <cell r="C34">
            <v>0</v>
          </cell>
          <cell r="E34">
            <v>0</v>
          </cell>
        </row>
      </sheetData>
      <sheetData sheetId="1"/>
      <sheetData sheetId="2"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</sheetData>
      <sheetData sheetId="3">
        <row r="18">
          <cell r="E18">
            <v>109.48</v>
          </cell>
        </row>
        <row r="19">
          <cell r="E19">
            <v>78.2</v>
          </cell>
        </row>
        <row r="20">
          <cell r="E20">
            <v>547.4</v>
          </cell>
        </row>
        <row r="21">
          <cell r="E21">
            <v>93.84</v>
          </cell>
        </row>
        <row r="22">
          <cell r="E22">
            <v>15.64</v>
          </cell>
        </row>
        <row r="23">
          <cell r="E23">
            <v>0</v>
          </cell>
        </row>
        <row r="24">
          <cell r="E24">
            <v>46.92</v>
          </cell>
        </row>
        <row r="25">
          <cell r="E25">
            <v>15.64</v>
          </cell>
        </row>
        <row r="26">
          <cell r="E26">
            <v>46.92</v>
          </cell>
        </row>
        <row r="27">
          <cell r="E27">
            <v>15.64</v>
          </cell>
        </row>
        <row r="28">
          <cell r="E28">
            <v>186.68</v>
          </cell>
        </row>
        <row r="29">
          <cell r="E29">
            <v>15.64</v>
          </cell>
        </row>
        <row r="30">
          <cell r="E30">
            <v>0</v>
          </cell>
        </row>
        <row r="31">
          <cell r="E31">
            <v>1173</v>
          </cell>
        </row>
      </sheetData>
      <sheetData sheetId="4">
        <row r="20">
          <cell r="D20">
            <v>730</v>
          </cell>
          <cell r="E20">
            <v>3510</v>
          </cell>
        </row>
        <row r="21">
          <cell r="D21">
            <v>0</v>
          </cell>
          <cell r="E21">
            <v>165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1570</v>
          </cell>
          <cell r="E24">
            <v>165</v>
          </cell>
        </row>
        <row r="25">
          <cell r="D25">
            <v>0</v>
          </cell>
          <cell r="E25">
            <v>165</v>
          </cell>
        </row>
        <row r="26">
          <cell r="D26">
            <v>600</v>
          </cell>
          <cell r="E26">
            <v>0</v>
          </cell>
        </row>
        <row r="27">
          <cell r="D27">
            <v>0</v>
          </cell>
          <cell r="E27">
            <v>165</v>
          </cell>
        </row>
        <row r="28">
          <cell r="D28">
            <v>0</v>
          </cell>
          <cell r="E28">
            <v>165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165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2900</v>
          </cell>
        </row>
      </sheetData>
      <sheetData sheetId="5">
        <row r="9">
          <cell r="F9">
            <v>1172</v>
          </cell>
        </row>
        <row r="10">
          <cell r="F10">
            <v>275</v>
          </cell>
        </row>
        <row r="11">
          <cell r="F11">
            <v>1127</v>
          </cell>
        </row>
        <row r="12">
          <cell r="F12">
            <v>913</v>
          </cell>
        </row>
        <row r="13">
          <cell r="F13">
            <v>304</v>
          </cell>
        </row>
        <row r="14">
          <cell r="F14">
            <v>272</v>
          </cell>
        </row>
        <row r="15">
          <cell r="F15">
            <v>710</v>
          </cell>
        </row>
        <row r="16">
          <cell r="F16">
            <v>272</v>
          </cell>
        </row>
        <row r="17">
          <cell r="F17">
            <v>189</v>
          </cell>
        </row>
        <row r="18">
          <cell r="F18">
            <v>194</v>
          </cell>
        </row>
        <row r="19">
          <cell r="F19">
            <v>349</v>
          </cell>
        </row>
        <row r="20">
          <cell r="F20">
            <v>294</v>
          </cell>
        </row>
        <row r="21">
          <cell r="F21">
            <v>113</v>
          </cell>
        </row>
      </sheetData>
      <sheetData sheetId="6">
        <row r="26">
          <cell r="E26">
            <v>15200.315972449162</v>
          </cell>
        </row>
        <row r="27">
          <cell r="E27">
            <v>2909.5689608434536</v>
          </cell>
        </row>
        <row r="28">
          <cell r="E28">
            <v>11904.41915200997</v>
          </cell>
        </row>
        <row r="29">
          <cell r="E29">
            <v>9990.2631919183241</v>
          </cell>
        </row>
        <row r="30">
          <cell r="E30">
            <v>804.69041095890418</v>
          </cell>
        </row>
        <row r="31">
          <cell r="E31">
            <v>610.45479452054792</v>
          </cell>
        </row>
        <row r="32">
          <cell r="E32">
            <v>2830.2904109589044</v>
          </cell>
        </row>
        <row r="33">
          <cell r="E33">
            <v>471.71506849315074</v>
          </cell>
        </row>
        <row r="34">
          <cell r="E34">
            <v>499.46301369863016</v>
          </cell>
        </row>
        <row r="35">
          <cell r="E35">
            <v>527.21095890410959</v>
          </cell>
        </row>
        <row r="36">
          <cell r="E36">
            <v>3284.2272433270286</v>
          </cell>
        </row>
        <row r="37">
          <cell r="E37">
            <v>860.18630136986303</v>
          </cell>
        </row>
        <row r="38">
          <cell r="E38">
            <v>749.19452054794522</v>
          </cell>
        </row>
      </sheetData>
      <sheetData sheetId="7">
        <row r="27">
          <cell r="H27">
            <v>4932</v>
          </cell>
        </row>
        <row r="28">
          <cell r="H28">
            <v>1155</v>
          </cell>
        </row>
        <row r="29">
          <cell r="H29">
            <v>4742</v>
          </cell>
        </row>
        <row r="30">
          <cell r="H30">
            <v>3842</v>
          </cell>
        </row>
        <row r="31">
          <cell r="H31">
            <v>853</v>
          </cell>
        </row>
        <row r="32">
          <cell r="H32">
            <v>762</v>
          </cell>
        </row>
        <row r="33">
          <cell r="H33">
            <v>1992</v>
          </cell>
        </row>
        <row r="34">
          <cell r="H34">
            <v>763</v>
          </cell>
        </row>
        <row r="35">
          <cell r="H35">
            <v>530</v>
          </cell>
        </row>
        <row r="36">
          <cell r="H36">
            <v>546</v>
          </cell>
        </row>
        <row r="37">
          <cell r="H37">
            <v>1468</v>
          </cell>
        </row>
        <row r="38">
          <cell r="H38">
            <v>826</v>
          </cell>
        </row>
        <row r="39">
          <cell r="H39">
            <v>317</v>
          </cell>
        </row>
      </sheetData>
      <sheetData sheetId="8"/>
      <sheetData sheetId="9">
        <row r="39">
          <cell r="B39">
            <v>2344</v>
          </cell>
          <cell r="E39">
            <v>125.08408796895213</v>
          </cell>
        </row>
        <row r="40">
          <cell r="B40">
            <v>549</v>
          </cell>
          <cell r="E40">
            <v>29.296571798188875</v>
          </cell>
        </row>
        <row r="41">
          <cell r="B41">
            <v>2254</v>
          </cell>
          <cell r="E41">
            <v>120.28137128072446</v>
          </cell>
        </row>
        <row r="42">
          <cell r="B42">
            <v>1826</v>
          </cell>
          <cell r="E42">
            <v>98.441785252263898</v>
          </cell>
        </row>
        <row r="43">
          <cell r="B43">
            <v>608</v>
          </cell>
          <cell r="E43">
            <v>33.445019404915911</v>
          </cell>
        </row>
        <row r="44">
          <cell r="B44">
            <v>543</v>
          </cell>
          <cell r="E44">
            <v>28.976390685640364</v>
          </cell>
        </row>
        <row r="45">
          <cell r="B45">
            <v>1420</v>
          </cell>
          <cell r="E45">
            <v>75.776196636481245</v>
          </cell>
        </row>
        <row r="46">
          <cell r="B46">
            <v>544</v>
          </cell>
          <cell r="E46">
            <v>29.029754204398451</v>
          </cell>
        </row>
        <row r="47">
          <cell r="B47">
            <v>378</v>
          </cell>
          <cell r="E47">
            <v>20.171410090556275</v>
          </cell>
        </row>
        <row r="48">
          <cell r="B48">
            <v>389</v>
          </cell>
          <cell r="E48">
            <v>20.758408796895214</v>
          </cell>
        </row>
        <row r="49">
          <cell r="B49">
            <v>698</v>
          </cell>
          <cell r="E49">
            <v>37.247736093143601</v>
          </cell>
        </row>
        <row r="50">
          <cell r="B50">
            <v>589</v>
          </cell>
          <cell r="E50">
            <v>31.431112548512292</v>
          </cell>
        </row>
        <row r="51">
          <cell r="B51">
            <v>226</v>
          </cell>
          <cell r="E51">
            <v>12.060155239327297</v>
          </cell>
        </row>
      </sheetData>
      <sheetData sheetId="10">
        <row r="41">
          <cell r="V41">
            <v>395.67390583333349</v>
          </cell>
        </row>
        <row r="42">
          <cell r="V42">
            <v>253.42884916666665</v>
          </cell>
        </row>
        <row r="43">
          <cell r="V43">
            <v>342.58200958333356</v>
          </cell>
        </row>
        <row r="44">
          <cell r="V44">
            <v>189.24688458333341</v>
          </cell>
        </row>
        <row r="45">
          <cell r="V45">
            <v>199.33695291666675</v>
          </cell>
        </row>
        <row r="46">
          <cell r="V46">
            <v>363.01323958333353</v>
          </cell>
        </row>
        <row r="47">
          <cell r="V47">
            <v>925.84468062793417</v>
          </cell>
        </row>
        <row r="49">
          <cell r="V49">
            <v>1196.8236115434283</v>
          </cell>
        </row>
        <row r="50">
          <cell r="V50">
            <v>362.30524122065719</v>
          </cell>
        </row>
        <row r="51">
          <cell r="V51">
            <v>720.61048244131439</v>
          </cell>
        </row>
        <row r="53">
          <cell r="V53">
            <v>462.37694666666653</v>
          </cell>
        </row>
        <row r="54">
          <cell r="V54">
            <v>143.80529583333333</v>
          </cell>
        </row>
        <row r="56">
          <cell r="V56">
            <v>0</v>
          </cell>
        </row>
        <row r="57">
          <cell r="V57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"/>
      <sheetName val="szoc. egyenkénti feladatok"/>
      <sheetName val="Házi segítségnyújtás"/>
      <sheetName val="Püg.,TV, étkeztetés "/>
      <sheetName val="Társulási hozzájár."/>
      <sheetName val="Ügyelet"/>
      <sheetName val="Labor"/>
      <sheetName val="TKT feladatok"/>
      <sheetName val="TKT műk."/>
      <sheetName val="Családsegítés"/>
      <sheetName val="Összesítő"/>
      <sheetName val="munka"/>
      <sheetName val="házi segítségnyújtás bér"/>
      <sheetName val="CSS GY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30"/>
  <sheetViews>
    <sheetView tabSelected="1" topLeftCell="B31" zoomScale="140" zoomScaleNormal="140" workbookViewId="0">
      <selection activeCell="C65" sqref="C65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45" customWidth="1"/>
    <col min="7" max="7" width="6.42578125" hidden="1" customWidth="1"/>
    <col min="8" max="8" width="17.85546875" hidden="1" customWidth="1"/>
    <col min="9" max="9" width="17" customWidth="1"/>
  </cols>
  <sheetData>
    <row r="1" spans="2:35" ht="4.5" customHeight="1" x14ac:dyDescent="0.3">
      <c r="B1" s="65"/>
      <c r="C1" s="42"/>
      <c r="D1" s="42"/>
      <c r="E1" s="42"/>
      <c r="F1" s="6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65"/>
      <c r="C2" s="932" t="s">
        <v>27</v>
      </c>
      <c r="D2" s="932"/>
      <c r="E2" s="932"/>
      <c r="F2" s="9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65"/>
      <c r="C3" s="932" t="s">
        <v>1198</v>
      </c>
      <c r="D3" s="932"/>
      <c r="E3" s="932"/>
      <c r="F3" s="9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65"/>
      <c r="C4" s="1"/>
      <c r="D4" s="1"/>
      <c r="E4" s="1"/>
      <c r="F4" s="66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934" t="s">
        <v>119</v>
      </c>
      <c r="C5" s="936" t="s">
        <v>814</v>
      </c>
      <c r="D5" s="938" t="s">
        <v>1308</v>
      </c>
      <c r="E5" s="936"/>
      <c r="F5" s="93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935"/>
      <c r="C6" s="937"/>
      <c r="D6" s="132" t="s">
        <v>44</v>
      </c>
      <c r="E6" s="54" t="s">
        <v>815</v>
      </c>
      <c r="F6" s="613" t="s">
        <v>47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614" t="s">
        <v>120</v>
      </c>
      <c r="C7" s="278" t="s">
        <v>355</v>
      </c>
      <c r="D7" s="203">
        <f>SUM(D8+D31+D37+D42+D51+D54+D58)</f>
        <v>57642</v>
      </c>
      <c r="E7" s="203">
        <f>SUM(E8+E31+E37+E42+E51+E54+E58)</f>
        <v>546</v>
      </c>
      <c r="F7" s="632">
        <f>SUM(F8+F31+F37+F42+F51+F54+F58)</f>
        <v>58188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745" t="s">
        <v>121</v>
      </c>
      <c r="C8" s="227" t="s">
        <v>222</v>
      </c>
      <c r="D8" s="233">
        <f>SUM(D9:D30)</f>
        <v>5870</v>
      </c>
      <c r="E8" s="233">
        <f>SUM(E9:E30)</f>
        <v>0</v>
      </c>
      <c r="F8" s="746">
        <f>SUM(F9:F30)</f>
        <v>5870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747" t="s">
        <v>211</v>
      </c>
      <c r="C9" s="759" t="s">
        <v>988</v>
      </c>
      <c r="D9" s="16"/>
      <c r="E9" s="16"/>
      <c r="F9" s="634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747" t="s">
        <v>211</v>
      </c>
      <c r="C10" s="759" t="s">
        <v>1201</v>
      </c>
      <c r="D10" s="16"/>
      <c r="E10" s="16"/>
      <c r="F10" s="634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747" t="s">
        <v>211</v>
      </c>
      <c r="C11" s="759" t="s">
        <v>988</v>
      </c>
      <c r="D11" s="16"/>
      <c r="E11" s="16"/>
      <c r="F11" s="634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747" t="s">
        <v>212</v>
      </c>
      <c r="C12" s="759" t="s">
        <v>991</v>
      </c>
      <c r="D12" s="16"/>
      <c r="E12" s="16"/>
      <c r="F12" s="634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747" t="s">
        <v>212</v>
      </c>
      <c r="C13" s="759" t="s">
        <v>1004</v>
      </c>
      <c r="D13" s="16">
        <v>1167</v>
      </c>
      <c r="E13" s="16"/>
      <c r="F13" s="634">
        <f t="shared" si="0"/>
        <v>1167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747" t="s">
        <v>213</v>
      </c>
      <c r="C14" s="759" t="s">
        <v>1344</v>
      </c>
      <c r="D14" s="16">
        <v>2458</v>
      </c>
      <c r="E14" s="16"/>
      <c r="F14" s="634">
        <f t="shared" si="0"/>
        <v>2458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747" t="s">
        <v>213</v>
      </c>
      <c r="C15" s="759" t="s">
        <v>992</v>
      </c>
      <c r="D15" s="16"/>
      <c r="E15" s="16"/>
      <c r="F15" s="634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747" t="s">
        <v>213</v>
      </c>
      <c r="C16" s="759" t="s">
        <v>1341</v>
      </c>
      <c r="D16" s="16">
        <v>-290</v>
      </c>
      <c r="E16" s="16"/>
      <c r="F16" s="634">
        <f t="shared" si="0"/>
        <v>-290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idden="1" x14ac:dyDescent="0.2">
      <c r="B17" s="747" t="s">
        <v>213</v>
      </c>
      <c r="C17" s="759" t="s">
        <v>993</v>
      </c>
      <c r="D17" s="16"/>
      <c r="E17" s="16"/>
      <c r="F17" s="634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747" t="s">
        <v>213</v>
      </c>
      <c r="C18" s="759" t="s">
        <v>1343</v>
      </c>
      <c r="D18" s="16">
        <v>818</v>
      </c>
      <c r="E18" s="16"/>
      <c r="F18" s="634">
        <f t="shared" si="0"/>
        <v>818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">
      <c r="B19" s="747" t="s">
        <v>213</v>
      </c>
      <c r="C19" s="759" t="s">
        <v>1342</v>
      </c>
      <c r="D19" s="16">
        <v>-389</v>
      </c>
      <c r="E19" s="16"/>
      <c r="F19" s="634">
        <f t="shared" si="0"/>
        <v>-389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747" t="s">
        <v>213</v>
      </c>
      <c r="C20" s="759" t="s">
        <v>1204</v>
      </c>
      <c r="D20" s="16"/>
      <c r="E20" s="16"/>
      <c r="F20" s="634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747" t="s">
        <v>214</v>
      </c>
      <c r="C21" s="759" t="s">
        <v>1255</v>
      </c>
      <c r="D21" s="16"/>
      <c r="E21" s="16"/>
      <c r="F21" s="634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idden="1" x14ac:dyDescent="0.2">
      <c r="B22" s="747" t="s">
        <v>215</v>
      </c>
      <c r="C22" s="759" t="s">
        <v>1254</v>
      </c>
      <c r="D22" s="16"/>
      <c r="E22" s="16"/>
      <c r="F22" s="634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hidden="1" x14ac:dyDescent="0.2">
      <c r="B23" s="747" t="s">
        <v>215</v>
      </c>
      <c r="C23" s="759" t="s">
        <v>1245</v>
      </c>
      <c r="D23" s="16"/>
      <c r="E23" s="16"/>
      <c r="F23" s="634">
        <f t="shared" si="0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hidden="1" x14ac:dyDescent="0.2">
      <c r="B24" s="747" t="s">
        <v>215</v>
      </c>
      <c r="C24" s="759" t="s">
        <v>1246</v>
      </c>
      <c r="D24" s="16"/>
      <c r="E24" s="16"/>
      <c r="F24" s="634">
        <f t="shared" si="0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747" t="s">
        <v>215</v>
      </c>
      <c r="C25" s="759" t="s">
        <v>1301</v>
      </c>
      <c r="D25" s="16"/>
      <c r="E25" s="16"/>
      <c r="F25" s="634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hidden="1" x14ac:dyDescent="0.2">
      <c r="B26" s="747" t="s">
        <v>215</v>
      </c>
      <c r="C26" s="759" t="s">
        <v>1276</v>
      </c>
      <c r="D26" s="16"/>
      <c r="E26" s="16"/>
      <c r="F26" s="634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747" t="s">
        <v>126</v>
      </c>
      <c r="C27" s="25" t="s">
        <v>1346</v>
      </c>
      <c r="D27" s="16">
        <v>1106</v>
      </c>
      <c r="E27" s="16"/>
      <c r="F27" s="634">
        <f>D27+E27</f>
        <v>1106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747" t="s">
        <v>126</v>
      </c>
      <c r="C28" s="25" t="s">
        <v>1347</v>
      </c>
      <c r="D28" s="16">
        <v>1000</v>
      </c>
      <c r="E28" s="16"/>
      <c r="F28" s="634">
        <f>D28+E28</f>
        <v>1000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hidden="1" x14ac:dyDescent="0.2">
      <c r="B29" s="747" t="s">
        <v>126</v>
      </c>
      <c r="C29" s="25" t="s">
        <v>994</v>
      </c>
      <c r="D29" s="16"/>
      <c r="E29" s="16"/>
      <c r="F29" s="634">
        <f>D29+E29</f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idden="1" x14ac:dyDescent="0.2">
      <c r="B30" s="747" t="s">
        <v>126</v>
      </c>
      <c r="C30" s="25" t="s">
        <v>847</v>
      </c>
      <c r="D30" s="16"/>
      <c r="E30" s="16"/>
      <c r="F30" s="634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745" t="s">
        <v>132</v>
      </c>
      <c r="C31" s="227" t="s">
        <v>223</v>
      </c>
      <c r="D31" s="233">
        <f>SUM(D32:D36)</f>
        <v>0</v>
      </c>
      <c r="E31" s="233">
        <f>SUM(E32:E36)</f>
        <v>0</v>
      </c>
      <c r="F31" s="746">
        <f>SUM(F32:F36)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hidden="1" x14ac:dyDescent="0.2">
      <c r="B32" s="747" t="s">
        <v>136</v>
      </c>
      <c r="C32" s="25" t="s">
        <v>1244</v>
      </c>
      <c r="D32" s="16"/>
      <c r="E32" s="16"/>
      <c r="F32" s="634">
        <f>D32+E32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747" t="s">
        <v>136</v>
      </c>
      <c r="C33" s="25" t="s">
        <v>995</v>
      </c>
      <c r="D33" s="16"/>
      <c r="E33" s="16"/>
      <c r="F33" s="634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747" t="s">
        <v>133</v>
      </c>
      <c r="C34" s="779" t="s">
        <v>1008</v>
      </c>
      <c r="D34" s="16"/>
      <c r="E34" s="16"/>
      <c r="F34" s="634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747" t="s">
        <v>133</v>
      </c>
      <c r="C35" s="25"/>
      <c r="D35" s="16"/>
      <c r="E35" s="16"/>
      <c r="F35" s="634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747" t="s">
        <v>133</v>
      </c>
      <c r="C36" s="135"/>
      <c r="D36" s="16"/>
      <c r="E36" s="16"/>
      <c r="F36" s="634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745" t="s">
        <v>141</v>
      </c>
      <c r="C37" s="227" t="s">
        <v>104</v>
      </c>
      <c r="D37" s="204">
        <f>SUM(D38:D41)</f>
        <v>23730</v>
      </c>
      <c r="E37" s="204">
        <f>SUM(E38:E41)</f>
        <v>45</v>
      </c>
      <c r="F37" s="638">
        <f>SUM(F38:F41)</f>
        <v>23775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x14ac:dyDescent="0.2">
      <c r="B38" s="747" t="s">
        <v>860</v>
      </c>
      <c r="C38" s="25" t="s">
        <v>997</v>
      </c>
      <c r="D38" s="16">
        <v>16000</v>
      </c>
      <c r="E38" s="607"/>
      <c r="F38" s="634">
        <f>D38+E38</f>
        <v>16000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747" t="s">
        <v>968</v>
      </c>
      <c r="C39" s="25" t="s">
        <v>996</v>
      </c>
      <c r="D39" s="16"/>
      <c r="E39" s="16"/>
      <c r="F39" s="634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">
      <c r="B40" s="747" t="s">
        <v>969</v>
      </c>
      <c r="C40" s="25" t="s">
        <v>1256</v>
      </c>
      <c r="D40" s="16">
        <v>7000</v>
      </c>
      <c r="E40" s="16"/>
      <c r="F40" s="634">
        <f>D40+E40</f>
        <v>7000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">
      <c r="B41" s="747" t="s">
        <v>147</v>
      </c>
      <c r="C41" s="25" t="s">
        <v>1390</v>
      </c>
      <c r="D41" s="16">
        <v>730</v>
      </c>
      <c r="E41" s="16">
        <v>45</v>
      </c>
      <c r="F41" s="634">
        <f>D41+E41</f>
        <v>775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59" customFormat="1" ht="15" x14ac:dyDescent="0.25">
      <c r="B42" s="745" t="s">
        <v>152</v>
      </c>
      <c r="C42" s="227" t="s">
        <v>224</v>
      </c>
      <c r="D42" s="204">
        <f>SUM(D43:D50)</f>
        <v>17240</v>
      </c>
      <c r="E42" s="204">
        <f>SUM(E43:E50)</f>
        <v>501</v>
      </c>
      <c r="F42" s="638">
        <f>SUM(F43:F50)</f>
        <v>17741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hidden="1" customHeight="1" x14ac:dyDescent="0.2">
      <c r="B43" s="747" t="s">
        <v>158</v>
      </c>
      <c r="C43" s="135" t="s">
        <v>848</v>
      </c>
      <c r="D43" s="16"/>
      <c r="E43" s="16"/>
      <c r="F43" s="634">
        <f>D43+E43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x14ac:dyDescent="0.2">
      <c r="B44" s="747" t="s">
        <v>158</v>
      </c>
      <c r="C44" s="135" t="s">
        <v>1271</v>
      </c>
      <c r="D44" s="16">
        <v>6550</v>
      </c>
      <c r="E44" s="16"/>
      <c r="F44" s="634">
        <f>D44+E44</f>
        <v>6550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747" t="s">
        <v>163</v>
      </c>
      <c r="C45" s="135" t="s">
        <v>1273</v>
      </c>
      <c r="D45" s="16"/>
      <c r="E45" s="16"/>
      <c r="F45" s="634">
        <f>D45+E45</f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x14ac:dyDescent="0.2">
      <c r="B46" s="747" t="s">
        <v>402</v>
      </c>
      <c r="C46" s="135" t="s">
        <v>1349</v>
      </c>
      <c r="D46" s="16">
        <v>10690</v>
      </c>
      <c r="E46" s="16">
        <v>501</v>
      </c>
      <c r="F46" s="634">
        <f>D46+E46</f>
        <v>11191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t="13.5" hidden="1" customHeight="1" x14ac:dyDescent="0.2">
      <c r="B47" s="747" t="s">
        <v>402</v>
      </c>
      <c r="C47" s="135" t="s">
        <v>1217</v>
      </c>
      <c r="D47" s="16"/>
      <c r="E47" s="16"/>
      <c r="F47" s="634">
        <f>D47+E47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hidden="1" customHeight="1" x14ac:dyDescent="0.2">
      <c r="B48" s="747"/>
      <c r="C48" s="135"/>
      <c r="D48" s="16"/>
      <c r="E48" s="16"/>
      <c r="F48" s="63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3.5" hidden="1" customHeight="1" x14ac:dyDescent="0.2">
      <c r="B49" s="747"/>
      <c r="C49" s="135"/>
      <c r="D49" s="16"/>
      <c r="E49" s="16"/>
      <c r="F49" s="63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t="13.5" hidden="1" customHeight="1" x14ac:dyDescent="0.2">
      <c r="B50" s="747" t="s">
        <v>159</v>
      </c>
      <c r="C50" s="135"/>
      <c r="D50" s="16"/>
      <c r="E50" s="16"/>
      <c r="F50" s="63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5" x14ac:dyDescent="0.25">
      <c r="B51" s="745" t="s">
        <v>179</v>
      </c>
      <c r="C51" s="227" t="s">
        <v>225</v>
      </c>
      <c r="D51" s="204">
        <f>SUM(D52:D53)</f>
        <v>65</v>
      </c>
      <c r="E51" s="204">
        <f>SUM(E52:E53)</f>
        <v>0</v>
      </c>
      <c r="F51" s="638">
        <f>SUM(F52:F53)</f>
        <v>65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customHeight="1" x14ac:dyDescent="0.2">
      <c r="B52" s="748" t="s">
        <v>181</v>
      </c>
      <c r="C52" s="135" t="s">
        <v>1350</v>
      </c>
      <c r="D52" s="285">
        <v>65</v>
      </c>
      <c r="E52" s="285"/>
      <c r="F52" s="634">
        <f>D52+E52</f>
        <v>65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748" t="s">
        <v>181</v>
      </c>
      <c r="C53" s="135"/>
      <c r="D53" s="285"/>
      <c r="E53" s="285"/>
      <c r="F53" s="74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5.75" customHeight="1" x14ac:dyDescent="0.25">
      <c r="B54" s="745" t="s">
        <v>190</v>
      </c>
      <c r="C54" s="227" t="s">
        <v>226</v>
      </c>
      <c r="D54" s="204">
        <f>SUM(D55:D57)</f>
        <v>10737</v>
      </c>
      <c r="E54" s="204">
        <f>SUM(E55:E57)</f>
        <v>0</v>
      </c>
      <c r="F54" s="638">
        <f>SUM(F55:F57)</f>
        <v>10737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3.5" customHeight="1" x14ac:dyDescent="0.2">
      <c r="B55" s="750" t="s">
        <v>409</v>
      </c>
      <c r="C55" s="9" t="s">
        <v>1355</v>
      </c>
      <c r="D55" s="16">
        <v>4000</v>
      </c>
      <c r="E55" s="16"/>
      <c r="F55" s="634">
        <f>D55+E55</f>
        <v>4000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customHeight="1" x14ac:dyDescent="0.2">
      <c r="B56" s="750" t="s">
        <v>409</v>
      </c>
      <c r="C56" s="25" t="s">
        <v>1307</v>
      </c>
      <c r="D56" s="16">
        <v>3600</v>
      </c>
      <c r="E56" s="16"/>
      <c r="F56" s="634">
        <f>D56+E56</f>
        <v>3600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customHeight="1" x14ac:dyDescent="0.2">
      <c r="B57" s="750" t="s">
        <v>409</v>
      </c>
      <c r="C57" s="25" t="s">
        <v>1351</v>
      </c>
      <c r="D57" s="16">
        <v>3137</v>
      </c>
      <c r="E57" s="16"/>
      <c r="F57" s="634">
        <f>D57+E57</f>
        <v>3137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4.25" customHeight="1" x14ac:dyDescent="0.25">
      <c r="B58" s="745" t="s">
        <v>191</v>
      </c>
      <c r="C58" s="227" t="s">
        <v>227</v>
      </c>
      <c r="D58" s="204">
        <f>SUM(D59:D59)</f>
        <v>0</v>
      </c>
      <c r="E58" s="204">
        <f>SUM(E59:E59)</f>
        <v>0</v>
      </c>
      <c r="F58" s="638">
        <f>SUM(F59:F59)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747" t="s">
        <v>517</v>
      </c>
      <c r="C59" s="135"/>
      <c r="D59" s="16"/>
      <c r="E59" s="16"/>
      <c r="F59" s="634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5" x14ac:dyDescent="0.25">
      <c r="B60" s="751" t="s">
        <v>816</v>
      </c>
      <c r="C60" s="752" t="s">
        <v>356</v>
      </c>
      <c r="D60" s="204">
        <f>SUM(D61+D66)</f>
        <v>15916</v>
      </c>
      <c r="E60" s="204">
        <f>SUM(E61+E66)</f>
        <v>0</v>
      </c>
      <c r="F60" s="638">
        <f>SUM(F61+F66)</f>
        <v>15916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5" x14ac:dyDescent="0.25">
      <c r="B61" s="751"/>
      <c r="C61" s="227" t="s">
        <v>817</v>
      </c>
      <c r="D61" s="204">
        <f>SUM(D62+D65)</f>
        <v>15916</v>
      </c>
      <c r="E61" s="204">
        <f>SUM(E62+E65)</f>
        <v>0</v>
      </c>
      <c r="F61" s="638">
        <f>SUM(F62+F65)</f>
        <v>15916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3.5" customHeight="1" x14ac:dyDescent="0.2">
      <c r="B62" s="747"/>
      <c r="C62" s="39" t="s">
        <v>1411</v>
      </c>
      <c r="D62" s="16">
        <f>D63+D64</f>
        <v>0</v>
      </c>
      <c r="E62" s="16">
        <f>E63+E64</f>
        <v>0</v>
      </c>
      <c r="F62" s="634">
        <f>F63+F64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s="620" customFormat="1" ht="13.5" hidden="1" customHeight="1" x14ac:dyDescent="0.2">
      <c r="B63" s="753"/>
      <c r="C63" s="618" t="s">
        <v>818</v>
      </c>
      <c r="D63" s="242"/>
      <c r="E63" s="242"/>
      <c r="F63" s="636">
        <f>SUM(D63:E63)</f>
        <v>0</v>
      </c>
      <c r="G63" s="619"/>
      <c r="H63" s="619"/>
      <c r="I63" s="619"/>
      <c r="J63" s="619"/>
      <c r="K63" s="619"/>
      <c r="L63" s="619"/>
      <c r="M63" s="619"/>
      <c r="N63" s="619"/>
      <c r="O63" s="619"/>
      <c r="P63" s="619"/>
      <c r="Q63" s="619"/>
      <c r="R63" s="619"/>
      <c r="S63" s="619"/>
      <c r="T63" s="619"/>
      <c r="U63" s="619"/>
      <c r="V63" s="619"/>
      <c r="W63" s="619"/>
      <c r="X63" s="619"/>
      <c r="Y63" s="619"/>
      <c r="Z63" s="619"/>
      <c r="AA63" s="619"/>
      <c r="AB63" s="619"/>
      <c r="AC63" s="619"/>
      <c r="AD63" s="619"/>
      <c r="AE63" s="619"/>
      <c r="AF63" s="619"/>
      <c r="AG63" s="619"/>
      <c r="AH63" s="619"/>
      <c r="AI63" s="619"/>
    </row>
    <row r="64" spans="2:35" s="620" customFormat="1" ht="13.5" hidden="1" customHeight="1" x14ac:dyDescent="0.2">
      <c r="B64" s="617"/>
      <c r="C64" s="618" t="s">
        <v>819</v>
      </c>
      <c r="D64" s="242"/>
      <c r="E64" s="242"/>
      <c r="F64" s="636"/>
      <c r="G64" s="619"/>
      <c r="H64" s="619"/>
      <c r="I64" s="619"/>
      <c r="J64" s="619"/>
      <c r="K64" s="619"/>
      <c r="L64" s="619"/>
      <c r="M64" s="619"/>
      <c r="N64" s="619"/>
      <c r="O64" s="619"/>
      <c r="P64" s="619"/>
      <c r="Q64" s="619"/>
      <c r="R64" s="619"/>
      <c r="S64" s="619"/>
      <c r="T64" s="619"/>
      <c r="U64" s="619"/>
      <c r="V64" s="619"/>
      <c r="W64" s="619"/>
      <c r="X64" s="619"/>
      <c r="Y64" s="619"/>
      <c r="Z64" s="619"/>
      <c r="AA64" s="619"/>
      <c r="AB64" s="619"/>
      <c r="AC64" s="619"/>
      <c r="AD64" s="619"/>
      <c r="AE64" s="619"/>
      <c r="AF64" s="619"/>
      <c r="AG64" s="619"/>
      <c r="AH64" s="619"/>
      <c r="AI64" s="619"/>
    </row>
    <row r="65" spans="2:35" s="620" customFormat="1" ht="13.5" customHeight="1" x14ac:dyDescent="0.2">
      <c r="B65" s="617"/>
      <c r="C65" s="39" t="s">
        <v>820</v>
      </c>
      <c r="D65" s="16">
        <v>15916</v>
      </c>
      <c r="E65" s="16"/>
      <c r="F65" s="634">
        <f>D65+E65</f>
        <v>15916</v>
      </c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</row>
    <row r="66" spans="2:35" ht="15.75" thickBot="1" x14ac:dyDescent="0.3">
      <c r="B66" s="616"/>
      <c r="C66" s="30" t="s">
        <v>821</v>
      </c>
      <c r="D66" s="51">
        <f>SUM(D67:D67)</f>
        <v>0</v>
      </c>
      <c r="E66" s="51">
        <f>SUM(E67:E67)</f>
        <v>0</v>
      </c>
      <c r="F66" s="635">
        <f>SUM(F67:F67)</f>
        <v>0</v>
      </c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ht="13.5" hidden="1" customHeight="1" thickBot="1" x14ac:dyDescent="0.25">
      <c r="B67" s="621"/>
      <c r="C67" s="9" t="s">
        <v>1300</v>
      </c>
      <c r="D67" s="93"/>
      <c r="E67" s="14"/>
      <c r="F67" s="634">
        <f>D67+E67</f>
        <v>0</v>
      </c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ht="20.25" thickBot="1" x14ac:dyDescent="0.4">
      <c r="B68" s="622"/>
      <c r="C68" s="56" t="s">
        <v>822</v>
      </c>
      <c r="D68" s="623">
        <f>SUM(D7+D60)</f>
        <v>73558</v>
      </c>
      <c r="E68" s="623">
        <f>SUM(E7+E60)</f>
        <v>546</v>
      </c>
      <c r="F68" s="57">
        <f>SUM(F7+F60)</f>
        <v>74104</v>
      </c>
      <c r="G68" s="8">
        <f>F68-F169</f>
        <v>0</v>
      </c>
      <c r="H68" s="86">
        <f>'1.Bev-kiad.'!H63</f>
        <v>74104</v>
      </c>
      <c r="J68" s="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ht="15.75" x14ac:dyDescent="0.25">
      <c r="B69" s="614" t="s">
        <v>823</v>
      </c>
      <c r="C69" s="277" t="s">
        <v>357</v>
      </c>
      <c r="D69" s="205">
        <f>SUM(D70+D145)</f>
        <v>71100</v>
      </c>
      <c r="E69" s="205">
        <f>SUM(E70+E145)</f>
        <v>3004</v>
      </c>
      <c r="F69" s="637">
        <f>SUM(F70+F145)</f>
        <v>74104</v>
      </c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ht="15" x14ac:dyDescent="0.25">
      <c r="B70" s="615" t="s">
        <v>205</v>
      </c>
      <c r="C70" s="227" t="s">
        <v>8</v>
      </c>
      <c r="D70" s="46">
        <f>SUM(D71:D144)</f>
        <v>71035</v>
      </c>
      <c r="E70" s="46">
        <f>SUM(E71:E144)</f>
        <v>3000</v>
      </c>
      <c r="F70" s="633">
        <f>SUM(F71:F144)</f>
        <v>74035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idden="1" x14ac:dyDescent="0.2">
      <c r="B71" s="616" t="s">
        <v>824</v>
      </c>
      <c r="C71" s="9" t="s">
        <v>1274</v>
      </c>
      <c r="D71" s="285"/>
      <c r="E71" s="285"/>
      <c r="F71" s="634">
        <f t="shared" ref="F71:F144" si="1">D71+E71</f>
        <v>0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x14ac:dyDescent="0.2">
      <c r="B72" s="616" t="s">
        <v>824</v>
      </c>
      <c r="C72" s="9" t="s">
        <v>1337</v>
      </c>
      <c r="D72" s="285"/>
      <c r="E72" s="285">
        <f>-760-380</f>
        <v>-1140</v>
      </c>
      <c r="F72" s="634">
        <f t="shared" si="1"/>
        <v>-1140</v>
      </c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x14ac:dyDescent="0.2">
      <c r="B73" s="616" t="s">
        <v>966</v>
      </c>
      <c r="C73" s="9" t="s">
        <v>1325</v>
      </c>
      <c r="D73" s="285"/>
      <c r="E73" s="285">
        <v>370</v>
      </c>
      <c r="F73" s="634">
        <f t="shared" si="1"/>
        <v>370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hidden="1" x14ac:dyDescent="0.2">
      <c r="B74" s="747" t="s">
        <v>843</v>
      </c>
      <c r="C74" s="25" t="s">
        <v>1275</v>
      </c>
      <c r="D74" s="285"/>
      <c r="E74" s="285"/>
      <c r="F74" s="634">
        <f t="shared" si="1"/>
        <v>0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747" t="s">
        <v>867</v>
      </c>
      <c r="C75" s="25" t="s">
        <v>1336</v>
      </c>
      <c r="D75" s="285"/>
      <c r="E75" s="285">
        <v>-841</v>
      </c>
      <c r="F75" s="634">
        <f t="shared" si="1"/>
        <v>-841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hidden="1" x14ac:dyDescent="0.2">
      <c r="B76" s="747" t="s">
        <v>856</v>
      </c>
      <c r="C76" s="25" t="s">
        <v>1289</v>
      </c>
      <c r="D76" s="285"/>
      <c r="E76" s="285"/>
      <c r="F76" s="634">
        <f t="shared" si="1"/>
        <v>0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hidden="1" x14ac:dyDescent="0.2">
      <c r="B77" s="747" t="s">
        <v>856</v>
      </c>
      <c r="C77" s="25" t="s">
        <v>989</v>
      </c>
      <c r="D77" s="285"/>
      <c r="E77" s="285"/>
      <c r="F77" s="634">
        <f t="shared" si="1"/>
        <v>0</v>
      </c>
      <c r="G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747" t="s">
        <v>866</v>
      </c>
      <c r="C78" s="25" t="s">
        <v>1356</v>
      </c>
      <c r="D78" s="285">
        <v>5</v>
      </c>
      <c r="E78" s="285"/>
      <c r="F78" s="634">
        <f t="shared" si="1"/>
        <v>5</v>
      </c>
      <c r="G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hidden="1" x14ac:dyDescent="0.2">
      <c r="B79" s="747" t="s">
        <v>866</v>
      </c>
      <c r="C79" s="25" t="s">
        <v>1003</v>
      </c>
      <c r="D79" s="285"/>
      <c r="E79" s="285"/>
      <c r="F79" s="634">
        <f t="shared" si="1"/>
        <v>0</v>
      </c>
      <c r="G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hidden="1" x14ac:dyDescent="0.2">
      <c r="B80" s="747" t="s">
        <v>825</v>
      </c>
      <c r="C80" s="25" t="s">
        <v>990</v>
      </c>
      <c r="D80" s="285"/>
      <c r="E80" s="285"/>
      <c r="F80" s="634">
        <f t="shared" si="1"/>
        <v>0</v>
      </c>
      <c r="G80" s="2"/>
      <c r="I80" s="8"/>
      <c r="J80" s="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747" t="s">
        <v>825</v>
      </c>
      <c r="C81" s="25" t="s">
        <v>1205</v>
      </c>
      <c r="D81" s="285"/>
      <c r="E81" s="285"/>
      <c r="F81" s="634">
        <f t="shared" si="1"/>
        <v>0</v>
      </c>
      <c r="G81" s="2"/>
      <c r="I81" s="8"/>
      <c r="J81" s="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x14ac:dyDescent="0.2">
      <c r="B82" s="747" t="s">
        <v>825</v>
      </c>
      <c r="C82" s="25" t="s">
        <v>1366</v>
      </c>
      <c r="D82" s="285">
        <f>51+149+190</f>
        <v>390</v>
      </c>
      <c r="E82" s="285">
        <f>546+1981</f>
        <v>2527</v>
      </c>
      <c r="F82" s="634">
        <f t="shared" si="1"/>
        <v>2917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747" t="s">
        <v>825</v>
      </c>
      <c r="C83" s="25" t="s">
        <v>1216</v>
      </c>
      <c r="D83" s="285"/>
      <c r="E83" s="285"/>
      <c r="F83" s="634">
        <f t="shared" si="1"/>
        <v>0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x14ac:dyDescent="0.2">
      <c r="B84" s="747" t="s">
        <v>1206</v>
      </c>
      <c r="C84" s="25" t="s">
        <v>1357</v>
      </c>
      <c r="D84" s="285">
        <v>-5</v>
      </c>
      <c r="E84" s="285"/>
      <c r="F84" s="634">
        <f t="shared" si="1"/>
        <v>-5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747" t="s">
        <v>1206</v>
      </c>
      <c r="C85" s="25" t="s">
        <v>1358</v>
      </c>
      <c r="D85" s="285">
        <f>-51-149-190</f>
        <v>-390</v>
      </c>
      <c r="E85" s="285"/>
      <c r="F85" s="634">
        <f t="shared" si="1"/>
        <v>-390</v>
      </c>
      <c r="G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hidden="1" x14ac:dyDescent="0.2">
      <c r="B86" s="747" t="s">
        <v>826</v>
      </c>
      <c r="C86" s="25" t="s">
        <v>1291</v>
      </c>
      <c r="D86" s="285"/>
      <c r="E86" s="285"/>
      <c r="F86" s="634">
        <f t="shared" si="1"/>
        <v>0</v>
      </c>
      <c r="G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hidden="1" x14ac:dyDescent="0.2">
      <c r="B87" s="747" t="s">
        <v>842</v>
      </c>
      <c r="C87" s="25" t="s">
        <v>1249</v>
      </c>
      <c r="D87" s="285"/>
      <c r="E87" s="285"/>
      <c r="F87" s="634">
        <f t="shared" si="1"/>
        <v>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hidden="1" x14ac:dyDescent="0.2">
      <c r="B88" s="747" t="s">
        <v>842</v>
      </c>
      <c r="C88" s="25" t="s">
        <v>1290</v>
      </c>
      <c r="D88" s="285"/>
      <c r="E88" s="285"/>
      <c r="F88" s="634">
        <f t="shared" si="1"/>
        <v>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hidden="1" x14ac:dyDescent="0.2">
      <c r="B89" s="747" t="s">
        <v>218</v>
      </c>
      <c r="C89" s="25" t="s">
        <v>987</v>
      </c>
      <c r="D89" s="285"/>
      <c r="E89" s="285"/>
      <c r="F89" s="634">
        <f t="shared" si="1"/>
        <v>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747" t="s">
        <v>1218</v>
      </c>
      <c r="C90" s="25" t="s">
        <v>1363</v>
      </c>
      <c r="D90" s="285">
        <v>-100</v>
      </c>
      <c r="E90" s="285">
        <f>-97-63-27</f>
        <v>-187</v>
      </c>
      <c r="F90" s="634">
        <f t="shared" si="1"/>
        <v>-287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747" t="s">
        <v>986</v>
      </c>
      <c r="C91" s="25" t="s">
        <v>1326</v>
      </c>
      <c r="D91" s="285"/>
      <c r="E91" s="285">
        <v>390</v>
      </c>
      <c r="F91" s="634">
        <f t="shared" si="1"/>
        <v>390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747" t="s">
        <v>986</v>
      </c>
      <c r="C92" s="25" t="s">
        <v>1327</v>
      </c>
      <c r="D92" s="285"/>
      <c r="E92" s="285">
        <v>366</v>
      </c>
      <c r="F92" s="634">
        <f t="shared" si="1"/>
        <v>366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747" t="s">
        <v>986</v>
      </c>
      <c r="C93" s="25" t="s">
        <v>1328</v>
      </c>
      <c r="D93" s="285"/>
      <c r="E93" s="285">
        <v>197</v>
      </c>
      <c r="F93" s="634">
        <f t="shared" si="1"/>
        <v>197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x14ac:dyDescent="0.2">
      <c r="B94" s="747" t="s">
        <v>1329</v>
      </c>
      <c r="C94" s="25" t="s">
        <v>1330</v>
      </c>
      <c r="D94" s="285"/>
      <c r="E94" s="285">
        <v>54</v>
      </c>
      <c r="F94" s="634">
        <f t="shared" si="1"/>
        <v>54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747" t="s">
        <v>1329</v>
      </c>
      <c r="C95" s="25" t="s">
        <v>1360</v>
      </c>
      <c r="D95" s="285">
        <v>11</v>
      </c>
      <c r="E95" s="285"/>
      <c r="F95" s="634">
        <f t="shared" si="1"/>
        <v>11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x14ac:dyDescent="0.2">
      <c r="B96" s="747" t="s">
        <v>1329</v>
      </c>
      <c r="C96" s="25" t="s">
        <v>1361</v>
      </c>
      <c r="D96" s="285">
        <v>389</v>
      </c>
      <c r="E96" s="285"/>
      <c r="F96" s="634">
        <f t="shared" si="1"/>
        <v>389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hidden="1" x14ac:dyDescent="0.2">
      <c r="B97" s="747" t="s">
        <v>1219</v>
      </c>
      <c r="C97" s="25" t="s">
        <v>1277</v>
      </c>
      <c r="D97" s="285"/>
      <c r="E97" s="285"/>
      <c r="F97" s="634">
        <f t="shared" si="1"/>
        <v>0</v>
      </c>
      <c r="G97" s="2"/>
      <c r="I97" s="8"/>
      <c r="J97" s="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x14ac:dyDescent="0.2">
      <c r="B98" s="747" t="s">
        <v>827</v>
      </c>
      <c r="C98" s="25" t="s">
        <v>1338</v>
      </c>
      <c r="D98" s="285"/>
      <c r="E98" s="285">
        <v>97</v>
      </c>
      <c r="F98" s="634">
        <f t="shared" si="1"/>
        <v>97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x14ac:dyDescent="0.2">
      <c r="B99" s="747" t="s">
        <v>1207</v>
      </c>
      <c r="C99" s="25" t="s">
        <v>1401</v>
      </c>
      <c r="D99" s="285">
        <v>7220</v>
      </c>
      <c r="E99" s="285"/>
      <c r="F99" s="634">
        <f t="shared" si="1"/>
        <v>7220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x14ac:dyDescent="0.2">
      <c r="B100" s="747" t="s">
        <v>1364</v>
      </c>
      <c r="C100" s="25" t="s">
        <v>1365</v>
      </c>
      <c r="D100" s="285">
        <v>-100</v>
      </c>
      <c r="E100" s="285"/>
      <c r="F100" s="634">
        <f t="shared" si="1"/>
        <v>-100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x14ac:dyDescent="0.2">
      <c r="B101" s="747" t="s">
        <v>1220</v>
      </c>
      <c r="C101" s="25" t="s">
        <v>1362</v>
      </c>
      <c r="D101" s="285">
        <f>135+100+100+425</f>
        <v>760</v>
      </c>
      <c r="E101" s="285"/>
      <c r="F101" s="634">
        <f t="shared" si="1"/>
        <v>760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hidden="1" x14ac:dyDescent="0.2">
      <c r="B102" s="747" t="s">
        <v>1220</v>
      </c>
      <c r="C102" s="25" t="s">
        <v>1280</v>
      </c>
      <c r="D102" s="285"/>
      <c r="E102" s="285"/>
      <c r="F102" s="634">
        <f t="shared" si="1"/>
        <v>0</v>
      </c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hidden="1" x14ac:dyDescent="0.2">
      <c r="B103" s="747" t="s">
        <v>1220</v>
      </c>
      <c r="C103" s="25" t="s">
        <v>1281</v>
      </c>
      <c r="D103" s="285"/>
      <c r="E103" s="285"/>
      <c r="F103" s="634">
        <f t="shared" si="1"/>
        <v>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hidden="1" x14ac:dyDescent="0.2">
      <c r="B104" s="747" t="s">
        <v>1278</v>
      </c>
      <c r="C104" s="25" t="s">
        <v>1279</v>
      </c>
      <c r="D104" s="285"/>
      <c r="E104" s="285"/>
      <c r="F104" s="634">
        <f t="shared" si="1"/>
        <v>0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747" t="s">
        <v>828</v>
      </c>
      <c r="C105" s="25" t="s">
        <v>1243</v>
      </c>
      <c r="D105" s="285"/>
      <c r="E105" s="285"/>
      <c r="F105" s="634">
        <f t="shared" si="1"/>
        <v>0</v>
      </c>
      <c r="G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hidden="1" x14ac:dyDescent="0.2">
      <c r="B106" s="747" t="s">
        <v>828</v>
      </c>
      <c r="C106" s="25" t="s">
        <v>1258</v>
      </c>
      <c r="D106" s="285"/>
      <c r="E106" s="285"/>
      <c r="F106" s="634">
        <f t="shared" si="1"/>
        <v>0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hidden="1" x14ac:dyDescent="0.2">
      <c r="B107" s="747" t="s">
        <v>828</v>
      </c>
      <c r="C107" s="25" t="s">
        <v>1262</v>
      </c>
      <c r="D107" s="285"/>
      <c r="E107" s="285"/>
      <c r="F107" s="634">
        <f t="shared" si="1"/>
        <v>0</v>
      </c>
      <c r="G107" s="2"/>
      <c r="I107" s="8"/>
      <c r="J107" s="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hidden="1" x14ac:dyDescent="0.2">
      <c r="B108" s="747" t="s">
        <v>828</v>
      </c>
      <c r="C108" s="25" t="s">
        <v>1265</v>
      </c>
      <c r="D108" s="285"/>
      <c r="E108" s="285"/>
      <c r="F108" s="634">
        <f t="shared" si="1"/>
        <v>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hidden="1" x14ac:dyDescent="0.2">
      <c r="B109" s="747" t="s">
        <v>828</v>
      </c>
      <c r="C109" s="25" t="s">
        <v>1272</v>
      </c>
      <c r="D109" s="285"/>
      <c r="E109" s="285"/>
      <c r="F109" s="634">
        <f t="shared" si="1"/>
        <v>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hidden="1" x14ac:dyDescent="0.2">
      <c r="B110" s="747" t="s">
        <v>828</v>
      </c>
      <c r="C110" s="25" t="s">
        <v>1284</v>
      </c>
      <c r="D110" s="285"/>
      <c r="E110" s="285"/>
      <c r="F110" s="634">
        <f t="shared" si="1"/>
        <v>0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hidden="1" x14ac:dyDescent="0.2">
      <c r="B111" s="747" t="s">
        <v>828</v>
      </c>
      <c r="C111" s="25" t="s">
        <v>999</v>
      </c>
      <c r="D111" s="285"/>
      <c r="E111" s="285"/>
      <c r="F111" s="634">
        <f t="shared" si="1"/>
        <v>0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hidden="1" x14ac:dyDescent="0.2">
      <c r="B112" s="747" t="s">
        <v>828</v>
      </c>
      <c r="C112" s="25" t="s">
        <v>1000</v>
      </c>
      <c r="D112" s="285"/>
      <c r="E112" s="285"/>
      <c r="F112" s="634">
        <f t="shared" si="1"/>
        <v>0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hidden="1" x14ac:dyDescent="0.2">
      <c r="B113" s="747" t="s">
        <v>828</v>
      </c>
      <c r="C113" s="25" t="s">
        <v>1001</v>
      </c>
      <c r="D113" s="285"/>
      <c r="E113" s="285"/>
      <c r="F113" s="634">
        <f t="shared" si="1"/>
        <v>0</v>
      </c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x14ac:dyDescent="0.2">
      <c r="B114" s="747" t="s">
        <v>829</v>
      </c>
      <c r="C114" s="25" t="s">
        <v>1332</v>
      </c>
      <c r="D114" s="285"/>
      <c r="E114" s="285">
        <v>678</v>
      </c>
      <c r="F114" s="634">
        <f t="shared" ref="F114:F119" si="2">D114+E114</f>
        <v>678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747" t="s">
        <v>829</v>
      </c>
      <c r="C115" s="25" t="s">
        <v>1331</v>
      </c>
      <c r="D115" s="285"/>
      <c r="E115" s="285">
        <v>130</v>
      </c>
      <c r="F115" s="634">
        <f t="shared" si="2"/>
        <v>130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747" t="s">
        <v>829</v>
      </c>
      <c r="C116" s="25" t="s">
        <v>1333</v>
      </c>
      <c r="D116" s="285"/>
      <c r="E116" s="285">
        <v>197</v>
      </c>
      <c r="F116" s="634">
        <f t="shared" si="2"/>
        <v>197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747" t="s">
        <v>829</v>
      </c>
      <c r="C117" s="25" t="s">
        <v>1339</v>
      </c>
      <c r="D117" s="285"/>
      <c r="E117" s="285">
        <v>63</v>
      </c>
      <c r="F117" s="634">
        <f t="shared" si="2"/>
        <v>63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747" t="s">
        <v>829</v>
      </c>
      <c r="C118" s="25" t="s">
        <v>1359</v>
      </c>
      <c r="D118" s="285">
        <v>-11</v>
      </c>
      <c r="E118" s="285"/>
      <c r="F118" s="634">
        <f t="shared" si="2"/>
        <v>-11</v>
      </c>
      <c r="G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747" t="s">
        <v>829</v>
      </c>
      <c r="C119" s="25" t="s">
        <v>1367</v>
      </c>
      <c r="D119" s="285">
        <f>475+525</f>
        <v>1000</v>
      </c>
      <c r="E119" s="285"/>
      <c r="F119" s="634">
        <f t="shared" si="2"/>
        <v>1000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747" t="s">
        <v>998</v>
      </c>
      <c r="C120" s="25" t="s">
        <v>1334</v>
      </c>
      <c r="D120" s="285"/>
      <c r="E120" s="285">
        <f>72+27</f>
        <v>99</v>
      </c>
      <c r="F120" s="634">
        <f t="shared" si="1"/>
        <v>99</v>
      </c>
      <c r="G120" s="2"/>
      <c r="I120" s="8"/>
      <c r="J120" s="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747" t="s">
        <v>1368</v>
      </c>
      <c r="C121" s="25" t="s">
        <v>1369</v>
      </c>
      <c r="D121" s="285">
        <v>-475</v>
      </c>
      <c r="E121" s="285"/>
      <c r="F121" s="634">
        <f t="shared" si="1"/>
        <v>-475</v>
      </c>
      <c r="G121" s="2"/>
      <c r="I121" s="8"/>
      <c r="J121" s="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ht="12" hidden="1" customHeight="1" x14ac:dyDescent="0.2">
      <c r="B122" s="747" t="s">
        <v>830</v>
      </c>
      <c r="C122" s="25" t="s">
        <v>831</v>
      </c>
      <c r="D122" s="285"/>
      <c r="E122" s="285"/>
      <c r="F122" s="634">
        <f t="shared" si="1"/>
        <v>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x14ac:dyDescent="0.2">
      <c r="B123" s="747" t="s">
        <v>1370</v>
      </c>
      <c r="C123" s="25" t="s">
        <v>1371</v>
      </c>
      <c r="D123" s="285">
        <v>1281</v>
      </c>
      <c r="E123" s="285"/>
      <c r="F123" s="634">
        <f t="shared" si="1"/>
        <v>1281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hidden="1" x14ac:dyDescent="0.2">
      <c r="B124" s="747" t="s">
        <v>862</v>
      </c>
      <c r="C124" s="25" t="s">
        <v>1009</v>
      </c>
      <c r="D124" s="285"/>
      <c r="E124" s="285"/>
      <c r="F124" s="634">
        <f t="shared" si="1"/>
        <v>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x14ac:dyDescent="0.2">
      <c r="B125" s="747" t="s">
        <v>832</v>
      </c>
      <c r="C125" s="25" t="s">
        <v>1372</v>
      </c>
      <c r="D125" s="285">
        <v>296</v>
      </c>
      <c r="E125" s="285"/>
      <c r="F125" s="634">
        <f t="shared" si="1"/>
        <v>296</v>
      </c>
      <c r="G125" s="2"/>
      <c r="I125" s="8"/>
      <c r="J125" s="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hidden="1" x14ac:dyDescent="0.2">
      <c r="B126" s="747" t="s">
        <v>971</v>
      </c>
      <c r="C126" s="25" t="s">
        <v>1209</v>
      </c>
      <c r="D126" s="285"/>
      <c r="E126" s="285"/>
      <c r="F126" s="634">
        <f t="shared" si="1"/>
        <v>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x14ac:dyDescent="0.2">
      <c r="B127" s="747" t="s">
        <v>1373</v>
      </c>
      <c r="C127" s="25" t="s">
        <v>1374</v>
      </c>
      <c r="D127" s="285">
        <v>1005</v>
      </c>
      <c r="E127" s="285"/>
      <c r="F127" s="634">
        <f t="shared" si="1"/>
        <v>1005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747" t="s">
        <v>1210</v>
      </c>
      <c r="C128" s="9" t="s">
        <v>1211</v>
      </c>
      <c r="D128" s="285"/>
      <c r="E128" s="285"/>
      <c r="F128" s="634">
        <f t="shared" si="1"/>
        <v>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idden="1" x14ac:dyDescent="0.2">
      <c r="B129" s="624" t="s">
        <v>1210</v>
      </c>
      <c r="C129" s="20" t="s">
        <v>1225</v>
      </c>
      <c r="D129" s="285"/>
      <c r="E129" s="285"/>
      <c r="F129" s="634">
        <f t="shared" si="1"/>
        <v>0</v>
      </c>
      <c r="G129" s="2"/>
      <c r="H129" s="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624" t="s">
        <v>833</v>
      </c>
      <c r="C130" s="26" t="s">
        <v>1340</v>
      </c>
      <c r="D130" s="285">
        <f>1167-389+818+2458</f>
        <v>4054</v>
      </c>
      <c r="E130" s="285"/>
      <c r="F130" s="634">
        <f t="shared" si="1"/>
        <v>4054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x14ac:dyDescent="0.2">
      <c r="B131" s="624" t="s">
        <v>833</v>
      </c>
      <c r="C131" s="20" t="s">
        <v>1376</v>
      </c>
      <c r="D131" s="285">
        <v>352</v>
      </c>
      <c r="E131" s="285"/>
      <c r="F131" s="634">
        <f t="shared" si="1"/>
        <v>352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x14ac:dyDescent="0.2">
      <c r="B132" s="624" t="s">
        <v>833</v>
      </c>
      <c r="C132" s="20" t="s">
        <v>1377</v>
      </c>
      <c r="D132" s="285">
        <v>1287</v>
      </c>
      <c r="E132" s="285"/>
      <c r="F132" s="634">
        <f t="shared" si="1"/>
        <v>1287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x14ac:dyDescent="0.2">
      <c r="B133" s="624" t="s">
        <v>833</v>
      </c>
      <c r="C133" s="9" t="s">
        <v>1379</v>
      </c>
      <c r="D133" s="16">
        <v>25</v>
      </c>
      <c r="E133" s="285"/>
      <c r="F133" s="634">
        <f t="shared" si="1"/>
        <v>25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hidden="1" x14ac:dyDescent="0.2">
      <c r="B134" s="624" t="s">
        <v>833</v>
      </c>
      <c r="C134" s="20" t="s">
        <v>1252</v>
      </c>
      <c r="D134" s="285"/>
      <c r="E134" s="285"/>
      <c r="F134" s="634">
        <f t="shared" si="1"/>
        <v>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s="229" customFormat="1" ht="12" hidden="1" customHeight="1" x14ac:dyDescent="0.2">
      <c r="B135" s="624" t="s">
        <v>833</v>
      </c>
      <c r="C135" s="20" t="s">
        <v>1202</v>
      </c>
      <c r="D135" s="16"/>
      <c r="E135" s="16"/>
      <c r="F135" s="634">
        <f t="shared" si="1"/>
        <v>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s="229" customFormat="1" ht="12" customHeight="1" x14ac:dyDescent="0.2">
      <c r="B136" s="624" t="s">
        <v>833</v>
      </c>
      <c r="C136" s="25" t="s">
        <v>1341</v>
      </c>
      <c r="D136" s="16">
        <v>-290</v>
      </c>
      <c r="E136" s="16"/>
      <c r="F136" s="634">
        <f t="shared" si="1"/>
        <v>-290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s="229" customFormat="1" ht="12" customHeight="1" x14ac:dyDescent="0.2">
      <c r="B137" s="624" t="s">
        <v>833</v>
      </c>
      <c r="C137" s="20" t="s">
        <v>1402</v>
      </c>
      <c r="D137" s="16">
        <v>-7220</v>
      </c>
      <c r="E137" s="16"/>
      <c r="F137" s="634">
        <f t="shared" si="1"/>
        <v>-7220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s="229" customFormat="1" ht="12" hidden="1" customHeight="1" x14ac:dyDescent="0.2">
      <c r="B138" s="624" t="s">
        <v>833</v>
      </c>
      <c r="C138" s="25" t="s">
        <v>1007</v>
      </c>
      <c r="D138" s="16"/>
      <c r="E138" s="16"/>
      <c r="F138" s="634">
        <f t="shared" si="1"/>
        <v>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s="229" customFormat="1" hidden="1" x14ac:dyDescent="0.2">
      <c r="B139" s="616" t="s">
        <v>834</v>
      </c>
      <c r="C139" s="9" t="s">
        <v>1247</v>
      </c>
      <c r="D139" s="16"/>
      <c r="E139" s="16"/>
      <c r="F139" s="634">
        <f t="shared" si="1"/>
        <v>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s="229" customFormat="1" x14ac:dyDescent="0.2">
      <c r="B140" s="616" t="s">
        <v>834</v>
      </c>
      <c r="C140" s="9" t="s">
        <v>1354</v>
      </c>
      <c r="D140" s="16">
        <v>4000</v>
      </c>
      <c r="E140" s="16"/>
      <c r="F140" s="634">
        <f t="shared" si="1"/>
        <v>4000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s="229" customFormat="1" x14ac:dyDescent="0.2">
      <c r="B141" s="616" t="s">
        <v>834</v>
      </c>
      <c r="C141" s="9" t="s">
        <v>1378</v>
      </c>
      <c r="D141" s="16">
        <v>-25</v>
      </c>
      <c r="E141" s="16"/>
      <c r="F141" s="634">
        <f t="shared" si="1"/>
        <v>-25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s="229" customFormat="1" hidden="1" x14ac:dyDescent="0.2">
      <c r="B142" s="616" t="s">
        <v>834</v>
      </c>
      <c r="C142" s="27" t="s">
        <v>1010</v>
      </c>
      <c r="D142" s="16"/>
      <c r="E142" s="16"/>
      <c r="F142" s="634">
        <f t="shared" si="1"/>
        <v>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t="13.5" customHeight="1" x14ac:dyDescent="0.2">
      <c r="B143" s="616" t="s">
        <v>835</v>
      </c>
      <c r="C143" s="25" t="s">
        <v>1292</v>
      </c>
      <c r="D143" s="16">
        <f>-2458+1106+1000+6550+10690+3137+3600+15916-389-135-425-525-1281-296-1005-352-1287+16000+7000+730</f>
        <v>57576</v>
      </c>
      <c r="E143" s="16"/>
      <c r="F143" s="634">
        <f t="shared" si="1"/>
        <v>57576</v>
      </c>
      <c r="G143" s="2"/>
      <c r="H143" s="8">
        <f>'2.működés'!H126</f>
        <v>57576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ht="13.5" hidden="1" customHeight="1" x14ac:dyDescent="0.2">
      <c r="B144" s="616" t="s">
        <v>835</v>
      </c>
      <c r="C144" s="25" t="s">
        <v>836</v>
      </c>
      <c r="D144" s="16"/>
      <c r="E144" s="16"/>
      <c r="F144" s="634">
        <f t="shared" si="1"/>
        <v>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ht="15" x14ac:dyDescent="0.25">
      <c r="B145" s="615" t="s">
        <v>206</v>
      </c>
      <c r="C145" s="227" t="s">
        <v>228</v>
      </c>
      <c r="D145" s="204">
        <f>SUM(D146:D162)+D165+D166</f>
        <v>65</v>
      </c>
      <c r="E145" s="204">
        <f>SUM(E146:E162)+E165</f>
        <v>4</v>
      </c>
      <c r="F145" s="638">
        <f>SUM(F146:F162)+F165+F166</f>
        <v>69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s="625" customFormat="1" x14ac:dyDescent="0.2">
      <c r="B146" s="624" t="s">
        <v>255</v>
      </c>
      <c r="C146" s="25" t="s">
        <v>1335</v>
      </c>
      <c r="D146" s="16"/>
      <c r="E146" s="285">
        <v>4</v>
      </c>
      <c r="F146" s="634">
        <f t="shared" ref="F146:F154" si="3">D146+E146</f>
        <v>4</v>
      </c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 s="59" customFormat="1" ht="13.5" customHeight="1" x14ac:dyDescent="0.2">
      <c r="B147" s="624" t="s">
        <v>255</v>
      </c>
      <c r="C147" s="25" t="s">
        <v>1382</v>
      </c>
      <c r="D147" s="16">
        <v>66</v>
      </c>
      <c r="E147" s="16"/>
      <c r="F147" s="634">
        <f t="shared" si="3"/>
        <v>66</v>
      </c>
      <c r="G147" s="8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s="59" customFormat="1" ht="13.5" customHeight="1" x14ac:dyDescent="0.2">
      <c r="B148" s="624" t="s">
        <v>255</v>
      </c>
      <c r="C148" s="25" t="s">
        <v>1383</v>
      </c>
      <c r="D148" s="16">
        <v>324</v>
      </c>
      <c r="E148" s="16"/>
      <c r="F148" s="634">
        <f t="shared" si="3"/>
        <v>324</v>
      </c>
      <c r="G148" s="8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s="59" customFormat="1" ht="13.5" customHeight="1" x14ac:dyDescent="0.2">
      <c r="B149" s="624" t="s">
        <v>255</v>
      </c>
      <c r="C149" s="25" t="s">
        <v>1384</v>
      </c>
      <c r="D149" s="16">
        <v>648</v>
      </c>
      <c r="E149" s="16"/>
      <c r="F149" s="634">
        <f t="shared" si="3"/>
        <v>648</v>
      </c>
      <c r="G149" s="8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s="59" customFormat="1" ht="13.5" customHeight="1" x14ac:dyDescent="0.2">
      <c r="B150" s="624" t="s">
        <v>372</v>
      </c>
      <c r="C150" s="25" t="s">
        <v>1385</v>
      </c>
      <c r="D150" s="16">
        <v>410</v>
      </c>
      <c r="E150" s="16"/>
      <c r="F150" s="634">
        <f t="shared" si="3"/>
        <v>410</v>
      </c>
      <c r="G150" s="8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s="59" customFormat="1" ht="13.5" customHeight="1" x14ac:dyDescent="0.2">
      <c r="B151" s="624" t="s">
        <v>372</v>
      </c>
      <c r="C151" s="25" t="s">
        <v>1285</v>
      </c>
      <c r="D151" s="16">
        <v>-20</v>
      </c>
      <c r="E151" s="16"/>
      <c r="F151" s="634">
        <f t="shared" si="3"/>
        <v>-20</v>
      </c>
      <c r="G151" s="8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s="59" customFormat="1" ht="13.5" hidden="1" customHeight="1" x14ac:dyDescent="0.2">
      <c r="B152" s="624" t="s">
        <v>372</v>
      </c>
      <c r="C152" s="25" t="s">
        <v>1260</v>
      </c>
      <c r="D152" s="16"/>
      <c r="E152" s="16"/>
      <c r="F152" s="634">
        <f t="shared" si="3"/>
        <v>0</v>
      </c>
      <c r="G152" s="8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59" customFormat="1" ht="13.5" hidden="1" customHeight="1" x14ac:dyDescent="0.2">
      <c r="B153" s="624" t="s">
        <v>372</v>
      </c>
      <c r="C153" s="25" t="s">
        <v>1263</v>
      </c>
      <c r="D153" s="16"/>
      <c r="E153" s="16"/>
      <c r="F153" s="634">
        <f t="shared" si="3"/>
        <v>0</v>
      </c>
      <c r="G153" s="8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59" customFormat="1" ht="13.5" hidden="1" customHeight="1" x14ac:dyDescent="0.2">
      <c r="B154" s="624" t="s">
        <v>372</v>
      </c>
      <c r="C154" s="25" t="s">
        <v>1285</v>
      </c>
      <c r="D154" s="16"/>
      <c r="E154" s="16"/>
      <c r="F154" s="634">
        <f t="shared" si="3"/>
        <v>0</v>
      </c>
      <c r="G154" s="8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s="59" customFormat="1" ht="13.5" hidden="1" customHeight="1" x14ac:dyDescent="0.2">
      <c r="B155" s="624" t="s">
        <v>372</v>
      </c>
      <c r="C155" s="25" t="s">
        <v>1288</v>
      </c>
      <c r="D155" s="16"/>
      <c r="E155" s="16"/>
      <c r="F155" s="634">
        <f t="shared" ref="F155:F168" si="4">D155+E155</f>
        <v>0</v>
      </c>
      <c r="G155" s="8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s="59" customFormat="1" ht="13.5" hidden="1" customHeight="1" x14ac:dyDescent="0.2">
      <c r="B156" s="624"/>
      <c r="C156" s="25"/>
      <c r="D156" s="16"/>
      <c r="E156" s="16"/>
      <c r="F156" s="634">
        <f t="shared" si="4"/>
        <v>0</v>
      </c>
      <c r="G156" s="8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s="59" customFormat="1" hidden="1" x14ac:dyDescent="0.2">
      <c r="B157" s="624"/>
      <c r="C157" s="135" t="s">
        <v>970</v>
      </c>
      <c r="D157" s="16"/>
      <c r="E157" s="16"/>
      <c r="F157" s="634">
        <f t="shared" si="4"/>
        <v>0</v>
      </c>
      <c r="G157" s="8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s="59" customFormat="1" ht="13.5" hidden="1" customHeight="1" x14ac:dyDescent="0.2">
      <c r="B158" s="624"/>
      <c r="C158" s="25"/>
      <c r="D158" s="16"/>
      <c r="E158" s="16"/>
      <c r="F158" s="634">
        <f t="shared" si="4"/>
        <v>0</v>
      </c>
      <c r="G158" s="8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s="59" customFormat="1" ht="13.5" hidden="1" customHeight="1" x14ac:dyDescent="0.2">
      <c r="B159" s="624" t="s">
        <v>840</v>
      </c>
      <c r="C159" s="9" t="s">
        <v>851</v>
      </c>
      <c r="D159" s="16"/>
      <c r="E159" s="16"/>
      <c r="F159" s="634">
        <f t="shared" si="4"/>
        <v>0</v>
      </c>
      <c r="G159" s="8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s="59" customFormat="1" ht="13.5" hidden="1" customHeight="1" x14ac:dyDescent="0.2">
      <c r="B160" s="624" t="s">
        <v>840</v>
      </c>
      <c r="C160" s="9" t="s">
        <v>852</v>
      </c>
      <c r="D160" s="16"/>
      <c r="E160" s="16"/>
      <c r="F160" s="634">
        <f t="shared" si="4"/>
        <v>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s="59" customFormat="1" ht="13.5" hidden="1" customHeight="1" x14ac:dyDescent="0.2">
      <c r="B161" s="624" t="s">
        <v>840</v>
      </c>
      <c r="C161" s="25" t="s">
        <v>855</v>
      </c>
      <c r="D161" s="16"/>
      <c r="E161" s="16"/>
      <c r="F161" s="634">
        <f t="shared" si="4"/>
        <v>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s="59" customFormat="1" ht="13.5" customHeight="1" x14ac:dyDescent="0.25">
      <c r="B162" s="615" t="s">
        <v>371</v>
      </c>
      <c r="C162" s="626" t="s">
        <v>1222</v>
      </c>
      <c r="D162" s="627">
        <f>SUM(D163:D164)</f>
        <v>20</v>
      </c>
      <c r="E162" s="627">
        <f>SUM(E163:E164)</f>
        <v>0</v>
      </c>
      <c r="F162" s="639">
        <f>SUM(F163:F164)</f>
        <v>20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59" customFormat="1" ht="13.5" customHeight="1" x14ac:dyDescent="0.2">
      <c r="B163" s="616" t="s">
        <v>1227</v>
      </c>
      <c r="C163" s="276" t="s">
        <v>1398</v>
      </c>
      <c r="D163" s="16">
        <v>20</v>
      </c>
      <c r="E163" s="16"/>
      <c r="F163" s="634">
        <f t="shared" si="4"/>
        <v>20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s="59" customFormat="1" ht="13.5" hidden="1" customHeight="1" x14ac:dyDescent="0.2">
      <c r="B164" s="616"/>
      <c r="C164" s="276"/>
      <c r="D164" s="16"/>
      <c r="E164" s="16"/>
      <c r="F164" s="634">
        <f t="shared" si="4"/>
        <v>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59" customFormat="1" ht="13.5" customHeight="1" x14ac:dyDescent="0.2">
      <c r="B165" s="616"/>
      <c r="C165" s="9" t="s">
        <v>837</v>
      </c>
      <c r="D165" s="16">
        <f>65-66-324-648-410</f>
        <v>-1383</v>
      </c>
      <c r="E165" s="16"/>
      <c r="F165" s="634">
        <f t="shared" si="4"/>
        <v>-1383</v>
      </c>
      <c r="G165" s="2"/>
      <c r="H165" s="8">
        <f>'3.felh'!H83</f>
        <v>-1383</v>
      </c>
      <c r="I165" s="2"/>
      <c r="J165" s="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59" customFormat="1" ht="13.5" hidden="1" customHeight="1" x14ac:dyDescent="0.2">
      <c r="B166" s="616"/>
      <c r="C166" s="9" t="s">
        <v>838</v>
      </c>
      <c r="D166" s="16"/>
      <c r="E166" s="16"/>
      <c r="F166" s="634">
        <f t="shared" si="4"/>
        <v>0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ht="16.5" customHeight="1" thickBot="1" x14ac:dyDescent="0.3">
      <c r="B167" s="615" t="s">
        <v>207</v>
      </c>
      <c r="C167" s="220" t="s">
        <v>360</v>
      </c>
      <c r="D167" s="628">
        <f>SUM(D168:D168)</f>
        <v>0</v>
      </c>
      <c r="E167" s="628">
        <f>SUM(E168:E168)</f>
        <v>0</v>
      </c>
      <c r="F167" s="640">
        <f>SUM(F168:F168)</f>
        <v>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59" customFormat="1" ht="13.5" hidden="1" customHeight="1" thickBot="1" x14ac:dyDescent="0.25">
      <c r="B168" s="621" t="s">
        <v>403</v>
      </c>
      <c r="C168" s="9" t="s">
        <v>407</v>
      </c>
      <c r="D168" s="14"/>
      <c r="E168" s="14"/>
      <c r="F168" s="634">
        <f t="shared" si="4"/>
        <v>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3" customFormat="1" ht="20.25" thickBot="1" x14ac:dyDescent="0.4">
      <c r="B169" s="622"/>
      <c r="C169" s="629" t="s">
        <v>839</v>
      </c>
      <c r="D169" s="623">
        <f>SUM(D69+D167)</f>
        <v>71100</v>
      </c>
      <c r="E169" s="623">
        <f>SUM(E69+E167)</f>
        <v>3004</v>
      </c>
      <c r="F169" s="57">
        <f>SUM(F69+F167)</f>
        <v>74104</v>
      </c>
      <c r="G169" s="630">
        <f>F68-F169</f>
        <v>0</v>
      </c>
      <c r="H169" s="630">
        <f>'1.Bev-kiad.'!H84</f>
        <v>74104</v>
      </c>
      <c r="I169" s="630"/>
      <c r="J169" s="631"/>
      <c r="K169" s="631"/>
      <c r="L169" s="631"/>
      <c r="M169" s="631"/>
      <c r="N169" s="631"/>
      <c r="O169" s="631"/>
      <c r="P169" s="631"/>
      <c r="Q169" s="631"/>
      <c r="R169" s="631"/>
      <c r="S169" s="631"/>
      <c r="T169" s="631"/>
      <c r="U169" s="631"/>
      <c r="V169" s="631"/>
      <c r="W169" s="631"/>
      <c r="X169" s="631"/>
      <c r="Y169" s="631"/>
      <c r="Z169" s="631"/>
      <c r="AA169" s="631"/>
      <c r="AB169" s="631"/>
      <c r="AC169" s="631"/>
      <c r="AD169" s="631"/>
      <c r="AE169" s="631"/>
      <c r="AF169" s="631"/>
      <c r="AG169" s="631"/>
      <c r="AH169" s="631"/>
      <c r="AI169" s="631"/>
    </row>
    <row r="170" spans="2:35" ht="15.75" customHeight="1" x14ac:dyDescent="0.2">
      <c r="F170" s="8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ht="15.75" hidden="1" customHeight="1" x14ac:dyDescent="0.2">
      <c r="D171" s="86">
        <f>D68-D169</f>
        <v>2458</v>
      </c>
      <c r="E171" s="86">
        <f>E68-E169</f>
        <v>-2458</v>
      </c>
      <c r="F171" s="86">
        <f>F68-F169</f>
        <v>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ht="15.75" hidden="1" customHeight="1" x14ac:dyDescent="0.2">
      <c r="C172" t="s">
        <v>1005</v>
      </c>
      <c r="E172" s="86">
        <f>SUM(E169-E68)</f>
        <v>2458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ht="15.75" customHeight="1" x14ac:dyDescent="0.2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ht="15.75" customHeight="1" x14ac:dyDescent="0.2">
      <c r="B17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ht="15.75" customHeight="1" x14ac:dyDescent="0.2">
      <c r="B17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ht="15.75" customHeight="1" x14ac:dyDescent="0.2">
      <c r="B17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ht="15.75" customHeight="1" x14ac:dyDescent="0.2">
      <c r="B17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ht="15.75" customHeight="1" x14ac:dyDescent="0.2">
      <c r="B17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ht="15.75" customHeight="1" x14ac:dyDescent="0.2">
      <c r="B17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ht="15.75" customHeight="1" x14ac:dyDescent="0.2">
      <c r="B18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ht="15.75" customHeight="1" x14ac:dyDescent="0.2">
      <c r="B18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ht="15.75" customHeight="1" x14ac:dyDescent="0.2">
      <c r="B18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ht="15.75" customHeight="1" x14ac:dyDescent="0.2">
      <c r="B18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ht="15.75" customHeight="1" x14ac:dyDescent="0.2">
      <c r="B18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ht="15.75" customHeight="1" x14ac:dyDescent="0.2">
      <c r="B18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ht="15.75" customHeight="1" x14ac:dyDescent="0.2">
      <c r="B18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ht="15.75" customHeight="1" x14ac:dyDescent="0.2">
      <c r="B18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ht="15.75" customHeight="1" x14ac:dyDescent="0.2">
      <c r="B1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ht="15.75" customHeight="1" x14ac:dyDescent="0.2">
      <c r="B18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ht="15.75" customHeight="1" x14ac:dyDescent="0.2">
      <c r="B19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ht="15.75" customHeight="1" x14ac:dyDescent="0.2">
      <c r="B19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ht="15.75" customHeight="1" x14ac:dyDescent="0.2">
      <c r="B19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5.75" customHeight="1" x14ac:dyDescent="0.2">
      <c r="B19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ht="15.75" customHeight="1" x14ac:dyDescent="0.2">
      <c r="B19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15.75" customHeight="1" x14ac:dyDescent="0.2">
      <c r="B19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customHeight="1" x14ac:dyDescent="0.2">
      <c r="B19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customHeight="1" x14ac:dyDescent="0.2">
      <c r="B19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customHeight="1" x14ac:dyDescent="0.2">
      <c r="B19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B199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3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3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3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3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3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3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3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3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3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3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3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3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3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3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3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3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3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3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3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3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3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3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3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3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3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3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3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3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3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3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3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3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3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3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3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3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3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3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3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3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3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3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3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3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3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3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3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3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3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3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3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3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3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3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3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3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3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3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3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3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3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3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3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3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3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3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3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3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3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3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3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3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3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3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3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3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3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3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3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3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3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3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3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3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3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3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3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3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3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3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3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3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3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3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3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3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3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3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3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3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3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3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3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3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3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3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3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3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3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3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3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3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3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3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3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3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3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3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3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3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3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3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3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3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3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3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3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3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3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3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3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3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3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3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3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3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3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3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3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3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3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3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3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3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3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3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3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3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3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3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3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3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3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3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3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3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3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3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3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3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3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3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3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3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3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3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3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3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3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3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3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3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3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3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3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3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3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3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3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3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3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3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3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3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3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3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3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3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3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3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3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3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3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3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3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3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3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3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3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3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3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3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3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3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3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3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3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3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3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3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3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3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3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3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3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3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3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3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3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3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3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3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3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3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3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3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3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3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3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3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3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3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3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3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3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3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3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3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3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3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3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3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3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3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3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3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3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3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3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3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3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3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3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3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3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3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3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3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3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3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3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3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3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3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3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3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3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3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3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3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3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3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3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3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3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3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3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3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3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3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3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3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3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3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3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3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3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3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3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3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3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3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3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3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3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3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3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3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3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3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3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3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3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3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3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3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3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3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3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3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3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3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3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3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3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3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3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3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3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3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3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3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3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3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3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3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3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3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3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3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3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3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3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3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3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3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3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3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3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3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3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3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3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3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3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3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3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3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3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3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3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3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3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3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3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3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3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3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3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3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3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3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3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3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3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3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3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3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3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3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3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3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3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3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3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3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3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3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3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3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3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3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3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3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3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3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3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3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3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3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3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3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3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3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3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3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3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3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3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3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3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3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3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3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3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3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3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3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3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3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3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3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3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3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3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3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3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3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3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3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3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3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3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3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3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3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3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3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3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3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3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3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3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3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3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3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3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3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3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3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3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3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3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3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3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3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3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3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3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3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3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3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3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3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3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3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3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3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3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3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3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3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3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3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3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3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3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3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3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3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3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3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3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</row>
    <row r="728" spans="2:35" ht="15.75" customHeight="1" x14ac:dyDescent="0.2">
      <c r="B728"/>
    </row>
    <row r="729" spans="2:35" ht="15.75" customHeight="1" x14ac:dyDescent="0.2">
      <c r="B729"/>
    </row>
    <row r="730" spans="2:35" ht="15.75" customHeight="1" x14ac:dyDescent="0.2">
      <c r="B730"/>
    </row>
    <row r="731" spans="2:35" ht="15.75" customHeight="1" x14ac:dyDescent="0.2">
      <c r="B731"/>
    </row>
    <row r="732" spans="2:35" ht="15.75" customHeight="1" x14ac:dyDescent="0.2">
      <c r="B732"/>
    </row>
    <row r="733" spans="2:35" ht="15.75" customHeight="1" x14ac:dyDescent="0.2">
      <c r="B733"/>
    </row>
    <row r="734" spans="2:35" ht="15.75" customHeight="1" x14ac:dyDescent="0.2">
      <c r="B734"/>
    </row>
    <row r="735" spans="2:35" ht="15.75" customHeight="1" x14ac:dyDescent="0.2">
      <c r="B735"/>
    </row>
    <row r="736" spans="2:35" ht="15.75" customHeight="1" x14ac:dyDescent="0.2">
      <c r="B736"/>
    </row>
    <row r="737" spans="3:35" s="2" customFormat="1" ht="15.75" customHeight="1" x14ac:dyDescent="0.2">
      <c r="C737"/>
      <c r="D737"/>
      <c r="E737"/>
      <c r="F737" s="45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</row>
    <row r="738" spans="3:35" s="2" customFormat="1" ht="15.75" customHeight="1" x14ac:dyDescent="0.2">
      <c r="C738"/>
      <c r="D738"/>
      <c r="E738"/>
      <c r="F738" s="45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</row>
    <row r="739" spans="3:35" s="2" customFormat="1" ht="15.75" customHeight="1" x14ac:dyDescent="0.2">
      <c r="C739"/>
      <c r="D739"/>
      <c r="E739"/>
      <c r="F739" s="45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</row>
    <row r="740" spans="3:35" s="2" customFormat="1" ht="15.75" customHeight="1" x14ac:dyDescent="0.2">
      <c r="C740"/>
      <c r="D740"/>
      <c r="E740"/>
      <c r="F740" s="45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</row>
    <row r="741" spans="3:35" s="2" customFormat="1" ht="15.75" customHeight="1" x14ac:dyDescent="0.2">
      <c r="C741"/>
      <c r="D741"/>
      <c r="E741"/>
      <c r="F741" s="45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</row>
    <row r="742" spans="3:35" s="2" customFormat="1" ht="15.75" customHeight="1" x14ac:dyDescent="0.2">
      <c r="C742"/>
      <c r="D742"/>
      <c r="E742"/>
      <c r="F742" s="45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</row>
    <row r="743" spans="3:35" s="2" customFormat="1" ht="15.75" customHeight="1" x14ac:dyDescent="0.2">
      <c r="C743"/>
      <c r="D743"/>
      <c r="E743"/>
      <c r="F743" s="45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</row>
    <row r="744" spans="3:35" s="2" customFormat="1" ht="15.75" customHeight="1" x14ac:dyDescent="0.2">
      <c r="C744"/>
      <c r="D744"/>
      <c r="E744"/>
      <c r="F744" s="45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</row>
    <row r="745" spans="3:35" s="2" customFormat="1" ht="15.75" customHeight="1" x14ac:dyDescent="0.2">
      <c r="C745"/>
      <c r="D745"/>
      <c r="E745"/>
      <c r="F745" s="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</row>
    <row r="746" spans="3:35" s="2" customFormat="1" ht="15.75" customHeight="1" x14ac:dyDescent="0.2">
      <c r="C746"/>
      <c r="D746"/>
      <c r="E746"/>
      <c r="F746" s="45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</row>
    <row r="747" spans="3:35" s="2" customFormat="1" ht="15.75" customHeight="1" x14ac:dyDescent="0.2">
      <c r="C747"/>
      <c r="D747"/>
      <c r="E747"/>
      <c r="F747" s="45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</row>
    <row r="748" spans="3:35" s="2" customFormat="1" ht="15.75" customHeight="1" x14ac:dyDescent="0.2">
      <c r="C748"/>
      <c r="D748"/>
      <c r="E748"/>
      <c r="F748" s="45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</row>
    <row r="749" spans="3:35" s="2" customFormat="1" ht="15.75" customHeight="1" x14ac:dyDescent="0.2">
      <c r="C749"/>
      <c r="D749"/>
      <c r="E749"/>
      <c r="F749" s="45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</row>
    <row r="750" spans="3:35" s="2" customFormat="1" ht="15.75" customHeight="1" x14ac:dyDescent="0.2">
      <c r="C750"/>
      <c r="D750"/>
      <c r="E750"/>
      <c r="F750" s="45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</row>
    <row r="751" spans="3:35" s="2" customFormat="1" ht="15.75" customHeight="1" x14ac:dyDescent="0.2">
      <c r="C751"/>
      <c r="D751"/>
      <c r="E751"/>
      <c r="F751" s="45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</row>
    <row r="752" spans="3:35" s="2" customFormat="1" ht="15.75" customHeight="1" x14ac:dyDescent="0.2">
      <c r="C752"/>
      <c r="D752"/>
      <c r="E752"/>
      <c r="F752" s="45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</row>
    <row r="753" spans="3:35" s="2" customFormat="1" ht="15.75" customHeight="1" x14ac:dyDescent="0.2">
      <c r="C753"/>
      <c r="D753"/>
      <c r="E753"/>
      <c r="F753" s="45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</row>
    <row r="754" spans="3:35" s="2" customFormat="1" ht="15.75" customHeight="1" x14ac:dyDescent="0.2">
      <c r="C754"/>
      <c r="D754"/>
      <c r="E754"/>
      <c r="F754" s="45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</row>
    <row r="755" spans="3:35" s="2" customFormat="1" ht="15.75" customHeight="1" x14ac:dyDescent="0.2">
      <c r="C755"/>
      <c r="D755"/>
      <c r="E755"/>
      <c r="F755" s="4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</row>
    <row r="756" spans="3:35" s="2" customFormat="1" ht="15.75" customHeight="1" x14ac:dyDescent="0.2">
      <c r="C756"/>
      <c r="D756"/>
      <c r="E756"/>
      <c r="F756" s="45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</row>
    <row r="757" spans="3:35" s="2" customFormat="1" ht="15.75" customHeight="1" x14ac:dyDescent="0.2">
      <c r="C757"/>
      <c r="D757"/>
      <c r="E757"/>
      <c r="F757" s="45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</row>
    <row r="758" spans="3:35" s="2" customFormat="1" ht="15.75" customHeight="1" x14ac:dyDescent="0.2">
      <c r="C758"/>
      <c r="D758"/>
      <c r="E758"/>
      <c r="F758" s="45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</row>
    <row r="759" spans="3:35" s="2" customFormat="1" ht="15.75" customHeight="1" x14ac:dyDescent="0.2">
      <c r="C759"/>
      <c r="D759"/>
      <c r="E759"/>
      <c r="F759" s="45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</row>
    <row r="760" spans="3:35" s="2" customFormat="1" ht="15.75" customHeight="1" x14ac:dyDescent="0.2">
      <c r="C760"/>
      <c r="D760"/>
      <c r="E760"/>
      <c r="F760" s="45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</row>
    <row r="761" spans="3:35" s="2" customFormat="1" ht="15.75" customHeight="1" x14ac:dyDescent="0.2">
      <c r="C761"/>
      <c r="D761"/>
      <c r="E761"/>
      <c r="F761" s="45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</row>
    <row r="762" spans="3:35" s="2" customFormat="1" ht="15.75" customHeight="1" x14ac:dyDescent="0.2">
      <c r="C762"/>
      <c r="D762"/>
      <c r="E762"/>
      <c r="F762" s="45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</row>
    <row r="763" spans="3:35" s="2" customFormat="1" ht="15.75" customHeight="1" x14ac:dyDescent="0.2">
      <c r="C763"/>
      <c r="D763"/>
      <c r="E763"/>
      <c r="F763" s="45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3:35" s="2" customFormat="1" ht="15.75" customHeight="1" x14ac:dyDescent="0.2">
      <c r="C764"/>
      <c r="D764"/>
      <c r="E764"/>
      <c r="F764" s="45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3:35" s="2" customFormat="1" ht="15.75" customHeight="1" x14ac:dyDescent="0.2">
      <c r="C765"/>
      <c r="D765"/>
      <c r="E765"/>
      <c r="F765" s="4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3:35" s="2" customFormat="1" ht="15.75" customHeight="1" x14ac:dyDescent="0.2">
      <c r="C766"/>
      <c r="D766"/>
      <c r="E766"/>
      <c r="F766" s="45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3:35" s="2" customFormat="1" ht="15.75" customHeight="1" x14ac:dyDescent="0.2">
      <c r="C767"/>
      <c r="D767"/>
      <c r="E767"/>
      <c r="F767" s="45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3:35" s="2" customFormat="1" ht="15.75" customHeight="1" x14ac:dyDescent="0.2">
      <c r="C768"/>
      <c r="D768"/>
      <c r="E768"/>
      <c r="F768" s="45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45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45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45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45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45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45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4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45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45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45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45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45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45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45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45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45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4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45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45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45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45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45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45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45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45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45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4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45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45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45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45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45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45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45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45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45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4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45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45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45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45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45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45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45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45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45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4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45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45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45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45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45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45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45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45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45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4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45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45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45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45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45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</sheetData>
  <mergeCells count="5">
    <mergeCell ref="C2:F2"/>
    <mergeCell ref="C3:F3"/>
    <mergeCell ref="B5:B6"/>
    <mergeCell ref="C5:C6"/>
    <mergeCell ref="D5:F5"/>
  </mergeCells>
  <phoneticPr fontId="11" type="noConversion"/>
  <printOptions horizontalCentered="1"/>
  <pageMargins left="0.70866141732283472" right="0.70866141732283472" top="0.35433070866141736" bottom="0.74803149606299213" header="0.31496062992125984" footer="0.31496062992125984"/>
  <pageSetup paperSize="9" scale="70" orientation="portrait" r:id="rId1"/>
  <rowBreaks count="3" manualBreakCount="3">
    <brk id="144" max="5" man="1"/>
    <brk id="169" max="5" man="1"/>
    <brk id="17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1093</v>
      </c>
    </row>
    <row r="8" spans="1:9" x14ac:dyDescent="0.2">
      <c r="C8" t="s">
        <v>1098</v>
      </c>
    </row>
    <row r="10" spans="1:9" x14ac:dyDescent="0.2">
      <c r="E10" s="673" t="s">
        <v>413</v>
      </c>
      <c r="F10" s="673" t="s">
        <v>1097</v>
      </c>
      <c r="G10" s="673" t="s">
        <v>885</v>
      </c>
    </row>
    <row r="11" spans="1:9" x14ac:dyDescent="0.2">
      <c r="C11" t="s">
        <v>1096</v>
      </c>
      <c r="E11" s="86">
        <v>576798100</v>
      </c>
      <c r="F11" s="86">
        <f>(E11*0.27)</f>
        <v>155735487</v>
      </c>
      <c r="G11" s="797">
        <f>SUM(E11:F11)</f>
        <v>732533587</v>
      </c>
      <c r="H11" s="86"/>
      <c r="I11" s="86"/>
    </row>
    <row r="12" spans="1:9" x14ac:dyDescent="0.2">
      <c r="C12" t="s">
        <v>1094</v>
      </c>
      <c r="E12" s="86">
        <v>158700000</v>
      </c>
      <c r="F12" s="86">
        <f>(E12*0.27)</f>
        <v>42849000</v>
      </c>
      <c r="G12" s="797">
        <f>SUM(E12:F12)</f>
        <v>201549000</v>
      </c>
      <c r="H12" s="86"/>
      <c r="I12" s="86"/>
    </row>
    <row r="13" spans="1:9" x14ac:dyDescent="0.2">
      <c r="C13" t="s">
        <v>1095</v>
      </c>
      <c r="E13" s="797">
        <f>SUM(E11-E12)</f>
        <v>418098100</v>
      </c>
      <c r="F13" s="797">
        <f>SUM(F11-F12)</f>
        <v>112886487</v>
      </c>
      <c r="G13" s="86">
        <f>SUM(G11-G12)</f>
        <v>530984587</v>
      </c>
      <c r="H13" s="86"/>
      <c r="I13" s="86"/>
    </row>
    <row r="14" spans="1:9" x14ac:dyDescent="0.2">
      <c r="E14" s="86"/>
      <c r="F14" s="45">
        <f>SUM(E13*0.27)</f>
        <v>112886487</v>
      </c>
      <c r="G14" s="86"/>
      <c r="H14" s="86"/>
      <c r="I14" s="86"/>
    </row>
    <row r="15" spans="1:9" x14ac:dyDescent="0.2">
      <c r="E15" s="86"/>
      <c r="F15" s="86"/>
      <c r="G15" s="86"/>
      <c r="H15" s="86"/>
      <c r="I15" s="86"/>
    </row>
    <row r="16" spans="1:9" x14ac:dyDescent="0.2">
      <c r="C16" t="s">
        <v>1099</v>
      </c>
      <c r="E16" s="86">
        <v>120703587</v>
      </c>
      <c r="F16" s="86"/>
      <c r="G16" s="86"/>
      <c r="H16" s="86"/>
      <c r="I16" s="86"/>
    </row>
    <row r="17" spans="5:9" x14ac:dyDescent="0.2">
      <c r="E17" s="86"/>
      <c r="F17" s="86"/>
      <c r="G17" s="86"/>
      <c r="H17" s="86"/>
      <c r="I17" s="86"/>
    </row>
    <row r="18" spans="5:9" x14ac:dyDescent="0.2">
      <c r="E18" s="86"/>
      <c r="F18" s="86"/>
      <c r="G18" s="86"/>
      <c r="H18" s="86"/>
      <c r="I18" s="86"/>
    </row>
    <row r="19" spans="5:9" x14ac:dyDescent="0.2">
      <c r="E19" s="86"/>
      <c r="F19" s="86"/>
      <c r="G19" s="86"/>
      <c r="H19" s="86"/>
      <c r="I19" s="86"/>
    </row>
    <row r="20" spans="5:9" x14ac:dyDescent="0.2">
      <c r="E20" s="86"/>
      <c r="F20" s="86"/>
      <c r="G20" s="86"/>
      <c r="H20" s="86"/>
      <c r="I20" s="86"/>
    </row>
    <row r="21" spans="5:9" x14ac:dyDescent="0.2">
      <c r="E21" s="86"/>
      <c r="F21" s="86"/>
      <c r="G21" s="86"/>
      <c r="H21" s="86"/>
      <c r="I21" s="86"/>
    </row>
    <row r="22" spans="5:9" x14ac:dyDescent="0.2">
      <c r="E22" s="86"/>
      <c r="F22" s="86"/>
      <c r="G22" s="86"/>
      <c r="H22" s="86"/>
      <c r="I22" s="86"/>
    </row>
    <row r="23" spans="5:9" x14ac:dyDescent="0.2">
      <c r="E23" s="86"/>
      <c r="F23" s="86"/>
      <c r="G23" s="86"/>
      <c r="H23" s="86"/>
      <c r="I23" s="86"/>
    </row>
    <row r="24" spans="5:9" x14ac:dyDescent="0.2">
      <c r="E24" s="86"/>
      <c r="F24" s="86"/>
      <c r="G24" s="86"/>
      <c r="H24" s="86"/>
      <c r="I24" s="86"/>
    </row>
    <row r="25" spans="5:9" x14ac:dyDescent="0.2">
      <c r="E25" s="86"/>
      <c r="F25" s="86"/>
      <c r="G25" s="86"/>
      <c r="H25" s="86"/>
      <c r="I25" s="8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225"/>
  <sheetViews>
    <sheetView zoomScale="95" zoomScaleNormal="95" zoomScaleSheetLayoutView="90" workbookViewId="0">
      <selection activeCell="B8" sqref="B8:B9"/>
    </sheetView>
  </sheetViews>
  <sheetFormatPr defaultRowHeight="12.75" x14ac:dyDescent="0.2"/>
  <cols>
    <col min="1" max="1" width="6.140625" customWidth="1"/>
    <col min="2" max="2" width="53.5703125" customWidth="1"/>
    <col min="3" max="3" width="9.85546875" customWidth="1"/>
    <col min="4" max="4" width="9.85546875" hidden="1" customWidth="1"/>
    <col min="5" max="5" width="9.85546875" customWidth="1"/>
    <col min="6" max="6" width="10" customWidth="1"/>
    <col min="7" max="7" width="10.28515625" hidden="1" customWidth="1"/>
    <col min="8" max="8" width="10.5703125" customWidth="1"/>
    <col min="9" max="9" width="10.5703125" hidden="1" customWidth="1"/>
    <col min="10" max="10" width="10.5703125" customWidth="1"/>
    <col min="11" max="11" width="10.28515625" customWidth="1"/>
    <col min="12" max="12" width="11" hidden="1" customWidth="1"/>
    <col min="13" max="13" width="10" customWidth="1"/>
    <col min="14" max="14" width="10" hidden="1" customWidth="1"/>
    <col min="15" max="15" width="10" customWidth="1"/>
    <col min="16" max="16" width="10.28515625" customWidth="1"/>
    <col min="17" max="17" width="9.85546875" hidden="1" customWidth="1"/>
    <col min="18" max="18" width="10.42578125" customWidth="1"/>
    <col min="19" max="19" width="10.42578125" hidden="1" customWidth="1"/>
    <col min="20" max="20" width="10.42578125" customWidth="1"/>
    <col min="21" max="21" width="11" customWidth="1"/>
    <col min="22" max="22" width="11" hidden="1" customWidth="1"/>
    <col min="23" max="23" width="10.28515625" style="10" customWidth="1"/>
    <col min="24" max="24" width="11" style="10" customWidth="1"/>
    <col min="25" max="25" width="6.85546875" style="10" customWidth="1"/>
    <col min="26" max="26" width="7.5703125" style="10" customWidth="1"/>
    <col min="27" max="27" width="4.85546875" style="10" customWidth="1"/>
    <col min="28" max="29" width="9.140625" style="10" customWidth="1"/>
  </cols>
  <sheetData>
    <row r="1" spans="1:32" x14ac:dyDescent="0.2">
      <c r="A1" s="110"/>
      <c r="B1" s="1"/>
      <c r="C1" s="98"/>
      <c r="D1" s="98"/>
      <c r="E1" s="98"/>
      <c r="F1" s="98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U1" s="783" t="s">
        <v>982</v>
      </c>
    </row>
    <row r="2" spans="1:32" x14ac:dyDescent="0.2">
      <c r="A2" s="110"/>
      <c r="B2" s="1"/>
      <c r="C2" s="98"/>
      <c r="D2" s="98"/>
      <c r="E2" s="98"/>
      <c r="F2" s="98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U2" s="212" t="str">
        <f>'1.Bev-kiad.'!F2</f>
        <v>a 7/2022.(V.27.) önkormányzati rendelethez</v>
      </c>
    </row>
    <row r="3" spans="1:32" x14ac:dyDescent="0.2">
      <c r="A3" s="110"/>
      <c r="B3" s="1"/>
      <c r="C3" s="98"/>
      <c r="D3" s="98"/>
      <c r="E3" s="98"/>
      <c r="F3" s="98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S3" s="212"/>
      <c r="U3" s="212" t="s">
        <v>1318</v>
      </c>
    </row>
    <row r="4" spans="1:32" ht="15.75" x14ac:dyDescent="0.25">
      <c r="A4" s="993" t="s">
        <v>96</v>
      </c>
      <c r="B4" s="940"/>
      <c r="C4" s="940"/>
      <c r="D4" s="940"/>
      <c r="E4" s="940"/>
      <c r="F4" s="940"/>
      <c r="G4" s="940"/>
      <c r="H4" s="940"/>
      <c r="I4" s="940"/>
      <c r="J4" s="940"/>
      <c r="K4" s="940"/>
      <c r="L4" s="940"/>
      <c r="M4" s="940"/>
      <c r="N4" s="940"/>
      <c r="O4" s="940"/>
      <c r="P4" s="940"/>
      <c r="Q4" s="940"/>
      <c r="R4" s="940"/>
      <c r="S4" s="940"/>
      <c r="T4" s="940"/>
      <c r="U4" s="940"/>
      <c r="V4" s="940"/>
    </row>
    <row r="5" spans="1:32" ht="15.75" x14ac:dyDescent="0.25">
      <c r="A5" s="993" t="s">
        <v>1029</v>
      </c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0"/>
      <c r="O5" s="940"/>
      <c r="P5" s="940"/>
      <c r="Q5" s="940"/>
      <c r="R5" s="940"/>
      <c r="S5" s="940"/>
      <c r="T5" s="940"/>
      <c r="U5" s="940"/>
      <c r="V5" s="940"/>
    </row>
    <row r="6" spans="1:32" ht="15.75" x14ac:dyDescent="0.25">
      <c r="A6" s="993" t="s">
        <v>419</v>
      </c>
      <c r="B6" s="940"/>
      <c r="C6" s="940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</row>
    <row r="7" spans="1:32" ht="13.5" thickBo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U7" s="98" t="s">
        <v>0</v>
      </c>
    </row>
    <row r="8" spans="1:32" ht="74.25" customHeight="1" thickBot="1" x14ac:dyDescent="0.25">
      <c r="A8" s="994" t="s">
        <v>119</v>
      </c>
      <c r="B8" s="994" t="s">
        <v>29</v>
      </c>
      <c r="C8" s="996" t="s">
        <v>981</v>
      </c>
      <c r="D8" s="997"/>
      <c r="E8" s="997"/>
      <c r="F8" s="997"/>
      <c r="G8" s="998"/>
      <c r="H8" s="996" t="s">
        <v>328</v>
      </c>
      <c r="I8" s="997"/>
      <c r="J8" s="997"/>
      <c r="K8" s="997"/>
      <c r="L8" s="998"/>
      <c r="M8" s="996" t="s">
        <v>1223</v>
      </c>
      <c r="N8" s="997"/>
      <c r="O8" s="997"/>
      <c r="P8" s="997"/>
      <c r="Q8" s="998"/>
      <c r="R8" s="996" t="s">
        <v>47</v>
      </c>
      <c r="S8" s="997"/>
      <c r="T8" s="997"/>
      <c r="U8" s="997"/>
      <c r="V8" s="786"/>
      <c r="W8" s="11"/>
      <c r="X8" s="45"/>
      <c r="Y8" s="45"/>
      <c r="Z8" s="706"/>
      <c r="AD8" s="229"/>
      <c r="AE8" s="229"/>
    </row>
    <row r="9" spans="1:32" ht="39.75" customHeight="1" thickBot="1" x14ac:dyDescent="0.25">
      <c r="A9" s="995"/>
      <c r="B9" s="995"/>
      <c r="C9" s="361" t="s">
        <v>760</v>
      </c>
      <c r="D9" s="361" t="s">
        <v>1237</v>
      </c>
      <c r="E9" s="361" t="s">
        <v>1239</v>
      </c>
      <c r="F9" s="361" t="s">
        <v>1323</v>
      </c>
      <c r="G9" s="361" t="s">
        <v>1030</v>
      </c>
      <c r="H9" s="361" t="str">
        <f t="shared" ref="H9:Q9" si="0">C9</f>
        <v>2021. évi eredeti előirányzat</v>
      </c>
      <c r="I9" s="361" t="str">
        <f t="shared" si="0"/>
        <v>mód.előir.
2021.07.hó</v>
      </c>
      <c r="J9" s="361" t="str">
        <f t="shared" si="0"/>
        <v>mód.előir.
2021.10.hó</v>
      </c>
      <c r="K9" s="361" t="str">
        <f t="shared" si="0"/>
        <v>mód.előir.
2021.12.31</v>
      </c>
      <c r="L9" s="361" t="str">
        <f t="shared" si="0"/>
        <v>teljesítés 2021.12.31</v>
      </c>
      <c r="M9" s="361" t="str">
        <f t="shared" si="0"/>
        <v>2021. évi eredeti előirányzat</v>
      </c>
      <c r="N9" s="361" t="str">
        <f t="shared" si="0"/>
        <v>mód.előir.
2021.07.hó</v>
      </c>
      <c r="O9" s="361" t="str">
        <f t="shared" si="0"/>
        <v>mód.előir.
2021.10.hó</v>
      </c>
      <c r="P9" s="361" t="str">
        <f t="shared" si="0"/>
        <v>mód.előir.
2021.12.31</v>
      </c>
      <c r="Q9" s="361" t="str">
        <f t="shared" si="0"/>
        <v>teljesítés 2021.12.31</v>
      </c>
      <c r="R9" s="361" t="str">
        <f>C9</f>
        <v>2021. évi eredeti előirányzat</v>
      </c>
      <c r="S9" s="361" t="str">
        <f>D9</f>
        <v>mód.előir.
2021.07.hó</v>
      </c>
      <c r="T9" s="361" t="str">
        <f>E9</f>
        <v>mód.előir.
2021.10.hó</v>
      </c>
      <c r="U9" s="361" t="str">
        <f>F9</f>
        <v>mód.előir.
2021.12.31</v>
      </c>
      <c r="V9" s="361" t="str">
        <f>G9</f>
        <v>teljesítés 2021.12.31</v>
      </c>
      <c r="X9" s="716"/>
      <c r="Y9" s="716"/>
      <c r="Z9" s="717"/>
      <c r="AA9" s="718"/>
      <c r="AB9" s="718"/>
      <c r="AC9" s="608"/>
      <c r="AD9" s="360"/>
      <c r="AE9" s="360"/>
      <c r="AF9" s="360"/>
    </row>
    <row r="10" spans="1:32" x14ac:dyDescent="0.2">
      <c r="A10" s="182" t="s">
        <v>297</v>
      </c>
      <c r="B10" s="21" t="s">
        <v>298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382"/>
      <c r="S10" s="382"/>
      <c r="T10" s="382"/>
      <c r="U10" s="382"/>
      <c r="V10" s="382"/>
      <c r="W10" s="37"/>
      <c r="X10" s="716"/>
      <c r="Y10" s="716"/>
      <c r="Z10" s="717"/>
      <c r="AA10" s="718"/>
      <c r="AB10" s="718"/>
      <c r="AC10" s="608"/>
      <c r="AD10" s="360"/>
      <c r="AE10" s="360"/>
      <c r="AF10" s="360"/>
    </row>
    <row r="11" spans="1:32" x14ac:dyDescent="0.2">
      <c r="A11" s="71" t="s">
        <v>824</v>
      </c>
      <c r="B11" s="25" t="s">
        <v>936</v>
      </c>
      <c r="C11" s="17">
        <v>135538</v>
      </c>
      <c r="D11" s="17">
        <f>135538-25</f>
        <v>135513</v>
      </c>
      <c r="E11" s="17">
        <f>135538-25+700</f>
        <v>136213</v>
      </c>
      <c r="F11" s="17">
        <f>135538-25+700-760</f>
        <v>135453</v>
      </c>
      <c r="G11" s="17">
        <v>135453</v>
      </c>
      <c r="H11" s="17">
        <v>15763</v>
      </c>
      <c r="I11" s="17">
        <v>15763</v>
      </c>
      <c r="J11" s="17">
        <f>15763-250-30-40-700</f>
        <v>14743</v>
      </c>
      <c r="K11" s="17">
        <f>15763-250-30-40-700-380</f>
        <v>14363</v>
      </c>
      <c r="L11" s="17">
        <v>14304</v>
      </c>
      <c r="M11" s="603">
        <v>6581</v>
      </c>
      <c r="N11" s="603">
        <f>6581+5</f>
        <v>6586</v>
      </c>
      <c r="O11" s="603">
        <f>6581+5</f>
        <v>6586</v>
      </c>
      <c r="P11" s="603">
        <f>6581+5</f>
        <v>6586</v>
      </c>
      <c r="Q11" s="603">
        <v>6586</v>
      </c>
      <c r="R11" s="383">
        <f>C11+H11+M11</f>
        <v>157882</v>
      </c>
      <c r="S11" s="383">
        <f>D11+I11+N11</f>
        <v>157862</v>
      </c>
      <c r="T11" s="383">
        <f>E11+J11+O11</f>
        <v>157542</v>
      </c>
      <c r="U11" s="383">
        <f>F11+K11+P11</f>
        <v>156402</v>
      </c>
      <c r="V11" s="383">
        <f>G11+L11+Q11</f>
        <v>156343</v>
      </c>
      <c r="W11" s="36"/>
      <c r="X11" s="719"/>
      <c r="Y11" s="719"/>
      <c r="Z11" s="717"/>
      <c r="AA11" s="718"/>
      <c r="AB11" s="718"/>
      <c r="AC11" s="608"/>
      <c r="AD11" s="360"/>
      <c r="AE11" s="360"/>
      <c r="AF11" s="360"/>
    </row>
    <row r="12" spans="1:32" x14ac:dyDescent="0.2">
      <c r="A12" s="71" t="s">
        <v>966</v>
      </c>
      <c r="B12" s="25" t="s">
        <v>967</v>
      </c>
      <c r="C12" s="17">
        <v>340</v>
      </c>
      <c r="D12" s="17">
        <v>340</v>
      </c>
      <c r="E12" s="17">
        <f>340+80</f>
        <v>420</v>
      </c>
      <c r="F12" s="17">
        <f>340+80+370</f>
        <v>790</v>
      </c>
      <c r="G12" s="16">
        <v>790</v>
      </c>
      <c r="H12" s="17"/>
      <c r="I12" s="17"/>
      <c r="J12" s="17"/>
      <c r="K12" s="17"/>
      <c r="L12" s="16"/>
      <c r="M12" s="603"/>
      <c r="N12" s="603"/>
      <c r="O12" s="603"/>
      <c r="P12" s="603"/>
      <c r="Q12" s="603"/>
      <c r="R12" s="383">
        <f t="shared" ref="R12:R19" si="1">C12+H12+M12</f>
        <v>340</v>
      </c>
      <c r="S12" s="383">
        <f t="shared" ref="S12:S20" si="2">D12+I12+N12</f>
        <v>340</v>
      </c>
      <c r="T12" s="383">
        <f t="shared" ref="T12:T20" si="3">E12+J12+O12</f>
        <v>420</v>
      </c>
      <c r="U12" s="383">
        <f t="shared" ref="U12:U20" si="4">F12+K12+P12</f>
        <v>790</v>
      </c>
      <c r="V12" s="383">
        <f t="shared" ref="V12:V20" si="5">G12+L12+Q12</f>
        <v>790</v>
      </c>
      <c r="W12" s="36"/>
      <c r="X12" s="719"/>
      <c r="Y12" s="719"/>
      <c r="Z12" s="717"/>
      <c r="AA12" s="718"/>
      <c r="AB12" s="718"/>
      <c r="AC12" s="608"/>
      <c r="AD12" s="360"/>
      <c r="AE12" s="360"/>
      <c r="AF12" s="360"/>
    </row>
    <row r="13" spans="1:32" x14ac:dyDescent="0.2">
      <c r="A13" s="71" t="s">
        <v>843</v>
      </c>
      <c r="B13" s="25" t="s">
        <v>974</v>
      </c>
      <c r="C13" s="17"/>
      <c r="D13" s="17"/>
      <c r="E13" s="17"/>
      <c r="F13" s="17"/>
      <c r="G13" s="16"/>
      <c r="H13" s="16"/>
      <c r="I13" s="16"/>
      <c r="J13" s="16"/>
      <c r="K13" s="16"/>
      <c r="L13" s="16"/>
      <c r="M13" s="603"/>
      <c r="N13" s="603"/>
      <c r="O13" s="603"/>
      <c r="P13" s="603"/>
      <c r="Q13" s="603"/>
      <c r="R13" s="383">
        <f t="shared" si="1"/>
        <v>0</v>
      </c>
      <c r="S13" s="383">
        <f t="shared" si="2"/>
        <v>0</v>
      </c>
      <c r="T13" s="383">
        <f t="shared" si="3"/>
        <v>0</v>
      </c>
      <c r="U13" s="383">
        <f t="shared" si="4"/>
        <v>0</v>
      </c>
      <c r="V13" s="383">
        <f t="shared" si="5"/>
        <v>0</v>
      </c>
      <c r="W13" s="36"/>
      <c r="X13" s="719"/>
      <c r="Y13" s="719"/>
      <c r="Z13" s="717"/>
      <c r="AA13" s="718"/>
      <c r="AB13" s="718"/>
      <c r="AC13" s="608"/>
      <c r="AD13" s="360"/>
      <c r="AE13" s="360"/>
      <c r="AF13" s="360"/>
    </row>
    <row r="14" spans="1:32" x14ac:dyDescent="0.2">
      <c r="A14" s="71" t="s">
        <v>856</v>
      </c>
      <c r="B14" s="25" t="s">
        <v>482</v>
      </c>
      <c r="C14" s="16">
        <f>(209*34)</f>
        <v>7106</v>
      </c>
      <c r="D14" s="16">
        <f>(209*34)</f>
        <v>7106</v>
      </c>
      <c r="E14" s="16">
        <f>(209*34)-80-470</f>
        <v>6556</v>
      </c>
      <c r="F14" s="16">
        <f>(209*34)-80-470</f>
        <v>6556</v>
      </c>
      <c r="G14" s="16">
        <v>5959</v>
      </c>
      <c r="H14" s="16">
        <f>(209*4)</f>
        <v>836</v>
      </c>
      <c r="I14" s="16">
        <f>(209*4)</f>
        <v>836</v>
      </c>
      <c r="J14" s="16">
        <f>(209*4)</f>
        <v>836</v>
      </c>
      <c r="K14" s="16">
        <f>(209*4)</f>
        <v>836</v>
      </c>
      <c r="L14" s="16">
        <v>765</v>
      </c>
      <c r="M14" s="603">
        <f>(209*2)</f>
        <v>418</v>
      </c>
      <c r="N14" s="603">
        <f>(209*2)</f>
        <v>418</v>
      </c>
      <c r="O14" s="603">
        <f>(209*2)</f>
        <v>418</v>
      </c>
      <c r="P14" s="603">
        <f>(209*2)</f>
        <v>418</v>
      </c>
      <c r="Q14" s="603">
        <v>383</v>
      </c>
      <c r="R14" s="383">
        <f t="shared" si="1"/>
        <v>8360</v>
      </c>
      <c r="S14" s="383">
        <f t="shared" si="2"/>
        <v>8360</v>
      </c>
      <c r="T14" s="383">
        <f t="shared" si="3"/>
        <v>7810</v>
      </c>
      <c r="U14" s="383">
        <f t="shared" si="4"/>
        <v>7810</v>
      </c>
      <c r="V14" s="383">
        <f t="shared" si="5"/>
        <v>7107</v>
      </c>
      <c r="W14" s="37"/>
      <c r="X14" s="716"/>
      <c r="Y14" s="716"/>
      <c r="Z14" s="717"/>
      <c r="AA14" s="718"/>
      <c r="AB14" s="718"/>
      <c r="AC14" s="608"/>
      <c r="AD14" s="360"/>
      <c r="AE14" s="360"/>
      <c r="AF14" s="360"/>
    </row>
    <row r="15" spans="1:32" x14ac:dyDescent="0.2">
      <c r="A15" s="71" t="s">
        <v>866</v>
      </c>
      <c r="B15" s="25" t="s">
        <v>463</v>
      </c>
      <c r="C15" s="17">
        <v>2100</v>
      </c>
      <c r="D15" s="17">
        <v>2100</v>
      </c>
      <c r="E15" s="17">
        <f>2100+300</f>
        <v>2400</v>
      </c>
      <c r="F15" s="17">
        <f>2100+300</f>
        <v>2400</v>
      </c>
      <c r="G15" s="17">
        <v>2359</v>
      </c>
      <c r="H15" s="17">
        <f>200-50</f>
        <v>150</v>
      </c>
      <c r="I15" s="17">
        <f>200-50</f>
        <v>150</v>
      </c>
      <c r="J15" s="17">
        <f>200-50+30</f>
        <v>180</v>
      </c>
      <c r="K15" s="17">
        <f>200-50+30</f>
        <v>180</v>
      </c>
      <c r="L15" s="16">
        <v>172</v>
      </c>
      <c r="M15" s="603">
        <v>130</v>
      </c>
      <c r="N15" s="603">
        <f>130+54</f>
        <v>184</v>
      </c>
      <c r="O15" s="603">
        <f>130+54+40</f>
        <v>224</v>
      </c>
      <c r="P15" s="603">
        <f>130+54+40</f>
        <v>224</v>
      </c>
      <c r="Q15" s="603">
        <v>223</v>
      </c>
      <c r="R15" s="383">
        <f t="shared" si="1"/>
        <v>2380</v>
      </c>
      <c r="S15" s="383">
        <f t="shared" si="2"/>
        <v>2434</v>
      </c>
      <c r="T15" s="383">
        <f t="shared" si="3"/>
        <v>2804</v>
      </c>
      <c r="U15" s="383">
        <f t="shared" si="4"/>
        <v>2804</v>
      </c>
      <c r="V15" s="383">
        <f t="shared" si="5"/>
        <v>2754</v>
      </c>
      <c r="W15" s="36"/>
      <c r="X15" s="716"/>
      <c r="Y15" s="716"/>
      <c r="Z15" s="717"/>
      <c r="AA15" s="718"/>
      <c r="AB15" s="718"/>
      <c r="AC15" s="608"/>
      <c r="AD15" s="360"/>
      <c r="AE15" s="360"/>
      <c r="AF15" s="360"/>
    </row>
    <row r="16" spans="1:32" x14ac:dyDescent="0.2">
      <c r="A16" s="71" t="s">
        <v>842</v>
      </c>
      <c r="B16" s="25" t="s">
        <v>62</v>
      </c>
      <c r="C16" s="17">
        <v>500</v>
      </c>
      <c r="D16" s="17">
        <v>500</v>
      </c>
      <c r="E16" s="17">
        <f>500-151</f>
        <v>349</v>
      </c>
      <c r="F16" s="17">
        <f>500-151</f>
        <v>349</v>
      </c>
      <c r="G16" s="17">
        <v>142</v>
      </c>
      <c r="H16" s="17"/>
      <c r="I16" s="17"/>
      <c r="J16" s="17"/>
      <c r="K16" s="17"/>
      <c r="L16" s="16"/>
      <c r="M16" s="603"/>
      <c r="N16" s="603"/>
      <c r="O16" s="603"/>
      <c r="P16" s="603"/>
      <c r="Q16" s="603"/>
      <c r="R16" s="383">
        <f t="shared" si="1"/>
        <v>500</v>
      </c>
      <c r="S16" s="383">
        <f t="shared" si="2"/>
        <v>500</v>
      </c>
      <c r="T16" s="383">
        <f t="shared" si="3"/>
        <v>349</v>
      </c>
      <c r="U16" s="383">
        <f t="shared" si="4"/>
        <v>349</v>
      </c>
      <c r="V16" s="383">
        <f t="shared" si="5"/>
        <v>142</v>
      </c>
      <c r="W16" s="198"/>
      <c r="X16" s="716"/>
      <c r="Y16" s="716"/>
      <c r="Z16" s="717"/>
      <c r="AA16" s="718"/>
      <c r="AB16" s="718"/>
      <c r="AC16" s="608"/>
      <c r="AD16" s="360"/>
      <c r="AE16" s="360"/>
      <c r="AF16" s="360"/>
    </row>
    <row r="17" spans="1:32" x14ac:dyDescent="0.2">
      <c r="A17" s="71" t="s">
        <v>867</v>
      </c>
      <c r="B17" s="25" t="s">
        <v>1122</v>
      </c>
      <c r="C17" s="16">
        <v>4245</v>
      </c>
      <c r="D17" s="16">
        <v>4245</v>
      </c>
      <c r="E17" s="16">
        <v>4245</v>
      </c>
      <c r="F17" s="16">
        <f>4245-841</f>
        <v>3404</v>
      </c>
      <c r="G17" s="16">
        <v>3318</v>
      </c>
      <c r="H17" s="16"/>
      <c r="I17" s="16"/>
      <c r="J17" s="16"/>
      <c r="K17" s="16"/>
      <c r="L17" s="16"/>
      <c r="M17" s="603"/>
      <c r="N17" s="603"/>
      <c r="O17" s="603"/>
      <c r="P17" s="603"/>
      <c r="Q17" s="603"/>
      <c r="R17" s="383">
        <f t="shared" si="1"/>
        <v>4245</v>
      </c>
      <c r="S17" s="383">
        <f t="shared" si="2"/>
        <v>4245</v>
      </c>
      <c r="T17" s="383">
        <f t="shared" si="3"/>
        <v>4245</v>
      </c>
      <c r="U17" s="383">
        <f t="shared" si="4"/>
        <v>3404</v>
      </c>
      <c r="V17" s="383">
        <f t="shared" si="5"/>
        <v>3318</v>
      </c>
      <c r="W17" s="37"/>
      <c r="X17" s="716"/>
      <c r="Y17" s="716"/>
      <c r="Z17" s="717"/>
      <c r="AA17" s="718"/>
      <c r="AB17" s="718"/>
      <c r="AC17" s="608"/>
      <c r="AD17" s="360"/>
      <c r="AE17" s="360"/>
      <c r="AF17" s="360"/>
    </row>
    <row r="18" spans="1:32" x14ac:dyDescent="0.2">
      <c r="A18" s="71" t="s">
        <v>825</v>
      </c>
      <c r="B18" s="25" t="s">
        <v>1123</v>
      </c>
      <c r="C18" s="16">
        <v>800</v>
      </c>
      <c r="D18" s="16">
        <f>800+200+147+25</f>
        <v>1172</v>
      </c>
      <c r="E18" s="16">
        <f>(800+200+147+25)+470+151</f>
        <v>1793</v>
      </c>
      <c r="F18" s="16">
        <f>((800+200+147+25)+470+151)+546+1981+26</f>
        <v>4346</v>
      </c>
      <c r="G18" s="16">
        <v>4346</v>
      </c>
      <c r="H18" s="16">
        <v>200</v>
      </c>
      <c r="I18" s="16">
        <f>200+150</f>
        <v>350</v>
      </c>
      <c r="J18" s="16">
        <f>200+150+250</f>
        <v>600</v>
      </c>
      <c r="K18" s="16">
        <f>200+150+250+194</f>
        <v>794</v>
      </c>
      <c r="L18" s="16">
        <v>794</v>
      </c>
      <c r="M18" s="603">
        <v>0</v>
      </c>
      <c r="N18" s="603">
        <v>0</v>
      </c>
      <c r="O18" s="603">
        <v>0</v>
      </c>
      <c r="P18" s="603">
        <v>197</v>
      </c>
      <c r="Q18" s="603">
        <v>197</v>
      </c>
      <c r="R18" s="383">
        <f t="shared" si="1"/>
        <v>1000</v>
      </c>
      <c r="S18" s="383">
        <f t="shared" si="2"/>
        <v>1522</v>
      </c>
      <c r="T18" s="383">
        <f t="shared" si="3"/>
        <v>2393</v>
      </c>
      <c r="U18" s="383">
        <f t="shared" si="4"/>
        <v>5337</v>
      </c>
      <c r="V18" s="383">
        <f t="shared" si="5"/>
        <v>5337</v>
      </c>
      <c r="W18" s="36"/>
      <c r="X18" s="716"/>
      <c r="Y18" s="716"/>
      <c r="Z18" s="717"/>
      <c r="AA18" s="718"/>
      <c r="AB18" s="718"/>
      <c r="AC18" s="608"/>
      <c r="AD18" s="360"/>
      <c r="AE18" s="360"/>
      <c r="AF18" s="360"/>
    </row>
    <row r="19" spans="1:32" x14ac:dyDescent="0.2">
      <c r="A19" s="71" t="s">
        <v>826</v>
      </c>
      <c r="B19" s="25" t="s">
        <v>857</v>
      </c>
      <c r="C19" s="17">
        <v>600</v>
      </c>
      <c r="D19" s="17">
        <v>600</v>
      </c>
      <c r="E19" s="17">
        <f>600-300</f>
        <v>300</v>
      </c>
      <c r="F19" s="17">
        <f>600-300</f>
        <v>300</v>
      </c>
      <c r="G19" s="17">
        <v>7</v>
      </c>
      <c r="H19" s="17"/>
      <c r="I19" s="17"/>
      <c r="J19" s="17"/>
      <c r="K19" s="17"/>
      <c r="L19" s="16"/>
      <c r="M19" s="603"/>
      <c r="N19" s="603"/>
      <c r="O19" s="603"/>
      <c r="P19" s="603"/>
      <c r="Q19" s="603"/>
      <c r="R19" s="383">
        <f t="shared" si="1"/>
        <v>600</v>
      </c>
      <c r="S19" s="383">
        <f t="shared" si="2"/>
        <v>600</v>
      </c>
      <c r="T19" s="383">
        <f t="shared" si="3"/>
        <v>300</v>
      </c>
      <c r="U19" s="383">
        <f t="shared" si="4"/>
        <v>300</v>
      </c>
      <c r="V19" s="383">
        <f t="shared" si="5"/>
        <v>7</v>
      </c>
      <c r="W19" s="36"/>
      <c r="X19" s="716"/>
      <c r="Y19" s="716"/>
      <c r="Z19" s="717"/>
      <c r="AA19" s="718"/>
      <c r="AB19" s="718"/>
      <c r="AC19" s="608"/>
      <c r="AD19" s="360"/>
      <c r="AE19" s="360"/>
      <c r="AF19" s="360"/>
    </row>
    <row r="20" spans="1:32" x14ac:dyDescent="0.2">
      <c r="A20" s="71" t="s">
        <v>825</v>
      </c>
      <c r="B20" s="25" t="s">
        <v>481</v>
      </c>
      <c r="C20" s="17"/>
      <c r="D20" s="17"/>
      <c r="E20" s="17"/>
      <c r="F20" s="17"/>
      <c r="G20" s="17"/>
      <c r="H20" s="17">
        <v>0</v>
      </c>
      <c r="I20" s="17">
        <v>5000</v>
      </c>
      <c r="J20" s="17">
        <v>5000</v>
      </c>
      <c r="K20" s="17">
        <f>5000-194-197-26</f>
        <v>4583</v>
      </c>
      <c r="L20" s="16">
        <v>4583</v>
      </c>
      <c r="M20" s="603"/>
      <c r="N20" s="603"/>
      <c r="O20" s="603"/>
      <c r="P20" s="603"/>
      <c r="Q20" s="603"/>
      <c r="R20" s="383">
        <f>C20+H20+M20</f>
        <v>0</v>
      </c>
      <c r="S20" s="383">
        <f t="shared" si="2"/>
        <v>5000</v>
      </c>
      <c r="T20" s="383">
        <f t="shared" si="3"/>
        <v>5000</v>
      </c>
      <c r="U20" s="383">
        <f t="shared" si="4"/>
        <v>4583</v>
      </c>
      <c r="V20" s="383">
        <f t="shared" si="5"/>
        <v>4583</v>
      </c>
      <c r="W20" s="37"/>
      <c r="X20" s="388"/>
      <c r="Y20" s="716"/>
      <c r="Z20" s="717"/>
      <c r="AA20" s="718"/>
      <c r="AB20" s="718"/>
      <c r="AC20" s="608"/>
      <c r="AD20" s="360"/>
      <c r="AE20" s="360"/>
      <c r="AF20" s="360"/>
    </row>
    <row r="21" spans="1:32" x14ac:dyDescent="0.2">
      <c r="A21" s="94" t="s">
        <v>217</v>
      </c>
      <c r="B21" s="133" t="s">
        <v>296</v>
      </c>
      <c r="C21" s="293">
        <f t="shared" ref="C21:V21" si="6">SUM(C11:C20)</f>
        <v>151229</v>
      </c>
      <c r="D21" s="293">
        <f>SUM(D11:D20)</f>
        <v>151576</v>
      </c>
      <c r="E21" s="293">
        <f>SUM(E11:E20)</f>
        <v>152276</v>
      </c>
      <c r="F21" s="293">
        <f>SUM(F11:F20)</f>
        <v>153598</v>
      </c>
      <c r="G21" s="293">
        <f t="shared" si="6"/>
        <v>152374</v>
      </c>
      <c r="H21" s="293">
        <f t="shared" si="6"/>
        <v>16949</v>
      </c>
      <c r="I21" s="293">
        <f>SUM(I11:I20)</f>
        <v>22099</v>
      </c>
      <c r="J21" s="293">
        <f>SUM(J11:J20)</f>
        <v>21359</v>
      </c>
      <c r="K21" s="293">
        <f>SUM(K11:K20)</f>
        <v>20756</v>
      </c>
      <c r="L21" s="293">
        <f t="shared" si="6"/>
        <v>20618</v>
      </c>
      <c r="M21" s="293">
        <f t="shared" si="6"/>
        <v>7129</v>
      </c>
      <c r="N21" s="293">
        <f>SUM(N11:N20)</f>
        <v>7188</v>
      </c>
      <c r="O21" s="293">
        <f>SUM(O11:O20)</f>
        <v>7228</v>
      </c>
      <c r="P21" s="293">
        <f>SUM(P11:P20)</f>
        <v>7425</v>
      </c>
      <c r="Q21" s="293">
        <f t="shared" si="6"/>
        <v>7389</v>
      </c>
      <c r="R21" s="293">
        <f t="shared" si="6"/>
        <v>175307</v>
      </c>
      <c r="S21" s="293">
        <f t="shared" si="6"/>
        <v>180863</v>
      </c>
      <c r="T21" s="293">
        <f t="shared" si="6"/>
        <v>180863</v>
      </c>
      <c r="U21" s="293">
        <f t="shared" si="6"/>
        <v>181779</v>
      </c>
      <c r="V21" s="293">
        <f t="shared" si="6"/>
        <v>180381</v>
      </c>
      <c r="W21" s="37"/>
      <c r="X21" s="388"/>
      <c r="Y21" s="716"/>
      <c r="Z21" s="717"/>
      <c r="AA21" s="718"/>
      <c r="AB21" s="718"/>
      <c r="AC21" s="608"/>
      <c r="AD21" s="360"/>
      <c r="AE21" s="360"/>
      <c r="AF21" s="360"/>
    </row>
    <row r="22" spans="1:32" x14ac:dyDescent="0.2">
      <c r="A22" s="71"/>
      <c r="B22" s="25" t="s">
        <v>30</v>
      </c>
      <c r="C22" s="16">
        <f>(21132+53+658+84)</f>
        <v>21927</v>
      </c>
      <c r="D22" s="16">
        <f>(21132+53+658+84)+20</f>
        <v>21947</v>
      </c>
      <c r="E22" s="16">
        <f>(21132+53+658+84)+20</f>
        <v>21947</v>
      </c>
      <c r="F22" s="16">
        <f>(21132+53+658+84)+20+391</f>
        <v>22338</v>
      </c>
      <c r="G22" s="16">
        <v>22337</v>
      </c>
      <c r="H22" s="16">
        <f>(2443+31)</f>
        <v>2474</v>
      </c>
      <c r="I22" s="16">
        <f>(2443+31)+775</f>
        <v>3249</v>
      </c>
      <c r="J22" s="16">
        <f>(2443+31)+775</f>
        <v>3249</v>
      </c>
      <c r="K22" s="16">
        <f>(2443+31)+775-241</f>
        <v>3008</v>
      </c>
      <c r="L22" s="16">
        <v>3007</v>
      </c>
      <c r="M22" s="603">
        <v>1020</v>
      </c>
      <c r="N22" s="603">
        <v>1020</v>
      </c>
      <c r="O22" s="603">
        <f>1020+1</f>
        <v>1021</v>
      </c>
      <c r="P22" s="603">
        <f>1020+1+30</f>
        <v>1051</v>
      </c>
      <c r="Q22" s="603">
        <v>1051</v>
      </c>
      <c r="R22" s="383">
        <f t="shared" ref="R22:V23" si="7">C22+H22+M22</f>
        <v>25421</v>
      </c>
      <c r="S22" s="383">
        <f t="shared" si="7"/>
        <v>26216</v>
      </c>
      <c r="T22" s="383">
        <f t="shared" si="7"/>
        <v>26217</v>
      </c>
      <c r="U22" s="383">
        <f t="shared" si="7"/>
        <v>26397</v>
      </c>
      <c r="V22" s="383">
        <f t="shared" si="7"/>
        <v>26395</v>
      </c>
      <c r="W22" s="37"/>
      <c r="X22" s="388"/>
      <c r="Y22" s="716"/>
      <c r="Z22" s="717"/>
      <c r="AA22" s="718"/>
      <c r="AB22" s="718"/>
      <c r="AC22" s="608"/>
      <c r="AD22" s="360"/>
      <c r="AE22" s="360"/>
      <c r="AF22" s="360"/>
    </row>
    <row r="23" spans="1:32" x14ac:dyDescent="0.2">
      <c r="A23" s="71"/>
      <c r="B23" s="25" t="s">
        <v>116</v>
      </c>
      <c r="C23" s="16">
        <f>(1054+180)</f>
        <v>1234</v>
      </c>
      <c r="D23" s="16">
        <f>(1054+180)</f>
        <v>1234</v>
      </c>
      <c r="E23" s="16">
        <f>(1054+180)-2-1-1</f>
        <v>1230</v>
      </c>
      <c r="F23" s="16">
        <f>(1054+180)-2-1-1-150-30</f>
        <v>1050</v>
      </c>
      <c r="G23" s="16">
        <v>945</v>
      </c>
      <c r="H23" s="17">
        <v>124</v>
      </c>
      <c r="I23" s="17">
        <v>124</v>
      </c>
      <c r="J23" s="17">
        <f>124+2</f>
        <v>126</v>
      </c>
      <c r="K23" s="17">
        <f>124+2</f>
        <v>126</v>
      </c>
      <c r="L23" s="16">
        <v>115</v>
      </c>
      <c r="M23" s="603">
        <v>62</v>
      </c>
      <c r="N23" s="603">
        <v>62</v>
      </c>
      <c r="O23" s="603">
        <f>62+1</f>
        <v>63</v>
      </c>
      <c r="P23" s="603">
        <f>62+1</f>
        <v>63</v>
      </c>
      <c r="Q23" s="603">
        <v>58</v>
      </c>
      <c r="R23" s="383">
        <f t="shared" si="7"/>
        <v>1420</v>
      </c>
      <c r="S23" s="383">
        <f t="shared" si="7"/>
        <v>1420</v>
      </c>
      <c r="T23" s="383">
        <f t="shared" si="7"/>
        <v>1419</v>
      </c>
      <c r="U23" s="383">
        <f t="shared" si="7"/>
        <v>1239</v>
      </c>
      <c r="V23" s="383">
        <f t="shared" si="7"/>
        <v>1118</v>
      </c>
      <c r="W23" s="37"/>
      <c r="X23" s="388"/>
      <c r="Y23" s="716"/>
      <c r="Z23" s="717"/>
      <c r="AA23" s="718"/>
      <c r="AB23" s="718"/>
      <c r="AC23" s="608"/>
      <c r="AD23" s="360"/>
      <c r="AE23" s="360"/>
      <c r="AF23" s="360"/>
    </row>
    <row r="24" spans="1:32" x14ac:dyDescent="0.2">
      <c r="A24" s="94" t="s">
        <v>218</v>
      </c>
      <c r="B24" s="133" t="s">
        <v>103</v>
      </c>
      <c r="C24" s="293">
        <f t="shared" ref="C24:Q24" si="8">SUM(C22:C23)</f>
        <v>23161</v>
      </c>
      <c r="D24" s="293">
        <f>SUM(D22:D23)</f>
        <v>23181</v>
      </c>
      <c r="E24" s="293">
        <f>SUM(E22:E23)</f>
        <v>23177</v>
      </c>
      <c r="F24" s="293">
        <f>SUM(F22:F23)</f>
        <v>23388</v>
      </c>
      <c r="G24" s="293">
        <f t="shared" si="8"/>
        <v>23282</v>
      </c>
      <c r="H24" s="293">
        <f t="shared" si="8"/>
        <v>2598</v>
      </c>
      <c r="I24" s="293">
        <f>SUM(I22:I23)</f>
        <v>3373</v>
      </c>
      <c r="J24" s="293">
        <f>SUM(J22:J23)</f>
        <v>3375</v>
      </c>
      <c r="K24" s="293">
        <f>SUM(K22:K23)</f>
        <v>3134</v>
      </c>
      <c r="L24" s="293">
        <f t="shared" si="8"/>
        <v>3122</v>
      </c>
      <c r="M24" s="293">
        <f t="shared" si="8"/>
        <v>1082</v>
      </c>
      <c r="N24" s="293">
        <f>SUM(N22:N23)</f>
        <v>1082</v>
      </c>
      <c r="O24" s="293">
        <f>SUM(O22:O23)</f>
        <v>1084</v>
      </c>
      <c r="P24" s="293">
        <f>SUM(P22:P23)</f>
        <v>1114</v>
      </c>
      <c r="Q24" s="293">
        <f t="shared" si="8"/>
        <v>1109</v>
      </c>
      <c r="R24" s="186">
        <f>SUM(R22:R23)</f>
        <v>26841</v>
      </c>
      <c r="S24" s="186">
        <f>SUM(S22:S23)</f>
        <v>27636</v>
      </c>
      <c r="T24" s="186">
        <f>SUM(T22:T23)</f>
        <v>27636</v>
      </c>
      <c r="U24" s="186">
        <f>SUM(U22:U23)</f>
        <v>27636</v>
      </c>
      <c r="V24" s="186">
        <f>SUM(V22:V23)</f>
        <v>27513</v>
      </c>
      <c r="W24" s="37"/>
      <c r="X24" s="388"/>
      <c r="Y24" s="716"/>
      <c r="Z24" s="717"/>
      <c r="AA24" s="718"/>
      <c r="AB24" s="718"/>
      <c r="AC24" s="608"/>
      <c r="AD24" s="360"/>
      <c r="AE24" s="360"/>
      <c r="AF24" s="360"/>
    </row>
    <row r="25" spans="1:32" x14ac:dyDescent="0.2">
      <c r="A25" s="94" t="s">
        <v>263</v>
      </c>
      <c r="B25" s="29" t="s">
        <v>285</v>
      </c>
      <c r="C25" s="15">
        <f t="shared" ref="C25:Q25" si="9">SUM(C26:C32)</f>
        <v>4150</v>
      </c>
      <c r="D25" s="15">
        <f>SUM(D26:D32)</f>
        <v>3550</v>
      </c>
      <c r="E25" s="15">
        <f>SUM(E26:E32)</f>
        <v>3550</v>
      </c>
      <c r="F25" s="15">
        <f>SUM(F26:F32)</f>
        <v>3926</v>
      </c>
      <c r="G25" s="15">
        <f t="shared" si="9"/>
        <v>3573</v>
      </c>
      <c r="H25" s="15">
        <f t="shared" si="9"/>
        <v>0</v>
      </c>
      <c r="I25" s="15">
        <f>SUM(I26:I32)</f>
        <v>0</v>
      </c>
      <c r="J25" s="15">
        <f>SUM(J26:J32)</f>
        <v>0</v>
      </c>
      <c r="K25" s="15">
        <f>SUM(K26:K32)</f>
        <v>0</v>
      </c>
      <c r="L25" s="15">
        <f t="shared" si="9"/>
        <v>0</v>
      </c>
      <c r="M25" s="15">
        <f t="shared" si="9"/>
        <v>110</v>
      </c>
      <c r="N25" s="15">
        <f>SUM(N26:N32)</f>
        <v>110</v>
      </c>
      <c r="O25" s="15">
        <f>SUM(O26:O32)</f>
        <v>110</v>
      </c>
      <c r="P25" s="15">
        <f>SUM(P26:P32)</f>
        <v>500</v>
      </c>
      <c r="Q25" s="15">
        <f t="shared" si="9"/>
        <v>484</v>
      </c>
      <c r="R25" s="382">
        <f>(H25+C25+M25)</f>
        <v>4260</v>
      </c>
      <c r="S25" s="382">
        <f>(I25+D25+N25)</f>
        <v>3660</v>
      </c>
      <c r="T25" s="382">
        <f>(J25+E25+O25)</f>
        <v>3660</v>
      </c>
      <c r="U25" s="382">
        <f>(K25+F25+P25)</f>
        <v>4426</v>
      </c>
      <c r="V25" s="382">
        <f>(L25+G25+Q25)</f>
        <v>4057</v>
      </c>
      <c r="W25" s="37"/>
      <c r="X25" s="608"/>
      <c r="Y25" s="718"/>
      <c r="Z25" s="717"/>
      <c r="AA25" s="718"/>
      <c r="AB25" s="718"/>
      <c r="AC25" s="608"/>
      <c r="AD25" s="360"/>
      <c r="AE25" s="360"/>
      <c r="AF25" s="360"/>
    </row>
    <row r="26" spans="1:32" x14ac:dyDescent="0.2">
      <c r="A26" s="71" t="s">
        <v>264</v>
      </c>
      <c r="B26" s="25" t="s">
        <v>335</v>
      </c>
      <c r="C26" s="16">
        <v>450</v>
      </c>
      <c r="D26" s="16">
        <f>450-43</f>
        <v>407</v>
      </c>
      <c r="E26" s="16">
        <f>450-43</f>
        <v>407</v>
      </c>
      <c r="F26" s="16">
        <f>450-43-97-63-27</f>
        <v>220</v>
      </c>
      <c r="G26" s="16">
        <v>99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383">
        <f>C26+H26+M26</f>
        <v>450</v>
      </c>
      <c r="S26" s="383">
        <f>D26+I26+N26</f>
        <v>407</v>
      </c>
      <c r="T26" s="383">
        <f>E26+J26+O26</f>
        <v>407</v>
      </c>
      <c r="U26" s="383">
        <f>F26+K26+P26</f>
        <v>220</v>
      </c>
      <c r="V26" s="383">
        <f>G26+L26+Q26</f>
        <v>99</v>
      </c>
      <c r="W26" s="37"/>
      <c r="X26" s="718"/>
      <c r="Y26" s="718"/>
      <c r="Z26" s="717"/>
      <c r="AA26" s="718"/>
      <c r="AB26" s="718"/>
      <c r="AC26" s="608"/>
      <c r="AD26" s="360"/>
      <c r="AE26" s="360"/>
      <c r="AF26" s="360"/>
    </row>
    <row r="27" spans="1:32" x14ac:dyDescent="0.2">
      <c r="A27" s="71" t="s">
        <v>265</v>
      </c>
      <c r="B27" s="25" t="s">
        <v>286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7"/>
      <c r="I27" s="17"/>
      <c r="J27" s="17"/>
      <c r="K27" s="17"/>
      <c r="L27" s="17"/>
      <c r="M27" s="17">
        <v>0</v>
      </c>
      <c r="N27" s="17">
        <v>0</v>
      </c>
      <c r="O27" s="17">
        <v>5</v>
      </c>
      <c r="P27" s="17">
        <v>5</v>
      </c>
      <c r="Q27" s="17">
        <v>5</v>
      </c>
      <c r="R27" s="383">
        <f t="shared" ref="R27:R32" si="10">C27+H27+M27</f>
        <v>0</v>
      </c>
      <c r="S27" s="383">
        <f t="shared" ref="S27:S33" si="11">D27+I27+N27</f>
        <v>0</v>
      </c>
      <c r="T27" s="383">
        <f t="shared" ref="T27:T33" si="12">E27+J27+O27</f>
        <v>5</v>
      </c>
      <c r="U27" s="383">
        <f t="shared" ref="U27:U33" si="13">F27+K27+P27</f>
        <v>5</v>
      </c>
      <c r="V27" s="383">
        <f t="shared" ref="V27:V33" si="14">G27+L27+Q27</f>
        <v>5</v>
      </c>
      <c r="W27" s="36"/>
      <c r="X27" s="718"/>
      <c r="Y27" s="718"/>
      <c r="Z27" s="717"/>
      <c r="AA27" s="718"/>
      <c r="AB27" s="718"/>
      <c r="AC27" s="608"/>
      <c r="AD27" s="360"/>
      <c r="AE27" s="360"/>
      <c r="AF27" s="360"/>
    </row>
    <row r="28" spans="1:32" x14ac:dyDescent="0.2">
      <c r="A28" s="71"/>
      <c r="B28" s="25" t="s">
        <v>343</v>
      </c>
      <c r="C28" s="16">
        <v>1300</v>
      </c>
      <c r="D28" s="16">
        <v>1300</v>
      </c>
      <c r="E28" s="16">
        <v>1300</v>
      </c>
      <c r="F28" s="16">
        <f>1300+366</f>
        <v>1666</v>
      </c>
      <c r="G28" s="16">
        <v>1665</v>
      </c>
      <c r="H28" s="17"/>
      <c r="I28" s="17"/>
      <c r="J28" s="17"/>
      <c r="K28" s="17"/>
      <c r="L28" s="17"/>
      <c r="M28" s="17">
        <v>20</v>
      </c>
      <c r="N28" s="17">
        <v>20</v>
      </c>
      <c r="O28" s="17">
        <f>20-5</f>
        <v>15</v>
      </c>
      <c r="P28" s="17">
        <f>20-5</f>
        <v>15</v>
      </c>
      <c r="Q28" s="17">
        <v>0</v>
      </c>
      <c r="R28" s="383">
        <f t="shared" si="10"/>
        <v>1320</v>
      </c>
      <c r="S28" s="383">
        <f t="shared" si="11"/>
        <v>1320</v>
      </c>
      <c r="T28" s="383">
        <f t="shared" si="12"/>
        <v>1315</v>
      </c>
      <c r="U28" s="383">
        <f t="shared" si="13"/>
        <v>1681</v>
      </c>
      <c r="V28" s="383">
        <f t="shared" si="14"/>
        <v>1665</v>
      </c>
      <c r="W28" s="36"/>
      <c r="X28" s="718"/>
      <c r="Y28" s="718"/>
      <c r="Z28" s="717"/>
      <c r="AA28" s="718"/>
      <c r="AB28" s="718"/>
      <c r="AC28" s="608"/>
      <c r="AD28" s="360"/>
      <c r="AE28" s="360"/>
      <c r="AF28" s="360"/>
    </row>
    <row r="29" spans="1:32" x14ac:dyDescent="0.2">
      <c r="A29" s="71"/>
      <c r="B29" s="25" t="s">
        <v>468</v>
      </c>
      <c r="C29" s="16">
        <v>1500</v>
      </c>
      <c r="D29" s="16">
        <f>1500-600</f>
        <v>900</v>
      </c>
      <c r="E29" s="16">
        <f>1500-600</f>
        <v>900</v>
      </c>
      <c r="F29" s="16">
        <f>1500-600</f>
        <v>900</v>
      </c>
      <c r="G29" s="16">
        <v>722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/>
      <c r="N29" s="17"/>
      <c r="O29" s="17"/>
      <c r="P29" s="17"/>
      <c r="Q29" s="17"/>
      <c r="R29" s="383">
        <f t="shared" si="10"/>
        <v>1500</v>
      </c>
      <c r="S29" s="383">
        <f t="shared" si="11"/>
        <v>900</v>
      </c>
      <c r="T29" s="383">
        <f t="shared" si="12"/>
        <v>900</v>
      </c>
      <c r="U29" s="383">
        <f t="shared" si="13"/>
        <v>900</v>
      </c>
      <c r="V29" s="383">
        <f t="shared" si="14"/>
        <v>722</v>
      </c>
      <c r="W29" s="36"/>
      <c r="X29" s="718"/>
      <c r="Y29" s="718"/>
      <c r="Z29" s="717"/>
      <c r="AA29" s="718"/>
      <c r="AB29" s="718"/>
      <c r="AC29" s="608"/>
      <c r="AD29" s="360"/>
      <c r="AE29" s="360"/>
      <c r="AF29" s="360"/>
    </row>
    <row r="30" spans="1:32" x14ac:dyDescent="0.2">
      <c r="A30" s="71"/>
      <c r="B30" s="25" t="s">
        <v>308</v>
      </c>
      <c r="C30" s="16">
        <v>400</v>
      </c>
      <c r="D30" s="16">
        <v>400</v>
      </c>
      <c r="E30" s="16">
        <v>400</v>
      </c>
      <c r="F30" s="16">
        <v>400</v>
      </c>
      <c r="G30" s="16">
        <v>349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383">
        <f t="shared" si="10"/>
        <v>400</v>
      </c>
      <c r="S30" s="383">
        <f t="shared" si="11"/>
        <v>400</v>
      </c>
      <c r="T30" s="383">
        <f t="shared" si="12"/>
        <v>400</v>
      </c>
      <c r="U30" s="383">
        <f t="shared" si="13"/>
        <v>400</v>
      </c>
      <c r="V30" s="383">
        <f t="shared" si="14"/>
        <v>349</v>
      </c>
      <c r="W30" s="36"/>
      <c r="X30" s="608"/>
      <c r="Y30" s="608"/>
      <c r="Z30" s="713"/>
      <c r="AA30" s="608"/>
      <c r="AB30" s="608"/>
      <c r="AC30" s="608"/>
      <c r="AD30" s="360"/>
      <c r="AE30" s="360"/>
      <c r="AF30" s="360"/>
    </row>
    <row r="31" spans="1:32" x14ac:dyDescent="0.2">
      <c r="A31" s="71"/>
      <c r="B31" s="25" t="s">
        <v>797</v>
      </c>
      <c r="C31" s="16">
        <v>0</v>
      </c>
      <c r="D31" s="16">
        <v>43</v>
      </c>
      <c r="E31" s="16">
        <v>43</v>
      </c>
      <c r="F31" s="16">
        <v>43</v>
      </c>
      <c r="G31" s="16">
        <v>41</v>
      </c>
      <c r="H31" s="17"/>
      <c r="I31" s="17"/>
      <c r="J31" s="17"/>
      <c r="K31" s="17"/>
      <c r="L31" s="17"/>
      <c r="M31" s="16">
        <v>90</v>
      </c>
      <c r="N31" s="16">
        <v>90</v>
      </c>
      <c r="O31" s="16">
        <v>90</v>
      </c>
      <c r="P31" s="16">
        <f>90+390</f>
        <v>480</v>
      </c>
      <c r="Q31" s="16">
        <v>479</v>
      </c>
      <c r="R31" s="383">
        <f t="shared" si="10"/>
        <v>90</v>
      </c>
      <c r="S31" s="383">
        <f t="shared" si="11"/>
        <v>133</v>
      </c>
      <c r="T31" s="383">
        <f t="shared" si="12"/>
        <v>133</v>
      </c>
      <c r="U31" s="383">
        <f t="shared" si="13"/>
        <v>523</v>
      </c>
      <c r="V31" s="383">
        <f t="shared" si="14"/>
        <v>520</v>
      </c>
      <c r="W31" s="36"/>
      <c r="X31" s="608"/>
      <c r="Y31" s="608"/>
      <c r="Z31" s="713"/>
      <c r="AA31" s="608"/>
      <c r="AB31" s="608"/>
      <c r="AC31" s="608"/>
      <c r="AD31" s="360"/>
      <c r="AE31" s="360"/>
      <c r="AF31" s="360"/>
    </row>
    <row r="32" spans="1:32" x14ac:dyDescent="0.2">
      <c r="A32" s="71"/>
      <c r="B32" s="25" t="s">
        <v>309</v>
      </c>
      <c r="C32" s="16">
        <v>500</v>
      </c>
      <c r="D32" s="16">
        <v>500</v>
      </c>
      <c r="E32" s="16">
        <v>500</v>
      </c>
      <c r="F32" s="16">
        <f>500+197</f>
        <v>697</v>
      </c>
      <c r="G32" s="16">
        <v>697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383">
        <f t="shared" si="10"/>
        <v>500</v>
      </c>
      <c r="S32" s="383">
        <f t="shared" si="11"/>
        <v>500</v>
      </c>
      <c r="T32" s="383">
        <f t="shared" si="12"/>
        <v>500</v>
      </c>
      <c r="U32" s="383">
        <f t="shared" si="13"/>
        <v>697</v>
      </c>
      <c r="V32" s="383">
        <f t="shared" si="14"/>
        <v>697</v>
      </c>
      <c r="W32" s="36"/>
      <c r="Z32" s="391"/>
      <c r="AD32" s="229"/>
      <c r="AE32" s="229"/>
      <c r="AF32" s="229"/>
    </row>
    <row r="33" spans="1:32" x14ac:dyDescent="0.2">
      <c r="A33" s="94" t="s">
        <v>266</v>
      </c>
      <c r="B33" s="29" t="s">
        <v>287</v>
      </c>
      <c r="C33" s="15">
        <f>SUM(C34:C40)</f>
        <v>1947</v>
      </c>
      <c r="D33" s="15">
        <f>SUM(D34:D40)</f>
        <v>1947</v>
      </c>
      <c r="E33" s="15">
        <f>SUM(E34:E40)</f>
        <v>1947</v>
      </c>
      <c r="F33" s="15">
        <f>SUM(F34:F40)</f>
        <v>2001</v>
      </c>
      <c r="G33" s="15">
        <f>SUM(G34:G40)</f>
        <v>1922</v>
      </c>
      <c r="H33" s="15">
        <f t="shared" ref="H33:M33" si="15">SUM(H34:H38)</f>
        <v>0</v>
      </c>
      <c r="I33" s="15">
        <f>SUM(I34:I38)</f>
        <v>0</v>
      </c>
      <c r="J33" s="15">
        <f>SUM(J34:J38)</f>
        <v>0</v>
      </c>
      <c r="K33" s="15">
        <f>SUM(K34:K38)</f>
        <v>0</v>
      </c>
      <c r="L33" s="15">
        <f t="shared" si="15"/>
        <v>0</v>
      </c>
      <c r="M33" s="15">
        <f t="shared" si="15"/>
        <v>60</v>
      </c>
      <c r="N33" s="15">
        <f>SUM(N34:N38)</f>
        <v>0</v>
      </c>
      <c r="O33" s="15">
        <f>SUM(O34:O38)</f>
        <v>0</v>
      </c>
      <c r="P33" s="15">
        <f>SUM(P34:P38)</f>
        <v>0</v>
      </c>
      <c r="Q33" s="15">
        <f>SUM(Q34:Q38)</f>
        <v>0</v>
      </c>
      <c r="R33" s="382">
        <f>C33+H33+M33</f>
        <v>2007</v>
      </c>
      <c r="S33" s="382">
        <f t="shared" si="11"/>
        <v>1947</v>
      </c>
      <c r="T33" s="382">
        <f t="shared" si="12"/>
        <v>1947</v>
      </c>
      <c r="U33" s="382">
        <f t="shared" si="13"/>
        <v>2001</v>
      </c>
      <c r="V33" s="382">
        <f t="shared" si="14"/>
        <v>1922</v>
      </c>
      <c r="W33" s="37"/>
      <c r="Z33" s="391"/>
      <c r="AD33" s="229"/>
      <c r="AE33" s="229"/>
      <c r="AF33" s="229"/>
    </row>
    <row r="34" spans="1:32" x14ac:dyDescent="0.2">
      <c r="A34" s="71" t="s">
        <v>267</v>
      </c>
      <c r="B34" s="25" t="s">
        <v>288</v>
      </c>
      <c r="C34" s="16"/>
      <c r="D34" s="16"/>
      <c r="E34" s="16"/>
      <c r="F34" s="16"/>
      <c r="G34" s="16"/>
      <c r="H34" s="17"/>
      <c r="I34" s="17"/>
      <c r="J34" s="17"/>
      <c r="K34" s="17"/>
      <c r="L34" s="17"/>
      <c r="M34" s="602"/>
      <c r="N34" s="602"/>
      <c r="O34" s="602"/>
      <c r="P34" s="602"/>
      <c r="Q34" s="602"/>
      <c r="R34" s="383">
        <f>C34+H34+M34</f>
        <v>0</v>
      </c>
      <c r="S34" s="383">
        <f t="shared" ref="S34:V37" si="16">D34+I34+N34</f>
        <v>0</v>
      </c>
      <c r="T34" s="383">
        <f t="shared" si="16"/>
        <v>0</v>
      </c>
      <c r="U34" s="383">
        <f t="shared" si="16"/>
        <v>0</v>
      </c>
      <c r="V34" s="383">
        <f t="shared" si="16"/>
        <v>0</v>
      </c>
      <c r="W34" s="36"/>
      <c r="Z34" s="391"/>
      <c r="AD34" s="229"/>
      <c r="AE34" s="229"/>
      <c r="AF34" s="229"/>
    </row>
    <row r="35" spans="1:32" x14ac:dyDescent="0.2">
      <c r="A35" s="71"/>
      <c r="B35" s="25" t="s">
        <v>331</v>
      </c>
      <c r="C35" s="16">
        <v>200</v>
      </c>
      <c r="D35" s="16">
        <v>200</v>
      </c>
      <c r="E35" s="16">
        <v>200</v>
      </c>
      <c r="F35" s="16">
        <v>200</v>
      </c>
      <c r="G35" s="16">
        <v>180</v>
      </c>
      <c r="H35" s="17"/>
      <c r="I35" s="17"/>
      <c r="J35" s="17"/>
      <c r="K35" s="17"/>
      <c r="L35" s="17"/>
      <c r="M35" s="602"/>
      <c r="N35" s="602"/>
      <c r="O35" s="602"/>
      <c r="P35" s="602"/>
      <c r="Q35" s="602"/>
      <c r="R35" s="383">
        <f>C35+H35+M35</f>
        <v>200</v>
      </c>
      <c r="S35" s="383">
        <f t="shared" si="16"/>
        <v>200</v>
      </c>
      <c r="T35" s="383">
        <f t="shared" si="16"/>
        <v>200</v>
      </c>
      <c r="U35" s="383">
        <f t="shared" si="16"/>
        <v>200</v>
      </c>
      <c r="V35" s="383">
        <f t="shared" si="16"/>
        <v>180</v>
      </c>
      <c r="W35" s="36"/>
      <c r="Z35" s="391"/>
      <c r="AD35" s="229"/>
      <c r="AE35" s="229"/>
      <c r="AF35" s="229"/>
    </row>
    <row r="36" spans="1:32" x14ac:dyDescent="0.2">
      <c r="A36" s="71"/>
      <c r="B36" s="25" t="s">
        <v>1124</v>
      </c>
      <c r="C36" s="16">
        <v>307</v>
      </c>
      <c r="D36" s="16">
        <v>307</v>
      </c>
      <c r="E36" s="16">
        <f>307+8</f>
        <v>315</v>
      </c>
      <c r="F36" s="16">
        <f>307+8</f>
        <v>315</v>
      </c>
      <c r="G36" s="16">
        <v>310</v>
      </c>
      <c r="H36" s="17"/>
      <c r="I36" s="17"/>
      <c r="J36" s="17"/>
      <c r="K36" s="17"/>
      <c r="L36" s="17"/>
      <c r="M36" s="602"/>
      <c r="N36" s="602"/>
      <c r="O36" s="602"/>
      <c r="P36" s="602"/>
      <c r="Q36" s="602"/>
      <c r="R36" s="383">
        <f>C36+H36+M36</f>
        <v>307</v>
      </c>
      <c r="S36" s="383">
        <f t="shared" ref="S36" si="17">D36+I36+N36</f>
        <v>307</v>
      </c>
      <c r="T36" s="383">
        <f t="shared" ref="T36" si="18">E36+J36+O36</f>
        <v>315</v>
      </c>
      <c r="U36" s="383">
        <f t="shared" ref="U36" si="19">F36+K36+P36</f>
        <v>315</v>
      </c>
      <c r="V36" s="383">
        <f t="shared" si="16"/>
        <v>310</v>
      </c>
      <c r="W36" s="36"/>
      <c r="Z36" s="391"/>
      <c r="AD36" s="229"/>
      <c r="AE36" s="229"/>
      <c r="AF36" s="229"/>
    </row>
    <row r="37" spans="1:32" x14ac:dyDescent="0.2">
      <c r="A37" s="71"/>
      <c r="B37" s="25" t="s">
        <v>882</v>
      </c>
      <c r="C37" s="16">
        <v>590</v>
      </c>
      <c r="D37" s="16">
        <v>590</v>
      </c>
      <c r="E37" s="16">
        <f>590-8</f>
        <v>582</v>
      </c>
      <c r="F37" s="16">
        <f>590-8+54</f>
        <v>636</v>
      </c>
      <c r="G37" s="16">
        <v>635</v>
      </c>
      <c r="H37" s="17"/>
      <c r="I37" s="17"/>
      <c r="J37" s="17"/>
      <c r="K37" s="17"/>
      <c r="L37" s="17"/>
      <c r="M37" s="602"/>
      <c r="N37" s="602"/>
      <c r="O37" s="602"/>
      <c r="P37" s="602"/>
      <c r="Q37" s="602"/>
      <c r="R37" s="383">
        <f>C37+H37+M37</f>
        <v>590</v>
      </c>
      <c r="S37" s="383">
        <f t="shared" si="16"/>
        <v>590</v>
      </c>
      <c r="T37" s="383">
        <f t="shared" si="16"/>
        <v>582</v>
      </c>
      <c r="U37" s="383">
        <f t="shared" si="16"/>
        <v>636</v>
      </c>
      <c r="V37" s="383">
        <f t="shared" si="16"/>
        <v>635</v>
      </c>
      <c r="W37" s="36"/>
      <c r="Z37" s="391"/>
      <c r="AD37" s="229"/>
      <c r="AE37" s="229"/>
      <c r="AF37" s="229"/>
    </row>
    <row r="38" spans="1:32" x14ac:dyDescent="0.2">
      <c r="A38" s="71" t="s">
        <v>268</v>
      </c>
      <c r="B38" s="25" t="s">
        <v>935</v>
      </c>
      <c r="C38" s="17">
        <f>1100-250</f>
        <v>850</v>
      </c>
      <c r="D38" s="17">
        <f>1100-250</f>
        <v>850</v>
      </c>
      <c r="E38" s="17">
        <f>1100-250</f>
        <v>850</v>
      </c>
      <c r="F38" s="17">
        <f>1100-250</f>
        <v>850</v>
      </c>
      <c r="G38" s="17">
        <v>797</v>
      </c>
      <c r="H38" s="17"/>
      <c r="I38" s="17"/>
      <c r="J38" s="17"/>
      <c r="K38" s="17"/>
      <c r="L38" s="17"/>
      <c r="M38" s="602">
        <v>60</v>
      </c>
      <c r="N38" s="602">
        <f>60-60</f>
        <v>0</v>
      </c>
      <c r="O38" s="602">
        <f>60-60</f>
        <v>0</v>
      </c>
      <c r="P38" s="602">
        <f>60-60</f>
        <v>0</v>
      </c>
      <c r="Q38" s="602">
        <v>0</v>
      </c>
      <c r="R38" s="383">
        <f t="shared" ref="R38:R48" si="20">C38+H38+M38</f>
        <v>910</v>
      </c>
      <c r="S38" s="383">
        <f t="shared" ref="S38:S48" si="21">D38+I38+N38</f>
        <v>850</v>
      </c>
      <c r="T38" s="383">
        <f t="shared" ref="T38:T48" si="22">E38+J38+O38</f>
        <v>850</v>
      </c>
      <c r="U38" s="383">
        <f t="shared" ref="U38:U48" si="23">F38+K38+P38</f>
        <v>850</v>
      </c>
      <c r="V38" s="383">
        <f t="shared" ref="V38:V48" si="24">G38+L38+Q38</f>
        <v>797</v>
      </c>
      <c r="W38" s="36"/>
      <c r="Z38" s="391"/>
      <c r="AD38" s="229"/>
      <c r="AE38" s="229"/>
      <c r="AF38" s="229"/>
    </row>
    <row r="39" spans="1:32" hidden="1" x14ac:dyDescent="0.2">
      <c r="A39" s="71"/>
      <c r="B39" s="25" t="s">
        <v>332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602"/>
      <c r="N39" s="602"/>
      <c r="O39" s="602"/>
      <c r="P39" s="602"/>
      <c r="Q39" s="602"/>
      <c r="R39" s="383">
        <f t="shared" si="20"/>
        <v>0</v>
      </c>
      <c r="S39" s="383">
        <f t="shared" si="21"/>
        <v>0</v>
      </c>
      <c r="T39" s="383">
        <f t="shared" si="22"/>
        <v>0</v>
      </c>
      <c r="U39" s="383">
        <f t="shared" si="23"/>
        <v>0</v>
      </c>
      <c r="V39" s="383">
        <f t="shared" si="24"/>
        <v>0</v>
      </c>
      <c r="W39" s="36"/>
      <c r="Z39" s="391"/>
      <c r="AD39" s="229"/>
      <c r="AE39" s="229"/>
      <c r="AF39" s="229"/>
    </row>
    <row r="40" spans="1:32" hidden="1" x14ac:dyDescent="0.2">
      <c r="A40" s="71"/>
      <c r="B40" s="25" t="s">
        <v>333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602"/>
      <c r="N40" s="602"/>
      <c r="O40" s="602"/>
      <c r="P40" s="602"/>
      <c r="Q40" s="602"/>
      <c r="R40" s="383">
        <f t="shared" si="20"/>
        <v>0</v>
      </c>
      <c r="S40" s="383">
        <f t="shared" si="21"/>
        <v>0</v>
      </c>
      <c r="T40" s="383">
        <f t="shared" si="22"/>
        <v>0</v>
      </c>
      <c r="U40" s="383">
        <f t="shared" si="23"/>
        <v>0</v>
      </c>
      <c r="V40" s="383">
        <f t="shared" si="24"/>
        <v>0</v>
      </c>
      <c r="W40" s="36"/>
      <c r="Z40" s="391"/>
      <c r="AD40" s="229"/>
      <c r="AE40" s="229"/>
      <c r="AF40" s="229"/>
    </row>
    <row r="41" spans="1:32" x14ac:dyDescent="0.2">
      <c r="A41" s="94" t="s">
        <v>269</v>
      </c>
      <c r="B41" s="29" t="s">
        <v>289</v>
      </c>
      <c r="C41" s="15">
        <f t="shared" ref="C41:M41" si="25">SUM(C42:C59)</f>
        <v>10490</v>
      </c>
      <c r="D41" s="15">
        <f>SUM(D42:D59)</f>
        <v>10940</v>
      </c>
      <c r="E41" s="15">
        <f>SUM(E42:E59)</f>
        <v>10876</v>
      </c>
      <c r="F41" s="15">
        <f>SUM(F42:F59)</f>
        <v>12120</v>
      </c>
      <c r="G41" s="15">
        <f>SUM(G42:G59)</f>
        <v>11574</v>
      </c>
      <c r="H41" s="15">
        <f t="shared" si="25"/>
        <v>890</v>
      </c>
      <c r="I41" s="15">
        <f>SUM(I42:I59)</f>
        <v>890</v>
      </c>
      <c r="J41" s="15">
        <f>SUM(J42:J59)</f>
        <v>890</v>
      </c>
      <c r="K41" s="15">
        <f>SUM(K42:K59)</f>
        <v>811</v>
      </c>
      <c r="L41" s="15">
        <f t="shared" si="25"/>
        <v>486</v>
      </c>
      <c r="M41" s="15">
        <f t="shared" si="25"/>
        <v>20</v>
      </c>
      <c r="N41" s="15">
        <f>SUM(N42:N59)</f>
        <v>20</v>
      </c>
      <c r="O41" s="15">
        <f>SUM(O42:O59)</f>
        <v>84</v>
      </c>
      <c r="P41" s="15">
        <f>SUM(P42:P59)</f>
        <v>84</v>
      </c>
      <c r="Q41" s="15">
        <f>SUM(Q42:Q59)</f>
        <v>72</v>
      </c>
      <c r="R41" s="382">
        <f t="shared" si="20"/>
        <v>11400</v>
      </c>
      <c r="S41" s="382">
        <f t="shared" si="21"/>
        <v>11850</v>
      </c>
      <c r="T41" s="382">
        <f t="shared" si="22"/>
        <v>11850</v>
      </c>
      <c r="U41" s="382">
        <f t="shared" si="23"/>
        <v>13015</v>
      </c>
      <c r="V41" s="382">
        <f t="shared" si="24"/>
        <v>12132</v>
      </c>
      <c r="W41" s="37"/>
      <c r="Z41" s="391"/>
      <c r="AD41" s="229"/>
      <c r="AE41" s="229"/>
      <c r="AF41" s="229"/>
    </row>
    <row r="42" spans="1:32" x14ac:dyDescent="0.2">
      <c r="A42" s="71" t="s">
        <v>270</v>
      </c>
      <c r="B42" s="25" t="s">
        <v>306</v>
      </c>
      <c r="C42" s="16">
        <v>0</v>
      </c>
      <c r="D42" s="16">
        <v>600</v>
      </c>
      <c r="E42" s="16">
        <v>600</v>
      </c>
      <c r="F42" s="16">
        <f>600+97</f>
        <v>697</v>
      </c>
      <c r="G42" s="16">
        <v>696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383">
        <f t="shared" si="20"/>
        <v>0</v>
      </c>
      <c r="S42" s="383">
        <f t="shared" si="21"/>
        <v>600</v>
      </c>
      <c r="T42" s="383">
        <f t="shared" si="22"/>
        <v>600</v>
      </c>
      <c r="U42" s="383">
        <f t="shared" si="23"/>
        <v>697</v>
      </c>
      <c r="V42" s="383">
        <f t="shared" si="24"/>
        <v>696</v>
      </c>
      <c r="W42" s="36"/>
      <c r="Z42" s="391"/>
      <c r="AD42" s="229"/>
      <c r="AE42" s="229"/>
      <c r="AF42" s="229"/>
    </row>
    <row r="43" spans="1:32" hidden="1" x14ac:dyDescent="0.2">
      <c r="A43" s="71" t="s">
        <v>321</v>
      </c>
      <c r="B43" s="25" t="s">
        <v>322</v>
      </c>
      <c r="C43" s="16"/>
      <c r="D43" s="16"/>
      <c r="E43" s="16"/>
      <c r="F43" s="16"/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383">
        <f t="shared" si="20"/>
        <v>0</v>
      </c>
      <c r="S43" s="383">
        <f t="shared" si="21"/>
        <v>0</v>
      </c>
      <c r="T43" s="383">
        <f t="shared" si="22"/>
        <v>0</v>
      </c>
      <c r="U43" s="383">
        <f t="shared" si="23"/>
        <v>0</v>
      </c>
      <c r="V43" s="383">
        <f t="shared" si="24"/>
        <v>0</v>
      </c>
      <c r="W43" s="36"/>
      <c r="Z43" s="391"/>
    </row>
    <row r="44" spans="1:32" x14ac:dyDescent="0.2">
      <c r="A44" s="71" t="s">
        <v>271</v>
      </c>
      <c r="B44" s="25" t="s">
        <v>344</v>
      </c>
      <c r="C44" s="171">
        <v>20</v>
      </c>
      <c r="D44" s="171">
        <v>20</v>
      </c>
      <c r="E44" s="171">
        <v>20</v>
      </c>
      <c r="F44" s="171">
        <v>20</v>
      </c>
      <c r="G44" s="171">
        <v>18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383">
        <f t="shared" si="20"/>
        <v>20</v>
      </c>
      <c r="S44" s="383">
        <f t="shared" si="21"/>
        <v>20</v>
      </c>
      <c r="T44" s="383">
        <f t="shared" si="22"/>
        <v>20</v>
      </c>
      <c r="U44" s="383">
        <f t="shared" si="23"/>
        <v>20</v>
      </c>
      <c r="V44" s="383">
        <f t="shared" si="24"/>
        <v>18</v>
      </c>
      <c r="W44" s="36"/>
      <c r="Z44" s="391"/>
    </row>
    <row r="45" spans="1:32" x14ac:dyDescent="0.2">
      <c r="A45" s="71" t="s">
        <v>272</v>
      </c>
      <c r="B45" s="25" t="s">
        <v>304</v>
      </c>
      <c r="C45" s="171"/>
      <c r="D45" s="171"/>
      <c r="E45" s="171"/>
      <c r="F45" s="171"/>
      <c r="G45" s="171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383">
        <f t="shared" si="20"/>
        <v>0</v>
      </c>
      <c r="S45" s="383">
        <f t="shared" si="21"/>
        <v>0</v>
      </c>
      <c r="T45" s="383">
        <f t="shared" si="22"/>
        <v>0</v>
      </c>
      <c r="U45" s="383">
        <f t="shared" si="23"/>
        <v>0</v>
      </c>
      <c r="V45" s="383">
        <f t="shared" si="24"/>
        <v>0</v>
      </c>
      <c r="W45" s="36"/>
      <c r="Z45" s="391"/>
    </row>
    <row r="46" spans="1:32" x14ac:dyDescent="0.2">
      <c r="A46" s="71"/>
      <c r="B46" s="25" t="s">
        <v>484</v>
      </c>
      <c r="C46" s="171">
        <v>360</v>
      </c>
      <c r="D46" s="171">
        <v>360</v>
      </c>
      <c r="E46" s="171">
        <v>360</v>
      </c>
      <c r="F46" s="171">
        <v>360</v>
      </c>
      <c r="G46" s="171">
        <v>300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383">
        <f t="shared" si="20"/>
        <v>360</v>
      </c>
      <c r="S46" s="383">
        <f t="shared" si="21"/>
        <v>360</v>
      </c>
      <c r="T46" s="383">
        <f t="shared" si="22"/>
        <v>360</v>
      </c>
      <c r="U46" s="383">
        <f t="shared" si="23"/>
        <v>360</v>
      </c>
      <c r="V46" s="383">
        <f t="shared" si="24"/>
        <v>300</v>
      </c>
      <c r="W46" s="36"/>
      <c r="Z46" s="391"/>
    </row>
    <row r="47" spans="1:32" x14ac:dyDescent="0.2">
      <c r="A47" s="71"/>
      <c r="B47" s="25" t="s">
        <v>485</v>
      </c>
      <c r="C47" s="171">
        <v>900</v>
      </c>
      <c r="D47" s="171">
        <f>900-100</f>
        <v>800</v>
      </c>
      <c r="E47" s="171">
        <f>900-100</f>
        <v>800</v>
      </c>
      <c r="F47" s="171">
        <f>900-100</f>
        <v>800</v>
      </c>
      <c r="G47" s="171">
        <v>672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383">
        <f t="shared" si="20"/>
        <v>900</v>
      </c>
      <c r="S47" s="383">
        <f t="shared" si="21"/>
        <v>800</v>
      </c>
      <c r="T47" s="383">
        <f t="shared" si="22"/>
        <v>800</v>
      </c>
      <c r="U47" s="383">
        <f t="shared" si="23"/>
        <v>800</v>
      </c>
      <c r="V47" s="383">
        <f t="shared" si="24"/>
        <v>672</v>
      </c>
      <c r="W47" s="36"/>
      <c r="Z47" s="391"/>
    </row>
    <row r="48" spans="1:32" x14ac:dyDescent="0.2">
      <c r="A48" s="71"/>
      <c r="B48" s="25" t="s">
        <v>486</v>
      </c>
      <c r="C48" s="171">
        <v>300</v>
      </c>
      <c r="D48" s="171">
        <f>300-50</f>
        <v>250</v>
      </c>
      <c r="E48" s="171">
        <f>300-50-25</f>
        <v>225</v>
      </c>
      <c r="F48" s="171">
        <f>300-50-25</f>
        <v>225</v>
      </c>
      <c r="G48" s="171">
        <v>173</v>
      </c>
      <c r="H48" s="17"/>
      <c r="I48" s="17"/>
      <c r="J48" s="17"/>
      <c r="K48" s="17"/>
      <c r="L48" s="17"/>
      <c r="M48" s="17">
        <v>0</v>
      </c>
      <c r="N48" s="17">
        <v>0</v>
      </c>
      <c r="O48" s="17">
        <v>25</v>
      </c>
      <c r="P48" s="17">
        <v>25</v>
      </c>
      <c r="Q48" s="17">
        <v>25</v>
      </c>
      <c r="R48" s="383">
        <f t="shared" si="20"/>
        <v>300</v>
      </c>
      <c r="S48" s="383">
        <f t="shared" si="21"/>
        <v>250</v>
      </c>
      <c r="T48" s="383">
        <f t="shared" si="22"/>
        <v>250</v>
      </c>
      <c r="U48" s="383">
        <f t="shared" si="23"/>
        <v>250</v>
      </c>
      <c r="V48" s="383">
        <f t="shared" si="24"/>
        <v>198</v>
      </c>
      <c r="W48" s="36"/>
      <c r="Z48" s="391"/>
    </row>
    <row r="49" spans="1:26" x14ac:dyDescent="0.2">
      <c r="A49" s="71" t="s">
        <v>273</v>
      </c>
      <c r="B49" s="25" t="s">
        <v>303</v>
      </c>
      <c r="C49" s="171"/>
      <c r="D49" s="171"/>
      <c r="E49" s="171"/>
      <c r="F49" s="171"/>
      <c r="G49" s="171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383">
        <f t="shared" ref="R49:R60" si="26">C49+H49+M49</f>
        <v>0</v>
      </c>
      <c r="S49" s="383">
        <f t="shared" ref="S49:S60" si="27">D49+I49+N49</f>
        <v>0</v>
      </c>
      <c r="T49" s="383">
        <f t="shared" ref="T49:T60" si="28">E49+J49+O49</f>
        <v>0</v>
      </c>
      <c r="U49" s="383">
        <f t="shared" ref="U49:U60" si="29">F49+K49+P49</f>
        <v>0</v>
      </c>
      <c r="V49" s="383">
        <f t="shared" ref="V49:V60" si="30">G49+L49+Q49</f>
        <v>0</v>
      </c>
      <c r="W49" s="36"/>
      <c r="Z49" s="391"/>
    </row>
    <row r="50" spans="1:26" x14ac:dyDescent="0.2">
      <c r="A50" s="71" t="s">
        <v>274</v>
      </c>
      <c r="B50" s="25" t="s">
        <v>302</v>
      </c>
      <c r="C50" s="171"/>
      <c r="D50" s="171"/>
      <c r="E50" s="171"/>
      <c r="F50" s="171"/>
      <c r="G50" s="171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383">
        <f t="shared" si="26"/>
        <v>0</v>
      </c>
      <c r="S50" s="383">
        <f t="shared" si="27"/>
        <v>0</v>
      </c>
      <c r="T50" s="383">
        <f t="shared" si="28"/>
        <v>0</v>
      </c>
      <c r="U50" s="383">
        <f t="shared" si="29"/>
        <v>0</v>
      </c>
      <c r="V50" s="383">
        <f t="shared" si="30"/>
        <v>0</v>
      </c>
      <c r="W50" s="36"/>
      <c r="Z50" s="391"/>
    </row>
    <row r="51" spans="1:26" x14ac:dyDescent="0.2">
      <c r="A51" s="71"/>
      <c r="B51" s="25" t="s">
        <v>327</v>
      </c>
      <c r="C51" s="232">
        <v>1400</v>
      </c>
      <c r="D51" s="232">
        <v>1400</v>
      </c>
      <c r="E51" s="232">
        <v>1400</v>
      </c>
      <c r="F51" s="232">
        <f>1400-268</f>
        <v>1132</v>
      </c>
      <c r="G51" s="232">
        <v>831</v>
      </c>
      <c r="H51" s="17">
        <v>100</v>
      </c>
      <c r="I51" s="17">
        <v>100</v>
      </c>
      <c r="J51" s="17">
        <v>100</v>
      </c>
      <c r="K51" s="17">
        <f>100-79</f>
        <v>21</v>
      </c>
      <c r="L51" s="17">
        <v>0</v>
      </c>
      <c r="M51" s="17"/>
      <c r="N51" s="17"/>
      <c r="O51" s="17"/>
      <c r="P51" s="17"/>
      <c r="Q51" s="17"/>
      <c r="R51" s="383">
        <f t="shared" si="26"/>
        <v>1500</v>
      </c>
      <c r="S51" s="383">
        <f t="shared" si="27"/>
        <v>1500</v>
      </c>
      <c r="T51" s="383">
        <f t="shared" si="28"/>
        <v>1500</v>
      </c>
      <c r="U51" s="383">
        <f t="shared" si="29"/>
        <v>1153</v>
      </c>
      <c r="V51" s="383">
        <f t="shared" si="30"/>
        <v>831</v>
      </c>
      <c r="W51" s="36"/>
      <c r="Z51" s="391"/>
    </row>
    <row r="52" spans="1:26" x14ac:dyDescent="0.2">
      <c r="A52" s="71"/>
      <c r="B52" s="25" t="s">
        <v>340</v>
      </c>
      <c r="C52" s="232">
        <v>2220</v>
      </c>
      <c r="D52" s="232">
        <v>2220</v>
      </c>
      <c r="E52" s="232">
        <v>2220</v>
      </c>
      <c r="F52" s="232">
        <v>2220</v>
      </c>
      <c r="G52" s="232">
        <v>2220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383">
        <f t="shared" si="26"/>
        <v>2220</v>
      </c>
      <c r="S52" s="383">
        <f t="shared" si="27"/>
        <v>2220</v>
      </c>
      <c r="T52" s="383">
        <f t="shared" si="28"/>
        <v>2220</v>
      </c>
      <c r="U52" s="383">
        <f t="shared" si="29"/>
        <v>2220</v>
      </c>
      <c r="V52" s="383">
        <f t="shared" si="30"/>
        <v>2220</v>
      </c>
      <c r="W52" s="36"/>
      <c r="Z52" s="391"/>
    </row>
    <row r="53" spans="1:26" x14ac:dyDescent="0.2">
      <c r="A53" s="71"/>
      <c r="B53" s="25" t="s">
        <v>491</v>
      </c>
      <c r="C53" s="232">
        <v>340</v>
      </c>
      <c r="D53" s="232">
        <v>340</v>
      </c>
      <c r="E53" s="232">
        <v>340</v>
      </c>
      <c r="F53" s="232">
        <f>340+79</f>
        <v>419</v>
      </c>
      <c r="G53" s="232">
        <v>418</v>
      </c>
      <c r="H53" s="17">
        <v>40</v>
      </c>
      <c r="I53" s="17">
        <v>40</v>
      </c>
      <c r="J53" s="17">
        <v>40</v>
      </c>
      <c r="K53" s="17">
        <v>40</v>
      </c>
      <c r="L53" s="17">
        <v>0</v>
      </c>
      <c r="M53" s="17">
        <v>20</v>
      </c>
      <c r="N53" s="17">
        <v>20</v>
      </c>
      <c r="O53" s="17">
        <v>20</v>
      </c>
      <c r="P53" s="17">
        <v>20</v>
      </c>
      <c r="Q53" s="17">
        <v>8</v>
      </c>
      <c r="R53" s="383">
        <f t="shared" si="26"/>
        <v>400</v>
      </c>
      <c r="S53" s="383">
        <f t="shared" si="27"/>
        <v>400</v>
      </c>
      <c r="T53" s="383">
        <f t="shared" si="28"/>
        <v>400</v>
      </c>
      <c r="U53" s="383">
        <f t="shared" si="29"/>
        <v>479</v>
      </c>
      <c r="V53" s="383">
        <f t="shared" si="30"/>
        <v>426</v>
      </c>
      <c r="W53" s="36"/>
      <c r="Z53" s="391"/>
    </row>
    <row r="54" spans="1:26" x14ac:dyDescent="0.2">
      <c r="A54" s="71"/>
      <c r="B54" s="25" t="s">
        <v>798</v>
      </c>
      <c r="C54" s="232"/>
      <c r="D54" s="232"/>
      <c r="E54" s="232"/>
      <c r="F54" s="232"/>
      <c r="G54" s="232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383">
        <f t="shared" si="26"/>
        <v>0</v>
      </c>
      <c r="S54" s="383">
        <f t="shared" si="27"/>
        <v>0</v>
      </c>
      <c r="T54" s="383">
        <f t="shared" si="28"/>
        <v>0</v>
      </c>
      <c r="U54" s="383">
        <f t="shared" si="29"/>
        <v>0</v>
      </c>
      <c r="V54" s="383">
        <f t="shared" si="30"/>
        <v>0</v>
      </c>
      <c r="W54" s="36"/>
      <c r="Z54" s="391"/>
    </row>
    <row r="55" spans="1:26" x14ac:dyDescent="0.2">
      <c r="A55" s="71"/>
      <c r="B55" s="25" t="s">
        <v>937</v>
      </c>
      <c r="C55" s="232">
        <v>400</v>
      </c>
      <c r="D55" s="232">
        <v>400</v>
      </c>
      <c r="E55" s="232">
        <v>400</v>
      </c>
      <c r="F55" s="232">
        <f>400+268</f>
        <v>668</v>
      </c>
      <c r="G55" s="232">
        <v>668</v>
      </c>
      <c r="H55" s="17">
        <f>300+300+50+100</f>
        <v>750</v>
      </c>
      <c r="I55" s="17">
        <f>300+300+50+100</f>
        <v>750</v>
      </c>
      <c r="J55" s="17">
        <f>300+300+50+100</f>
        <v>750</v>
      </c>
      <c r="K55" s="17">
        <f>300+300+50+100</f>
        <v>750</v>
      </c>
      <c r="L55" s="17">
        <v>486</v>
      </c>
      <c r="M55" s="17"/>
      <c r="N55" s="17"/>
      <c r="O55" s="17"/>
      <c r="P55" s="17"/>
      <c r="Q55" s="17"/>
      <c r="R55" s="383">
        <f t="shared" si="26"/>
        <v>1150</v>
      </c>
      <c r="S55" s="383">
        <f t="shared" si="27"/>
        <v>1150</v>
      </c>
      <c r="T55" s="383">
        <f t="shared" si="28"/>
        <v>1150</v>
      </c>
      <c r="U55" s="383">
        <f t="shared" si="29"/>
        <v>1418</v>
      </c>
      <c r="V55" s="383">
        <f t="shared" si="30"/>
        <v>1154</v>
      </c>
      <c r="W55" s="36"/>
      <c r="Z55" s="391"/>
    </row>
    <row r="56" spans="1:26" x14ac:dyDescent="0.2">
      <c r="A56" s="71" t="s">
        <v>275</v>
      </c>
      <c r="B56" s="25" t="s">
        <v>301</v>
      </c>
      <c r="C56" s="171">
        <v>300</v>
      </c>
      <c r="D56" s="171">
        <v>300</v>
      </c>
      <c r="E56" s="13">
        <f>300-39</f>
        <v>261</v>
      </c>
      <c r="F56" s="13">
        <f>300-39+130</f>
        <v>391</v>
      </c>
      <c r="G56" s="171">
        <v>391</v>
      </c>
      <c r="H56" s="17"/>
      <c r="I56" s="17"/>
      <c r="J56" s="17"/>
      <c r="K56" s="17"/>
      <c r="L56" s="17"/>
      <c r="M56" s="17">
        <v>0</v>
      </c>
      <c r="N56" s="17">
        <v>0</v>
      </c>
      <c r="O56" s="17">
        <v>39</v>
      </c>
      <c r="P56" s="17">
        <v>39</v>
      </c>
      <c r="Q56" s="17">
        <v>39</v>
      </c>
      <c r="R56" s="383">
        <f t="shared" si="26"/>
        <v>300</v>
      </c>
      <c r="S56" s="383">
        <f t="shared" si="27"/>
        <v>300</v>
      </c>
      <c r="T56" s="383">
        <f t="shared" si="28"/>
        <v>300</v>
      </c>
      <c r="U56" s="383">
        <f t="shared" si="29"/>
        <v>430</v>
      </c>
      <c r="V56" s="383">
        <f t="shared" si="30"/>
        <v>430</v>
      </c>
      <c r="W56" s="36"/>
      <c r="Z56" s="391"/>
    </row>
    <row r="57" spans="1:26" x14ac:dyDescent="0.2">
      <c r="A57" s="71"/>
      <c r="B57" s="9" t="s">
        <v>311</v>
      </c>
      <c r="C57" s="232">
        <v>3400</v>
      </c>
      <c r="D57" s="232">
        <v>3400</v>
      </c>
      <c r="E57" s="13">
        <v>3400</v>
      </c>
      <c r="F57" s="13">
        <f>3400+678</f>
        <v>4078</v>
      </c>
      <c r="G57" s="232">
        <v>4078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383">
        <f t="shared" si="26"/>
        <v>3400</v>
      </c>
      <c r="S57" s="383">
        <f t="shared" si="27"/>
        <v>3400</v>
      </c>
      <c r="T57" s="383">
        <f t="shared" si="28"/>
        <v>3400</v>
      </c>
      <c r="U57" s="383">
        <f t="shared" si="29"/>
        <v>4078</v>
      </c>
      <c r="V57" s="383">
        <f t="shared" si="30"/>
        <v>4078</v>
      </c>
      <c r="W57" s="36"/>
      <c r="Z57" s="391"/>
    </row>
    <row r="58" spans="1:26" x14ac:dyDescent="0.2">
      <c r="A58" s="71"/>
      <c r="B58" s="9" t="s">
        <v>479</v>
      </c>
      <c r="C58" s="232">
        <v>100</v>
      </c>
      <c r="D58" s="232">
        <v>100</v>
      </c>
      <c r="E58" s="13">
        <v>100</v>
      </c>
      <c r="F58" s="13">
        <f>100+197</f>
        <v>297</v>
      </c>
      <c r="G58" s="232">
        <v>296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383">
        <f t="shared" si="26"/>
        <v>100</v>
      </c>
      <c r="S58" s="383">
        <f t="shared" si="27"/>
        <v>100</v>
      </c>
      <c r="T58" s="383">
        <f t="shared" si="28"/>
        <v>100</v>
      </c>
      <c r="U58" s="383">
        <f t="shared" si="29"/>
        <v>297</v>
      </c>
      <c r="V58" s="383">
        <f t="shared" si="30"/>
        <v>296</v>
      </c>
      <c r="W58" s="36"/>
      <c r="Z58" s="391"/>
    </row>
    <row r="59" spans="1:26" x14ac:dyDescent="0.2">
      <c r="A59" s="71"/>
      <c r="B59" s="25" t="s">
        <v>464</v>
      </c>
      <c r="C59" s="171">
        <v>750</v>
      </c>
      <c r="D59" s="171">
        <v>750</v>
      </c>
      <c r="E59" s="13">
        <v>750</v>
      </c>
      <c r="F59" s="13">
        <f>750+63</f>
        <v>813</v>
      </c>
      <c r="G59" s="171">
        <v>813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383">
        <f t="shared" si="26"/>
        <v>750</v>
      </c>
      <c r="S59" s="383">
        <f t="shared" si="27"/>
        <v>750</v>
      </c>
      <c r="T59" s="383">
        <f t="shared" si="28"/>
        <v>750</v>
      </c>
      <c r="U59" s="383">
        <f t="shared" si="29"/>
        <v>813</v>
      </c>
      <c r="V59" s="383">
        <f t="shared" si="30"/>
        <v>813</v>
      </c>
      <c r="W59" s="36"/>
      <c r="Z59" s="391"/>
    </row>
    <row r="60" spans="1:26" x14ac:dyDescent="0.2">
      <c r="A60" s="94" t="s">
        <v>276</v>
      </c>
      <c r="B60" s="29" t="s">
        <v>261</v>
      </c>
      <c r="C60" s="88">
        <f t="shared" ref="C60:O60" si="31">SUM(C61:C62)</f>
        <v>230</v>
      </c>
      <c r="D60" s="88">
        <f>SUM(D61:D62)</f>
        <v>230</v>
      </c>
      <c r="E60" s="88">
        <f>SUM(E61:E62)</f>
        <v>210</v>
      </c>
      <c r="F60" s="88">
        <f>SUM(F61:F62)</f>
        <v>282</v>
      </c>
      <c r="G60" s="88">
        <f>SUM(G61:G62)</f>
        <v>252</v>
      </c>
      <c r="H60" s="15">
        <f t="shared" si="31"/>
        <v>20</v>
      </c>
      <c r="I60" s="15">
        <f>SUM(I61:I62)</f>
        <v>20</v>
      </c>
      <c r="J60" s="15">
        <f>SUM(J61:J62)</f>
        <v>20</v>
      </c>
      <c r="K60" s="15">
        <f>SUM(K61:K62)</f>
        <v>47</v>
      </c>
      <c r="L60" s="15">
        <f>SUM(L61:L62)</f>
        <v>47</v>
      </c>
      <c r="M60" s="15">
        <f t="shared" si="31"/>
        <v>0</v>
      </c>
      <c r="N60" s="15">
        <f>SUM(N61:N62)</f>
        <v>0</v>
      </c>
      <c r="O60" s="15">
        <f t="shared" si="31"/>
        <v>20</v>
      </c>
      <c r="P60" s="15">
        <f t="shared" ref="P60" si="32">SUM(P61:P62)</f>
        <v>20</v>
      </c>
      <c r="Q60" s="15">
        <f>SUM(Q61:Q62)</f>
        <v>18</v>
      </c>
      <c r="R60" s="382">
        <f t="shared" si="26"/>
        <v>250</v>
      </c>
      <c r="S60" s="382">
        <f t="shared" si="27"/>
        <v>250</v>
      </c>
      <c r="T60" s="382">
        <f t="shared" si="28"/>
        <v>250</v>
      </c>
      <c r="U60" s="382">
        <f t="shared" si="29"/>
        <v>349</v>
      </c>
      <c r="V60" s="382">
        <f t="shared" si="30"/>
        <v>317</v>
      </c>
      <c r="W60" s="37"/>
      <c r="X60" s="45"/>
      <c r="Y60" s="45"/>
      <c r="Z60" s="391"/>
    </row>
    <row r="61" spans="1:26" x14ac:dyDescent="0.2">
      <c r="A61" s="71" t="s">
        <v>277</v>
      </c>
      <c r="B61" s="25" t="s">
        <v>300</v>
      </c>
      <c r="C61" s="16">
        <v>200</v>
      </c>
      <c r="D61" s="16">
        <v>200</v>
      </c>
      <c r="E61" s="16">
        <f>200-20</f>
        <v>180</v>
      </c>
      <c r="F61" s="16">
        <f>200-20+72</f>
        <v>252</v>
      </c>
      <c r="G61" s="16">
        <v>252</v>
      </c>
      <c r="H61" s="17">
        <v>20</v>
      </c>
      <c r="I61" s="17">
        <v>20</v>
      </c>
      <c r="J61" s="17">
        <v>20</v>
      </c>
      <c r="K61" s="17">
        <f>20+27</f>
        <v>47</v>
      </c>
      <c r="L61" s="17">
        <v>47</v>
      </c>
      <c r="M61" s="602">
        <v>0</v>
      </c>
      <c r="N61" s="602">
        <v>0</v>
      </c>
      <c r="O61" s="602">
        <v>20</v>
      </c>
      <c r="P61" s="602">
        <v>20</v>
      </c>
      <c r="Q61" s="602">
        <v>18</v>
      </c>
      <c r="R61" s="383">
        <f>C61+H61+M61</f>
        <v>220</v>
      </c>
      <c r="S61" s="383">
        <f>D61+I61+N61</f>
        <v>220</v>
      </c>
      <c r="T61" s="383">
        <f>E61+J61+O61</f>
        <v>220</v>
      </c>
      <c r="U61" s="383">
        <f>F61+K61+P61</f>
        <v>319</v>
      </c>
      <c r="V61" s="383">
        <f>G61+L61+Q61</f>
        <v>317</v>
      </c>
      <c r="W61" s="36"/>
      <c r="Z61" s="391"/>
    </row>
    <row r="62" spans="1:26" x14ac:dyDescent="0.2">
      <c r="A62" s="71" t="s">
        <v>278</v>
      </c>
      <c r="B62" s="25" t="s">
        <v>314</v>
      </c>
      <c r="C62" s="16">
        <v>30</v>
      </c>
      <c r="D62" s="16">
        <v>30</v>
      </c>
      <c r="E62" s="16">
        <v>30</v>
      </c>
      <c r="F62" s="16">
        <v>30</v>
      </c>
      <c r="G62" s="16">
        <v>0</v>
      </c>
      <c r="H62" s="17"/>
      <c r="I62" s="17"/>
      <c r="J62" s="17"/>
      <c r="K62" s="17"/>
      <c r="L62" s="17"/>
      <c r="M62" s="602"/>
      <c r="N62" s="602"/>
      <c r="O62" s="602"/>
      <c r="P62" s="602"/>
      <c r="Q62" s="602"/>
      <c r="R62" s="383">
        <f t="shared" ref="R62:R71" si="33">C62+H62+M62</f>
        <v>30</v>
      </c>
      <c r="S62" s="383">
        <f t="shared" ref="S62:S71" si="34">D62+I62+N62</f>
        <v>30</v>
      </c>
      <c r="T62" s="383">
        <f t="shared" ref="T62:T71" si="35">E62+J62+O62</f>
        <v>30</v>
      </c>
      <c r="U62" s="383">
        <f t="shared" ref="U62:U71" si="36">F62+K62+P62</f>
        <v>30</v>
      </c>
      <c r="V62" s="383">
        <f t="shared" ref="V62:V71" si="37">G62+L62+Q62</f>
        <v>0</v>
      </c>
      <c r="W62" s="36"/>
      <c r="Z62" s="391"/>
    </row>
    <row r="63" spans="1:26" x14ac:dyDescent="0.2">
      <c r="A63" s="94" t="s">
        <v>279</v>
      </c>
      <c r="B63" s="29" t="s">
        <v>262</v>
      </c>
      <c r="C63" s="15">
        <f t="shared" ref="C63:O63" si="38">SUM(C64:C71)</f>
        <v>5465</v>
      </c>
      <c r="D63" s="15">
        <f>SUM(D64:D71)</f>
        <v>6470</v>
      </c>
      <c r="E63" s="15">
        <f>SUM(E64:E71)</f>
        <v>6470</v>
      </c>
      <c r="F63" s="15">
        <f>SUM(F64:F71)</f>
        <v>6498</v>
      </c>
      <c r="G63" s="15">
        <f>SUM(G64:G71)</f>
        <v>3621</v>
      </c>
      <c r="H63" s="15">
        <f t="shared" si="38"/>
        <v>240</v>
      </c>
      <c r="I63" s="15">
        <f>SUM(I64:I71)</f>
        <v>240</v>
      </c>
      <c r="J63" s="15">
        <f>SUM(J64:J71)</f>
        <v>240</v>
      </c>
      <c r="K63" s="15">
        <f>SUM(K64:K71)</f>
        <v>174</v>
      </c>
      <c r="L63" s="15">
        <f>SUM(L64:L71)</f>
        <v>126</v>
      </c>
      <c r="M63" s="15">
        <f t="shared" si="38"/>
        <v>180</v>
      </c>
      <c r="N63" s="15">
        <f>SUM(N64:N71)</f>
        <v>180</v>
      </c>
      <c r="O63" s="15">
        <f t="shared" si="38"/>
        <v>180</v>
      </c>
      <c r="P63" s="15">
        <f t="shared" ref="P63" si="39">SUM(P64:P71)</f>
        <v>218</v>
      </c>
      <c r="Q63" s="15">
        <f>SUM(Q64:Q71)</f>
        <v>201</v>
      </c>
      <c r="R63" s="382">
        <f t="shared" si="33"/>
        <v>5885</v>
      </c>
      <c r="S63" s="382">
        <f t="shared" si="34"/>
        <v>6890</v>
      </c>
      <c r="T63" s="382">
        <f t="shared" si="35"/>
        <v>6890</v>
      </c>
      <c r="U63" s="382">
        <f t="shared" si="36"/>
        <v>6890</v>
      </c>
      <c r="V63" s="382">
        <f t="shared" si="37"/>
        <v>3948</v>
      </c>
      <c r="W63" s="37"/>
      <c r="Z63" s="391"/>
    </row>
    <row r="64" spans="1:26" x14ac:dyDescent="0.2">
      <c r="A64" s="71" t="s">
        <v>280</v>
      </c>
      <c r="B64" s="25" t="s">
        <v>290</v>
      </c>
      <c r="C64" s="16">
        <v>4200</v>
      </c>
      <c r="D64" s="16">
        <v>4200</v>
      </c>
      <c r="E64" s="16">
        <v>4200</v>
      </c>
      <c r="F64" s="16">
        <v>4200</v>
      </c>
      <c r="G64" s="16">
        <v>2095</v>
      </c>
      <c r="H64" s="16">
        <v>240</v>
      </c>
      <c r="I64" s="16">
        <v>240</v>
      </c>
      <c r="J64" s="16">
        <v>240</v>
      </c>
      <c r="K64" s="16">
        <f>240-66</f>
        <v>174</v>
      </c>
      <c r="L64" s="16">
        <v>126</v>
      </c>
      <c r="M64" s="16">
        <v>80</v>
      </c>
      <c r="N64" s="16">
        <v>80</v>
      </c>
      <c r="O64" s="16">
        <v>80</v>
      </c>
      <c r="P64" s="16">
        <f>80+66</f>
        <v>146</v>
      </c>
      <c r="Q64" s="16">
        <v>146</v>
      </c>
      <c r="R64" s="383">
        <f t="shared" si="33"/>
        <v>4520</v>
      </c>
      <c r="S64" s="383">
        <f t="shared" si="34"/>
        <v>4520</v>
      </c>
      <c r="T64" s="383">
        <f t="shared" si="35"/>
        <v>4520</v>
      </c>
      <c r="U64" s="383">
        <f t="shared" si="36"/>
        <v>4520</v>
      </c>
      <c r="V64" s="383">
        <f t="shared" si="37"/>
        <v>2367</v>
      </c>
      <c r="W64" s="36"/>
      <c r="Z64" s="391"/>
    </row>
    <row r="65" spans="1:26" x14ac:dyDescent="0.2">
      <c r="A65" s="71" t="s">
        <v>281</v>
      </c>
      <c r="B65" s="25" t="s">
        <v>291</v>
      </c>
      <c r="C65" s="16"/>
      <c r="D65" s="16"/>
      <c r="E65" s="16"/>
      <c r="F65" s="16"/>
      <c r="G65" s="16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83">
        <f t="shared" si="33"/>
        <v>0</v>
      </c>
      <c r="S65" s="383">
        <f t="shared" si="34"/>
        <v>0</v>
      </c>
      <c r="T65" s="383">
        <f t="shared" si="35"/>
        <v>0</v>
      </c>
      <c r="U65" s="383">
        <f t="shared" si="36"/>
        <v>0</v>
      </c>
      <c r="V65" s="383">
        <f t="shared" si="37"/>
        <v>0</v>
      </c>
      <c r="W65" s="36"/>
      <c r="Z65" s="391"/>
    </row>
    <row r="66" spans="1:26" x14ac:dyDescent="0.2">
      <c r="A66" s="71" t="s">
        <v>282</v>
      </c>
      <c r="B66" s="25" t="s">
        <v>292</v>
      </c>
      <c r="C66" s="16"/>
      <c r="D66" s="16"/>
      <c r="E66" s="16"/>
      <c r="F66" s="16"/>
      <c r="G66" s="16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383">
        <f t="shared" si="33"/>
        <v>0</v>
      </c>
      <c r="S66" s="383">
        <f t="shared" si="34"/>
        <v>0</v>
      </c>
      <c r="T66" s="383">
        <f t="shared" si="35"/>
        <v>0</v>
      </c>
      <c r="U66" s="383">
        <f t="shared" si="36"/>
        <v>0</v>
      </c>
      <c r="V66" s="383">
        <f t="shared" si="37"/>
        <v>0</v>
      </c>
      <c r="W66" s="36"/>
      <c r="Z66" s="391"/>
    </row>
    <row r="67" spans="1:26" hidden="1" x14ac:dyDescent="0.2">
      <c r="A67" s="71" t="s">
        <v>283</v>
      </c>
      <c r="B67" s="25" t="s">
        <v>293</v>
      </c>
      <c r="C67" s="16"/>
      <c r="D67" s="16"/>
      <c r="E67" s="16"/>
      <c r="F67" s="16"/>
      <c r="G67" s="16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383">
        <f t="shared" si="33"/>
        <v>0</v>
      </c>
      <c r="S67" s="383">
        <f t="shared" si="34"/>
        <v>0</v>
      </c>
      <c r="T67" s="383">
        <f t="shared" si="35"/>
        <v>0</v>
      </c>
      <c r="U67" s="383">
        <f t="shared" si="36"/>
        <v>0</v>
      </c>
      <c r="V67" s="383">
        <f t="shared" si="37"/>
        <v>0</v>
      </c>
      <c r="W67" s="36"/>
      <c r="Z67" s="391"/>
    </row>
    <row r="68" spans="1:26" x14ac:dyDescent="0.2">
      <c r="A68" s="71" t="s">
        <v>284</v>
      </c>
      <c r="B68" s="25" t="s">
        <v>59</v>
      </c>
      <c r="C68" s="16"/>
      <c r="D68" s="16"/>
      <c r="E68" s="16"/>
      <c r="F68" s="16"/>
      <c r="G68" s="16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383">
        <f t="shared" si="33"/>
        <v>0</v>
      </c>
      <c r="S68" s="383">
        <f t="shared" si="34"/>
        <v>0</v>
      </c>
      <c r="T68" s="383">
        <f t="shared" si="35"/>
        <v>0</v>
      </c>
      <c r="U68" s="383">
        <f t="shared" si="36"/>
        <v>0</v>
      </c>
      <c r="V68" s="383">
        <f t="shared" si="37"/>
        <v>0</v>
      </c>
      <c r="W68" s="36"/>
      <c r="Z68" s="391"/>
    </row>
    <row r="69" spans="1:26" x14ac:dyDescent="0.2">
      <c r="A69" s="71"/>
      <c r="B69" s="25" t="s">
        <v>480</v>
      </c>
      <c r="C69" s="16">
        <v>5</v>
      </c>
      <c r="D69" s="16">
        <v>5</v>
      </c>
      <c r="E69" s="16">
        <v>5</v>
      </c>
      <c r="F69" s="16">
        <v>5</v>
      </c>
      <c r="G69" s="16">
        <v>0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383">
        <f t="shared" si="33"/>
        <v>5</v>
      </c>
      <c r="S69" s="383">
        <f t="shared" si="34"/>
        <v>5</v>
      </c>
      <c r="T69" s="383">
        <f t="shared" si="35"/>
        <v>5</v>
      </c>
      <c r="U69" s="383">
        <f t="shared" si="36"/>
        <v>5</v>
      </c>
      <c r="V69" s="383">
        <f t="shared" si="37"/>
        <v>0</v>
      </c>
      <c r="W69" s="36"/>
      <c r="Z69" s="391"/>
    </row>
    <row r="70" spans="1:26" x14ac:dyDescent="0.2">
      <c r="A70" s="71"/>
      <c r="B70" s="25" t="s">
        <v>318</v>
      </c>
      <c r="C70" s="16">
        <v>1000</v>
      </c>
      <c r="D70" s="16">
        <f>1000+5+210+790</f>
        <v>2005</v>
      </c>
      <c r="E70" s="16">
        <f>1000+5+210+790</f>
        <v>2005</v>
      </c>
      <c r="F70" s="16">
        <f>1000+5+210+790</f>
        <v>2005</v>
      </c>
      <c r="G70" s="16">
        <v>1238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383">
        <f t="shared" si="33"/>
        <v>1000</v>
      </c>
      <c r="S70" s="383">
        <f t="shared" si="34"/>
        <v>2005</v>
      </c>
      <c r="T70" s="383">
        <f t="shared" si="35"/>
        <v>2005</v>
      </c>
      <c r="U70" s="383">
        <f t="shared" si="36"/>
        <v>2005</v>
      </c>
      <c r="V70" s="383">
        <f t="shared" si="37"/>
        <v>1238</v>
      </c>
      <c r="W70" s="36"/>
      <c r="Z70" s="391"/>
    </row>
    <row r="71" spans="1:26" x14ac:dyDescent="0.2">
      <c r="A71" s="71"/>
      <c r="B71" s="25" t="s">
        <v>483</v>
      </c>
      <c r="C71" s="16">
        <v>260</v>
      </c>
      <c r="D71" s="16">
        <v>260</v>
      </c>
      <c r="E71" s="16">
        <v>260</v>
      </c>
      <c r="F71" s="16">
        <f>260+28</f>
        <v>288</v>
      </c>
      <c r="G71" s="16">
        <v>288</v>
      </c>
      <c r="H71" s="17"/>
      <c r="I71" s="17"/>
      <c r="J71" s="17"/>
      <c r="K71" s="17"/>
      <c r="L71" s="17"/>
      <c r="M71" s="17">
        <v>100</v>
      </c>
      <c r="N71" s="17">
        <v>100</v>
      </c>
      <c r="O71" s="17">
        <v>100</v>
      </c>
      <c r="P71" s="17">
        <f>100-28</f>
        <v>72</v>
      </c>
      <c r="Q71" s="17">
        <v>55</v>
      </c>
      <c r="R71" s="383">
        <f t="shared" si="33"/>
        <v>360</v>
      </c>
      <c r="S71" s="383">
        <f t="shared" si="34"/>
        <v>360</v>
      </c>
      <c r="T71" s="383">
        <f t="shared" si="35"/>
        <v>360</v>
      </c>
      <c r="U71" s="383">
        <f t="shared" si="36"/>
        <v>360</v>
      </c>
      <c r="V71" s="383">
        <f t="shared" si="37"/>
        <v>343</v>
      </c>
      <c r="W71" s="36"/>
      <c r="Z71" s="391"/>
    </row>
    <row r="72" spans="1:26" x14ac:dyDescent="0.2">
      <c r="A72" s="94" t="s">
        <v>295</v>
      </c>
      <c r="B72" s="133" t="s">
        <v>31</v>
      </c>
      <c r="C72" s="293">
        <f t="shared" ref="C72:Q72" si="40">SUM(C25+C33+C41+C60+C63)</f>
        <v>22282</v>
      </c>
      <c r="D72" s="293">
        <f>SUM(D25+D33+D41+D60+D63)</f>
        <v>23137</v>
      </c>
      <c r="E72" s="293">
        <f>SUM(E25+E33+E41+E60+E63)</f>
        <v>23053</v>
      </c>
      <c r="F72" s="293">
        <f>SUM(F25+F33+F41+F60+F63)</f>
        <v>24827</v>
      </c>
      <c r="G72" s="293">
        <f>SUM(G25+G33+G41+G60+G63)</f>
        <v>20942</v>
      </c>
      <c r="H72" s="293">
        <f t="shared" si="40"/>
        <v>1150</v>
      </c>
      <c r="I72" s="293">
        <f>SUM(I25+I33+I41+I60+I63)</f>
        <v>1150</v>
      </c>
      <c r="J72" s="293">
        <f>SUM(J25+J33+J41+J60+J63)</f>
        <v>1150</v>
      </c>
      <c r="K72" s="293">
        <f>SUM(K25+K33+K41+K60+K63)</f>
        <v>1032</v>
      </c>
      <c r="L72" s="293">
        <f>SUM(L25+L33+L41+L60+L63)</f>
        <v>659</v>
      </c>
      <c r="M72" s="293">
        <f t="shared" si="40"/>
        <v>370</v>
      </c>
      <c r="N72" s="293">
        <f t="shared" si="40"/>
        <v>310</v>
      </c>
      <c r="O72" s="293">
        <f t="shared" si="40"/>
        <v>394</v>
      </c>
      <c r="P72" s="293">
        <f t="shared" ref="P72" si="41">SUM(P25+P33+P41+P60+P63)</f>
        <v>822</v>
      </c>
      <c r="Q72" s="293">
        <f t="shared" si="40"/>
        <v>775</v>
      </c>
      <c r="R72" s="186">
        <f>(H72+C72+M72)</f>
        <v>23802</v>
      </c>
      <c r="S72" s="186">
        <f>(I72+D72+N72)</f>
        <v>24597</v>
      </c>
      <c r="T72" s="186">
        <f>(J72+E72+O72)</f>
        <v>24597</v>
      </c>
      <c r="U72" s="186">
        <f>(K72+F72+P72)</f>
        <v>26681</v>
      </c>
      <c r="V72" s="186">
        <f>(L72+G72+Q72)</f>
        <v>22376</v>
      </c>
      <c r="W72" s="37"/>
      <c r="Z72" s="391"/>
    </row>
    <row r="73" spans="1:26" x14ac:dyDescent="0.2">
      <c r="A73" s="175" t="s">
        <v>294</v>
      </c>
      <c r="B73" s="133" t="s">
        <v>462</v>
      </c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4">
        <f t="shared" ref="R73:V74" si="42">C73+H73+M73</f>
        <v>0</v>
      </c>
      <c r="S73" s="294">
        <f t="shared" si="42"/>
        <v>0</v>
      </c>
      <c r="T73" s="294">
        <f t="shared" si="42"/>
        <v>0</v>
      </c>
      <c r="U73" s="294">
        <f t="shared" si="42"/>
        <v>0</v>
      </c>
      <c r="V73" s="294">
        <f t="shared" si="42"/>
        <v>0</v>
      </c>
      <c r="W73" s="36"/>
      <c r="Z73" s="391"/>
    </row>
    <row r="74" spans="1:26" ht="13.5" thickBot="1" x14ac:dyDescent="0.25">
      <c r="A74" s="175" t="s">
        <v>324</v>
      </c>
      <c r="B74" s="174" t="s">
        <v>40</v>
      </c>
      <c r="C74" s="294">
        <v>0</v>
      </c>
      <c r="D74" s="294">
        <v>0</v>
      </c>
      <c r="E74" s="294">
        <v>0</v>
      </c>
      <c r="F74" s="294">
        <v>0</v>
      </c>
      <c r="G74" s="294">
        <v>0</v>
      </c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>
        <f t="shared" si="42"/>
        <v>0</v>
      </c>
      <c r="S74" s="294">
        <f t="shared" si="42"/>
        <v>0</v>
      </c>
      <c r="T74" s="294">
        <f t="shared" si="42"/>
        <v>0</v>
      </c>
      <c r="U74" s="294">
        <f t="shared" si="42"/>
        <v>0</v>
      </c>
      <c r="V74" s="294">
        <f t="shared" si="42"/>
        <v>0</v>
      </c>
      <c r="W74" s="36"/>
      <c r="Z74" s="391"/>
    </row>
    <row r="75" spans="1:26" ht="16.5" thickBot="1" x14ac:dyDescent="0.3">
      <c r="A75" s="175"/>
      <c r="B75" s="257" t="s">
        <v>10</v>
      </c>
      <c r="C75" s="295">
        <f t="shared" ref="C75:V75" si="43">SUM(C21+C24+C72+C73+C74)</f>
        <v>196672</v>
      </c>
      <c r="D75" s="295">
        <f>SUM(D21+D24+D72+D73+D74)</f>
        <v>197894</v>
      </c>
      <c r="E75" s="295">
        <f>SUM(E21+E24+E72+E73+E74)</f>
        <v>198506</v>
      </c>
      <c r="F75" s="295">
        <f>SUM(F21+F24+F72+F73+F74)</f>
        <v>201813</v>
      </c>
      <c r="G75" s="295">
        <f>SUM(G21+G24+G72+G73+G74)</f>
        <v>196598</v>
      </c>
      <c r="H75" s="295">
        <f t="shared" si="43"/>
        <v>20697</v>
      </c>
      <c r="I75" s="295">
        <f>SUM(I21+I24+I72+I73+I74)</f>
        <v>26622</v>
      </c>
      <c r="J75" s="295">
        <f>SUM(J21+J24+J72+J73+J74)</f>
        <v>25884</v>
      </c>
      <c r="K75" s="295">
        <f>SUM(K21+K24+K72+K73+K74)</f>
        <v>24922</v>
      </c>
      <c r="L75" s="295">
        <f t="shared" si="43"/>
        <v>24399</v>
      </c>
      <c r="M75" s="295">
        <f t="shared" si="43"/>
        <v>8581</v>
      </c>
      <c r="N75" s="295">
        <f>SUM(N21+N24+N72+N73+N74)</f>
        <v>8580</v>
      </c>
      <c r="O75" s="295">
        <f>SUM(O21+O24+O72+O73+O74)</f>
        <v>8706</v>
      </c>
      <c r="P75" s="295">
        <f>SUM(P21+P24+P72+P73+P74)</f>
        <v>9361</v>
      </c>
      <c r="Q75" s="295">
        <f t="shared" si="43"/>
        <v>9273</v>
      </c>
      <c r="R75" s="295">
        <f t="shared" si="43"/>
        <v>225950</v>
      </c>
      <c r="S75" s="295">
        <f t="shared" si="43"/>
        <v>233096</v>
      </c>
      <c r="T75" s="295">
        <f t="shared" si="43"/>
        <v>233096</v>
      </c>
      <c r="U75" s="295">
        <f t="shared" si="43"/>
        <v>236096</v>
      </c>
      <c r="V75" s="742">
        <f t="shared" si="43"/>
        <v>230270</v>
      </c>
      <c r="W75" s="36"/>
      <c r="Z75" s="391"/>
    </row>
    <row r="76" spans="1:26" x14ac:dyDescent="0.2">
      <c r="A76" s="175" t="s">
        <v>325</v>
      </c>
      <c r="B76" s="256" t="s">
        <v>799</v>
      </c>
      <c r="C76" s="296">
        <f t="shared" ref="C76:Q76" si="44">SUM(C77:C78)</f>
        <v>1000</v>
      </c>
      <c r="D76" s="296">
        <f t="shared" si="44"/>
        <v>1000</v>
      </c>
      <c r="E76" s="296">
        <f t="shared" si="44"/>
        <v>967</v>
      </c>
      <c r="F76" s="296">
        <f t="shared" ref="F76" si="45">SUM(F77:F78)</f>
        <v>971</v>
      </c>
      <c r="G76" s="296">
        <f>SUM(G77:G78)</f>
        <v>970</v>
      </c>
      <c r="H76" s="296">
        <f t="shared" si="44"/>
        <v>0</v>
      </c>
      <c r="I76" s="296">
        <f t="shared" si="44"/>
        <v>0</v>
      </c>
      <c r="J76" s="296">
        <f t="shared" si="44"/>
        <v>0</v>
      </c>
      <c r="K76" s="296">
        <f t="shared" ref="K76" si="46">SUM(K77:K78)</f>
        <v>0</v>
      </c>
      <c r="L76" s="296">
        <f t="shared" si="44"/>
        <v>0</v>
      </c>
      <c r="M76" s="296">
        <f t="shared" si="44"/>
        <v>0</v>
      </c>
      <c r="N76" s="296">
        <f t="shared" si="44"/>
        <v>0</v>
      </c>
      <c r="O76" s="296">
        <f t="shared" si="44"/>
        <v>33</v>
      </c>
      <c r="P76" s="296">
        <f t="shared" ref="P76" si="47">SUM(P77:P78)</f>
        <v>33</v>
      </c>
      <c r="Q76" s="296">
        <f t="shared" si="44"/>
        <v>33</v>
      </c>
      <c r="R76" s="186">
        <f>(H76+C76+M76)</f>
        <v>1000</v>
      </c>
      <c r="S76" s="186">
        <f>(I76+D76+N76)</f>
        <v>1000</v>
      </c>
      <c r="T76" s="186">
        <f>(J76+E76+O76)</f>
        <v>1000</v>
      </c>
      <c r="U76" s="186">
        <f>(K76+F76+P76)</f>
        <v>1004</v>
      </c>
      <c r="V76" s="186">
        <f>(L76+G76+Q76)</f>
        <v>1003</v>
      </c>
      <c r="W76" s="36"/>
      <c r="Z76" s="391"/>
    </row>
    <row r="77" spans="1:26" hidden="1" x14ac:dyDescent="0.2">
      <c r="A77" s="175"/>
      <c r="B77" s="2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383"/>
      <c r="S77" s="383"/>
      <c r="T77" s="383"/>
      <c r="U77" s="383"/>
      <c r="V77" s="383">
        <f>SUM(G77+L77+Q77)</f>
        <v>0</v>
      </c>
      <c r="W77" s="36"/>
      <c r="Z77" s="391"/>
    </row>
    <row r="78" spans="1:26" ht="13.5" thickBot="1" x14ac:dyDescent="0.25">
      <c r="A78" s="175"/>
      <c r="B78" s="192" t="s">
        <v>922</v>
      </c>
      <c r="C78" s="200">
        <v>1000</v>
      </c>
      <c r="D78" s="200">
        <v>1000</v>
      </c>
      <c r="E78" s="200">
        <f>1000-33</f>
        <v>967</v>
      </c>
      <c r="F78" s="200">
        <f>1000-33+4</f>
        <v>971</v>
      </c>
      <c r="G78" s="200">
        <v>970</v>
      </c>
      <c r="H78" s="200"/>
      <c r="I78" s="200"/>
      <c r="J78" s="200"/>
      <c r="K78" s="200"/>
      <c r="L78" s="200"/>
      <c r="M78" s="200">
        <v>0</v>
      </c>
      <c r="N78" s="200">
        <v>0</v>
      </c>
      <c r="O78" s="200">
        <v>33</v>
      </c>
      <c r="P78" s="200">
        <v>33</v>
      </c>
      <c r="Q78" s="200">
        <v>33</v>
      </c>
      <c r="R78" s="741">
        <f>(H78+C78+M78)</f>
        <v>1000</v>
      </c>
      <c r="S78" s="741">
        <f>(I78+D78+N78)</f>
        <v>1000</v>
      </c>
      <c r="T78" s="741">
        <f>(J78+E78+O78)</f>
        <v>1000</v>
      </c>
      <c r="U78" s="741">
        <f>(K78+F78+P78)</f>
        <v>1004</v>
      </c>
      <c r="V78" s="741">
        <f>(L78+G78+Q78)</f>
        <v>1003</v>
      </c>
      <c r="W78" s="36"/>
      <c r="Z78" s="391"/>
    </row>
    <row r="79" spans="1:26" ht="20.25" thickBot="1" x14ac:dyDescent="0.4">
      <c r="A79" s="172"/>
      <c r="B79" s="181" t="s">
        <v>7</v>
      </c>
      <c r="C79" s="295">
        <f t="shared" ref="C79:Q79" si="48">SUM(C21+C24+C72+C73+C74+C76)</f>
        <v>197672</v>
      </c>
      <c r="D79" s="295">
        <f t="shared" si="48"/>
        <v>198894</v>
      </c>
      <c r="E79" s="295">
        <f t="shared" si="48"/>
        <v>199473</v>
      </c>
      <c r="F79" s="295">
        <f t="shared" ref="F79" si="49">SUM(F21+F24+F72+F73+F74+F76)</f>
        <v>202784</v>
      </c>
      <c r="G79" s="295">
        <f t="shared" si="48"/>
        <v>197568</v>
      </c>
      <c r="H79" s="295">
        <f t="shared" si="48"/>
        <v>20697</v>
      </c>
      <c r="I79" s="295">
        <f t="shared" si="48"/>
        <v>26622</v>
      </c>
      <c r="J79" s="295">
        <f t="shared" si="48"/>
        <v>25884</v>
      </c>
      <c r="K79" s="295">
        <f t="shared" ref="K79" si="50">SUM(K21+K24+K72+K73+K74+K76)</f>
        <v>24922</v>
      </c>
      <c r="L79" s="295">
        <f t="shared" si="48"/>
        <v>24399</v>
      </c>
      <c r="M79" s="295">
        <f t="shared" si="48"/>
        <v>8581</v>
      </c>
      <c r="N79" s="295">
        <f t="shared" si="48"/>
        <v>8580</v>
      </c>
      <c r="O79" s="295">
        <f t="shared" si="48"/>
        <v>8739</v>
      </c>
      <c r="P79" s="295">
        <f t="shared" si="48"/>
        <v>9394</v>
      </c>
      <c r="Q79" s="295">
        <f t="shared" si="48"/>
        <v>9306</v>
      </c>
      <c r="R79" s="180">
        <f>SUM(R75+R76)</f>
        <v>226950</v>
      </c>
      <c r="S79" s="180">
        <f>SUM(S75+S76)</f>
        <v>234096</v>
      </c>
      <c r="T79" s="180">
        <f>SUM(T75+T76)</f>
        <v>234096</v>
      </c>
      <c r="U79" s="180">
        <f>SUM(U75+U76)</f>
        <v>237100</v>
      </c>
      <c r="V79" s="742">
        <f>SUM(V75+V76)</f>
        <v>231273</v>
      </c>
      <c r="W79" s="37"/>
      <c r="X79" s="253"/>
      <c r="Y79" s="253"/>
      <c r="Z79" s="391"/>
    </row>
    <row r="80" spans="1:26" x14ac:dyDescent="0.2">
      <c r="A80" s="71"/>
      <c r="B80" s="90" t="s">
        <v>60</v>
      </c>
      <c r="C80" s="177">
        <v>34</v>
      </c>
      <c r="D80" s="177">
        <v>34</v>
      </c>
      <c r="E80" s="177">
        <v>34</v>
      </c>
      <c r="F80" s="177">
        <v>34</v>
      </c>
      <c r="G80" s="177">
        <v>34</v>
      </c>
      <c r="H80" s="176">
        <v>4</v>
      </c>
      <c r="I80" s="176">
        <v>4</v>
      </c>
      <c r="J80" s="176">
        <v>4</v>
      </c>
      <c r="K80" s="176">
        <v>4</v>
      </c>
      <c r="L80" s="176">
        <v>4</v>
      </c>
      <c r="M80" s="95">
        <v>2</v>
      </c>
      <c r="N80" s="95">
        <v>2</v>
      </c>
      <c r="O80" s="95">
        <v>2</v>
      </c>
      <c r="P80" s="95">
        <v>2</v>
      </c>
      <c r="Q80" s="95">
        <v>2</v>
      </c>
      <c r="R80" s="49">
        <f>(H80+C80+M80)</f>
        <v>40</v>
      </c>
      <c r="S80" s="49">
        <f>(I80+D80+N80)</f>
        <v>40</v>
      </c>
      <c r="T80" s="49">
        <f>(J80+E80+O80)</f>
        <v>40</v>
      </c>
      <c r="U80" s="49">
        <f>(K80+F80+P80)</f>
        <v>40</v>
      </c>
      <c r="V80" s="49">
        <f>(L80+G80+Q80)</f>
        <v>40</v>
      </c>
      <c r="W80" s="37"/>
      <c r="X80" s="253"/>
      <c r="Y80" s="253"/>
      <c r="Z80" s="391"/>
    </row>
    <row r="81" spans="2:28" x14ac:dyDescent="0.2">
      <c r="B81" s="10" t="s">
        <v>1081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388"/>
      <c r="R81" s="388">
        <f>SUM('2.működés'!C13)</f>
        <v>131680</v>
      </c>
      <c r="S81" s="388">
        <f>SUM('2.működés'!D13)</f>
        <v>132089</v>
      </c>
      <c r="T81" s="388">
        <f>SUM('2.működés'!E13)</f>
        <v>132089</v>
      </c>
      <c r="U81" s="388">
        <f>SUM('2.működés'!F13)</f>
        <v>132089</v>
      </c>
      <c r="V81" s="388">
        <f>SUM('2.működés'!G13)</f>
        <v>132089</v>
      </c>
      <c r="W81" s="608"/>
      <c r="X81" s="253"/>
      <c r="Y81" s="253"/>
      <c r="Z81" s="391"/>
    </row>
    <row r="82" spans="2:28" x14ac:dyDescent="0.2">
      <c r="B82" s="10" t="s">
        <v>425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388"/>
      <c r="R82" s="388">
        <f>980+1+19</f>
        <v>1000</v>
      </c>
      <c r="S82" s="388">
        <f>980+(1+2)+(19+167+3)</f>
        <v>1172</v>
      </c>
      <c r="T82" s="388">
        <f>980+(1+2)+(19+167+3)</f>
        <v>1172</v>
      </c>
      <c r="U82" s="388">
        <f>980+45+(1+2)+(19+167+3+501)</f>
        <v>1718</v>
      </c>
      <c r="V82" s="388">
        <f>1025+(2)+(689)</f>
        <v>1716</v>
      </c>
      <c r="W82" s="608"/>
      <c r="X82" s="806"/>
      <c r="Y82" s="253"/>
      <c r="Z82" s="391"/>
    </row>
    <row r="83" spans="2:28" x14ac:dyDescent="0.2">
      <c r="B83" s="10" t="s">
        <v>932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388"/>
      <c r="R83" s="388">
        <f>SUM('2.működés'!C60)</f>
        <v>29925</v>
      </c>
      <c r="S83" s="388">
        <f>SUM('2.működés'!D60)</f>
        <v>29925</v>
      </c>
      <c r="T83" s="388">
        <f>SUM('2.működés'!E60)</f>
        <v>29925</v>
      </c>
      <c r="U83" s="388">
        <f>SUM('2.működés'!F60)</f>
        <v>29925</v>
      </c>
      <c r="V83" s="388">
        <f>SUM('2.működés'!G60)</f>
        <v>27500</v>
      </c>
      <c r="W83" s="608"/>
      <c r="X83" s="806"/>
      <c r="Y83" s="253"/>
      <c r="Z83" s="391"/>
    </row>
    <row r="84" spans="2:28" x14ac:dyDescent="0.2">
      <c r="B84" s="10" t="s">
        <v>931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388"/>
      <c r="R84" s="388">
        <f>SUM('2.működés'!C61)</f>
        <v>5000</v>
      </c>
      <c r="S84" s="388">
        <f>SUM('2.működés'!D61)</f>
        <v>5000</v>
      </c>
      <c r="T84" s="388">
        <f>SUM('2.működés'!E61)</f>
        <v>5000</v>
      </c>
      <c r="U84" s="388">
        <f>SUM('2.működés'!F61)</f>
        <v>5000</v>
      </c>
      <c r="V84" s="388">
        <f>SUM('2.működés'!G61)</f>
        <v>5000</v>
      </c>
      <c r="W84" s="608"/>
      <c r="X84" s="806"/>
      <c r="Y84" s="253"/>
      <c r="Z84" s="391"/>
    </row>
    <row r="85" spans="2:28" x14ac:dyDescent="0.2">
      <c r="B85" s="10" t="s">
        <v>930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388"/>
      <c r="R85" s="388">
        <v>17881</v>
      </c>
      <c r="S85" s="388">
        <v>17881</v>
      </c>
      <c r="T85" s="388">
        <v>17881</v>
      </c>
      <c r="U85" s="388">
        <v>17881</v>
      </c>
      <c r="V85" s="388">
        <v>17881</v>
      </c>
      <c r="W85" s="608"/>
      <c r="X85" s="806"/>
      <c r="Y85" s="253"/>
      <c r="Z85" s="391"/>
    </row>
    <row r="86" spans="2:28" x14ac:dyDescent="0.2">
      <c r="B86" s="604" t="s">
        <v>349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5"/>
      <c r="R86" s="605">
        <f>SUM(R81:R85)</f>
        <v>185486</v>
      </c>
      <c r="S86" s="605">
        <f>SUM(S81:S85)</f>
        <v>186067</v>
      </c>
      <c r="T86" s="605">
        <f>SUM(T81:T85)</f>
        <v>186067</v>
      </c>
      <c r="U86" s="605">
        <f>SUM(U81:U85)</f>
        <v>186613</v>
      </c>
      <c r="V86" s="605">
        <f>SUM(V81:V85)</f>
        <v>184186</v>
      </c>
      <c r="W86" s="608"/>
      <c r="X86" s="806"/>
      <c r="Y86" s="253"/>
      <c r="Z86" s="391"/>
    </row>
    <row r="87" spans="2:28" x14ac:dyDescent="0.2">
      <c r="B87" s="10" t="s">
        <v>348</v>
      </c>
      <c r="Q87" s="388"/>
      <c r="R87" s="785">
        <f>SUM(R79-R86)</f>
        <v>41464</v>
      </c>
      <c r="S87" s="785">
        <f>SUM(S79-S86)</f>
        <v>48029</v>
      </c>
      <c r="T87" s="785">
        <f>SUM(T79-T86)</f>
        <v>48029</v>
      </c>
      <c r="U87" s="785">
        <f>SUM(U79-U86)</f>
        <v>50487</v>
      </c>
      <c r="V87" s="785">
        <f>SUM(V79-V86)+3400</f>
        <v>50487</v>
      </c>
      <c r="W87" s="608"/>
      <c r="X87" s="806"/>
      <c r="Y87" s="253"/>
      <c r="Z87" s="807"/>
      <c r="AA87" s="253"/>
      <c r="AB87" s="253"/>
    </row>
    <row r="88" spans="2:28" x14ac:dyDescent="0.2">
      <c r="V88" s="388"/>
      <c r="Z88" s="36"/>
    </row>
    <row r="89" spans="2:28" x14ac:dyDescent="0.2">
      <c r="Z89" s="36"/>
    </row>
    <row r="90" spans="2:28" x14ac:dyDescent="0.2">
      <c r="Z90" s="36"/>
    </row>
    <row r="91" spans="2:28" x14ac:dyDescent="0.2">
      <c r="Z91" s="36"/>
    </row>
    <row r="92" spans="2:28" x14ac:dyDescent="0.2">
      <c r="Z92" s="37"/>
    </row>
    <row r="93" spans="2:28" x14ac:dyDescent="0.2">
      <c r="Z93" s="36"/>
    </row>
    <row r="94" spans="2:28" x14ac:dyDescent="0.2">
      <c r="Z94" s="36"/>
    </row>
    <row r="95" spans="2:28" x14ac:dyDescent="0.2">
      <c r="Z95" s="37"/>
    </row>
    <row r="96" spans="2:28" x14ac:dyDescent="0.2">
      <c r="Z96" s="37"/>
    </row>
    <row r="97" spans="26:26" x14ac:dyDescent="0.2">
      <c r="Z97" s="36"/>
    </row>
    <row r="98" spans="26:26" x14ac:dyDescent="0.2">
      <c r="Z98" s="36"/>
    </row>
    <row r="99" spans="26:26" x14ac:dyDescent="0.2">
      <c r="Z99" s="36"/>
    </row>
    <row r="100" spans="26:26" x14ac:dyDescent="0.2">
      <c r="Z100" s="36"/>
    </row>
    <row r="101" spans="26:26" x14ac:dyDescent="0.2">
      <c r="Z101" s="36"/>
    </row>
    <row r="102" spans="26:26" x14ac:dyDescent="0.2">
      <c r="Z102" s="36"/>
    </row>
    <row r="103" spans="26:26" x14ac:dyDescent="0.2">
      <c r="Z103" s="36"/>
    </row>
    <row r="104" spans="26:26" x14ac:dyDescent="0.2">
      <c r="Z104" s="37"/>
    </row>
    <row r="105" spans="26:26" x14ac:dyDescent="0.2">
      <c r="Z105" s="36"/>
    </row>
    <row r="106" spans="26:26" x14ac:dyDescent="0.2">
      <c r="Z106" s="36"/>
    </row>
    <row r="107" spans="26:26" x14ac:dyDescent="0.2">
      <c r="Z107" s="36"/>
    </row>
    <row r="108" spans="26:26" x14ac:dyDescent="0.2">
      <c r="Z108" s="36"/>
    </row>
    <row r="109" spans="26:26" x14ac:dyDescent="0.2">
      <c r="Z109" s="36"/>
    </row>
    <row r="110" spans="26:26" x14ac:dyDescent="0.2">
      <c r="Z110" s="36"/>
    </row>
    <row r="111" spans="26:26" x14ac:dyDescent="0.2">
      <c r="Z111" s="36"/>
    </row>
    <row r="112" spans="26:26" x14ac:dyDescent="0.2">
      <c r="Z112" s="36"/>
    </row>
    <row r="113" spans="26:26" x14ac:dyDescent="0.2">
      <c r="Z113" s="36"/>
    </row>
    <row r="114" spans="26:26" x14ac:dyDescent="0.2">
      <c r="Z114" s="37"/>
    </row>
    <row r="115" spans="26:26" x14ac:dyDescent="0.2">
      <c r="Z115" s="36"/>
    </row>
    <row r="116" spans="26:26" x14ac:dyDescent="0.2">
      <c r="Z116" s="36"/>
    </row>
    <row r="117" spans="26:26" x14ac:dyDescent="0.2">
      <c r="Z117" s="36"/>
    </row>
    <row r="118" spans="26:26" x14ac:dyDescent="0.2">
      <c r="Z118" s="36"/>
    </row>
    <row r="119" spans="26:26" x14ac:dyDescent="0.2">
      <c r="Z119" s="36"/>
    </row>
    <row r="120" spans="26:26" x14ac:dyDescent="0.2">
      <c r="Z120" s="36"/>
    </row>
    <row r="121" spans="26:26" x14ac:dyDescent="0.2">
      <c r="Z121" s="36"/>
    </row>
    <row r="122" spans="26:26" x14ac:dyDescent="0.2">
      <c r="Z122" s="36"/>
    </row>
    <row r="123" spans="26:26" x14ac:dyDescent="0.2">
      <c r="Z123" s="36"/>
    </row>
    <row r="124" spans="26:26" x14ac:dyDescent="0.2">
      <c r="Z124" s="36"/>
    </row>
    <row r="125" spans="26:26" x14ac:dyDescent="0.2">
      <c r="Z125" s="36"/>
    </row>
    <row r="126" spans="26:26" x14ac:dyDescent="0.2">
      <c r="Z126" s="37"/>
    </row>
    <row r="127" spans="26:26" x14ac:dyDescent="0.2">
      <c r="Z127" s="36"/>
    </row>
    <row r="128" spans="26:26" x14ac:dyDescent="0.2">
      <c r="Z128" s="36"/>
    </row>
    <row r="129" spans="26:26" x14ac:dyDescent="0.2">
      <c r="Z129" s="36"/>
    </row>
    <row r="130" spans="26:26" x14ac:dyDescent="0.2">
      <c r="Z130" s="36"/>
    </row>
    <row r="131" spans="26:26" x14ac:dyDescent="0.2">
      <c r="Z131" s="36"/>
    </row>
    <row r="132" spans="26:26" x14ac:dyDescent="0.2">
      <c r="Z132" s="36"/>
    </row>
    <row r="133" spans="26:26" x14ac:dyDescent="0.2">
      <c r="Z133" s="36"/>
    </row>
    <row r="134" spans="26:26" x14ac:dyDescent="0.2">
      <c r="Z134" s="36"/>
    </row>
    <row r="135" spans="26:26" x14ac:dyDescent="0.2">
      <c r="Z135" s="36"/>
    </row>
    <row r="136" spans="26:26" x14ac:dyDescent="0.2">
      <c r="Z136" s="36"/>
    </row>
    <row r="137" spans="26:26" x14ac:dyDescent="0.2">
      <c r="Z137" s="37"/>
    </row>
    <row r="138" spans="26:26" x14ac:dyDescent="0.2">
      <c r="Z138" s="36"/>
    </row>
    <row r="139" spans="26:26" x14ac:dyDescent="0.2">
      <c r="Z139" s="36"/>
    </row>
    <row r="140" spans="26:26" x14ac:dyDescent="0.2">
      <c r="Z140" s="36"/>
    </row>
    <row r="141" spans="26:26" x14ac:dyDescent="0.2">
      <c r="Z141" s="36"/>
    </row>
    <row r="142" spans="26:26" x14ac:dyDescent="0.2">
      <c r="Z142" s="36"/>
    </row>
    <row r="143" spans="26:26" x14ac:dyDescent="0.2">
      <c r="Z143" s="36"/>
    </row>
    <row r="144" spans="26:26" x14ac:dyDescent="0.2">
      <c r="Z144" s="36"/>
    </row>
    <row r="145" spans="26:26" x14ac:dyDescent="0.2">
      <c r="Z145" s="37"/>
    </row>
    <row r="146" spans="26:26" x14ac:dyDescent="0.2">
      <c r="Z146" s="36"/>
    </row>
    <row r="156" spans="26:26" x14ac:dyDescent="0.2">
      <c r="Z156" s="389"/>
    </row>
    <row r="157" spans="26:26" x14ac:dyDescent="0.2">
      <c r="Z157" s="391"/>
    </row>
    <row r="158" spans="26:26" x14ac:dyDescent="0.2">
      <c r="Z158" s="391"/>
    </row>
    <row r="159" spans="26:26" x14ac:dyDescent="0.2">
      <c r="Z159" s="391"/>
    </row>
    <row r="160" spans="26:26" x14ac:dyDescent="0.2">
      <c r="Z160" s="391"/>
    </row>
    <row r="161" spans="26:26" x14ac:dyDescent="0.2">
      <c r="Z161" s="391"/>
    </row>
    <row r="162" spans="26:26" x14ac:dyDescent="0.2">
      <c r="Z162" s="391"/>
    </row>
    <row r="163" spans="26:26" x14ac:dyDescent="0.2">
      <c r="Z163" s="391"/>
    </row>
    <row r="164" spans="26:26" x14ac:dyDescent="0.2">
      <c r="Z164" s="391"/>
    </row>
    <row r="165" spans="26:26" x14ac:dyDescent="0.2">
      <c r="Z165" s="391"/>
    </row>
    <row r="166" spans="26:26" x14ac:dyDescent="0.2">
      <c r="Z166" s="391"/>
    </row>
    <row r="167" spans="26:26" x14ac:dyDescent="0.2">
      <c r="Z167" s="391"/>
    </row>
    <row r="168" spans="26:26" x14ac:dyDescent="0.2">
      <c r="Z168" s="391"/>
    </row>
    <row r="169" spans="26:26" x14ac:dyDescent="0.2">
      <c r="Z169" s="391"/>
    </row>
    <row r="170" spans="26:26" x14ac:dyDescent="0.2">
      <c r="Z170" s="391"/>
    </row>
    <row r="171" spans="26:26" x14ac:dyDescent="0.2">
      <c r="Z171" s="391"/>
    </row>
    <row r="172" spans="26:26" x14ac:dyDescent="0.2">
      <c r="Z172" s="391"/>
    </row>
    <row r="173" spans="26:26" x14ac:dyDescent="0.2">
      <c r="Z173" s="391"/>
    </row>
    <row r="174" spans="26:26" x14ac:dyDescent="0.2">
      <c r="Z174" s="391"/>
    </row>
    <row r="175" spans="26:26" x14ac:dyDescent="0.2">
      <c r="Z175" s="391"/>
    </row>
    <row r="176" spans="26:26" x14ac:dyDescent="0.2">
      <c r="Z176" s="391"/>
    </row>
    <row r="177" spans="26:26" x14ac:dyDescent="0.2">
      <c r="Z177" s="391"/>
    </row>
    <row r="178" spans="26:26" x14ac:dyDescent="0.2">
      <c r="Z178" s="391"/>
    </row>
    <row r="179" spans="26:26" x14ac:dyDescent="0.2">
      <c r="Z179" s="391"/>
    </row>
    <row r="180" spans="26:26" x14ac:dyDescent="0.2">
      <c r="Z180" s="391"/>
    </row>
    <row r="181" spans="26:26" x14ac:dyDescent="0.2">
      <c r="Z181" s="391"/>
    </row>
    <row r="182" spans="26:26" x14ac:dyDescent="0.2">
      <c r="Z182" s="391"/>
    </row>
    <row r="183" spans="26:26" x14ac:dyDescent="0.2">
      <c r="Z183" s="391"/>
    </row>
    <row r="184" spans="26:26" x14ac:dyDescent="0.2">
      <c r="Z184" s="391"/>
    </row>
    <row r="185" spans="26:26" x14ac:dyDescent="0.2">
      <c r="Z185" s="391"/>
    </row>
    <row r="186" spans="26:26" x14ac:dyDescent="0.2">
      <c r="Z186" s="391"/>
    </row>
    <row r="187" spans="26:26" x14ac:dyDescent="0.2">
      <c r="Z187" s="391"/>
    </row>
    <row r="188" spans="26:26" x14ac:dyDescent="0.2">
      <c r="Z188" s="391"/>
    </row>
    <row r="189" spans="26:26" x14ac:dyDescent="0.2">
      <c r="Z189" s="391"/>
    </row>
    <row r="190" spans="26:26" x14ac:dyDescent="0.2">
      <c r="Z190" s="391"/>
    </row>
    <row r="191" spans="26:26" x14ac:dyDescent="0.2">
      <c r="Z191" s="391"/>
    </row>
    <row r="192" spans="26:26" x14ac:dyDescent="0.2">
      <c r="Z192" s="391"/>
    </row>
    <row r="193" spans="26:26" x14ac:dyDescent="0.2">
      <c r="Z193" s="391"/>
    </row>
    <row r="194" spans="26:26" x14ac:dyDescent="0.2">
      <c r="Z194" s="391"/>
    </row>
    <row r="195" spans="26:26" x14ac:dyDescent="0.2">
      <c r="Z195" s="391"/>
    </row>
    <row r="196" spans="26:26" x14ac:dyDescent="0.2">
      <c r="Z196" s="391"/>
    </row>
    <row r="197" spans="26:26" x14ac:dyDescent="0.2">
      <c r="Z197" s="391"/>
    </row>
    <row r="198" spans="26:26" x14ac:dyDescent="0.2">
      <c r="Z198" s="391"/>
    </row>
    <row r="199" spans="26:26" x14ac:dyDescent="0.2">
      <c r="Z199" s="391"/>
    </row>
    <row r="200" spans="26:26" x14ac:dyDescent="0.2">
      <c r="Z200" s="391"/>
    </row>
    <row r="201" spans="26:26" x14ac:dyDescent="0.2">
      <c r="Z201" s="391"/>
    </row>
    <row r="202" spans="26:26" x14ac:dyDescent="0.2">
      <c r="Z202" s="391"/>
    </row>
    <row r="203" spans="26:26" x14ac:dyDescent="0.2">
      <c r="Z203" s="391"/>
    </row>
    <row r="204" spans="26:26" x14ac:dyDescent="0.2">
      <c r="Z204" s="391"/>
    </row>
    <row r="205" spans="26:26" x14ac:dyDescent="0.2">
      <c r="Z205" s="391"/>
    </row>
    <row r="206" spans="26:26" x14ac:dyDescent="0.2">
      <c r="Z206" s="391"/>
    </row>
    <row r="207" spans="26:26" x14ac:dyDescent="0.2">
      <c r="Z207" s="391"/>
    </row>
    <row r="208" spans="26:26" x14ac:dyDescent="0.2">
      <c r="Z208" s="391"/>
    </row>
    <row r="209" spans="26:26" x14ac:dyDescent="0.2">
      <c r="Z209" s="391"/>
    </row>
    <row r="210" spans="26:26" x14ac:dyDescent="0.2">
      <c r="Z210" s="391"/>
    </row>
    <row r="211" spans="26:26" x14ac:dyDescent="0.2">
      <c r="Z211" s="391"/>
    </row>
    <row r="212" spans="26:26" x14ac:dyDescent="0.2">
      <c r="Z212" s="391"/>
    </row>
    <row r="213" spans="26:26" x14ac:dyDescent="0.2">
      <c r="Z213" s="391"/>
    </row>
    <row r="214" spans="26:26" x14ac:dyDescent="0.2">
      <c r="Z214" s="391"/>
    </row>
    <row r="215" spans="26:26" x14ac:dyDescent="0.2">
      <c r="Z215" s="391"/>
    </row>
    <row r="216" spans="26:26" x14ac:dyDescent="0.2">
      <c r="Z216" s="391"/>
    </row>
    <row r="217" spans="26:26" x14ac:dyDescent="0.2">
      <c r="Z217" s="391"/>
    </row>
    <row r="218" spans="26:26" x14ac:dyDescent="0.2">
      <c r="Z218" s="391"/>
    </row>
    <row r="219" spans="26:26" x14ac:dyDescent="0.2">
      <c r="Z219" s="391"/>
    </row>
    <row r="220" spans="26:26" x14ac:dyDescent="0.2">
      <c r="Z220" s="391"/>
    </row>
    <row r="221" spans="26:26" x14ac:dyDescent="0.2">
      <c r="Z221" s="391"/>
    </row>
    <row r="222" spans="26:26" x14ac:dyDescent="0.2">
      <c r="Z222" s="391"/>
    </row>
    <row r="223" spans="26:26" x14ac:dyDescent="0.2">
      <c r="Z223" s="391"/>
    </row>
    <row r="224" spans="26:26" x14ac:dyDescent="0.2">
      <c r="Z224" s="391"/>
    </row>
    <row r="225" spans="26:26" x14ac:dyDescent="0.2">
      <c r="Z225" s="391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U8"/>
  </mergeCells>
  <pageMargins left="0.35433070866141736" right="0" top="0.19685039370078741" bottom="0.15748031496062992" header="0.19685039370078741" footer="0.15748031496062992"/>
  <pageSetup paperSize="9" scale="75" orientation="landscape" r:id="rId1"/>
  <headerFooter alignWithMargins="0"/>
  <rowBreaks count="1" manualBreakCount="1">
    <brk id="49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4"/>
  <sheetViews>
    <sheetView zoomScaleNormal="100" workbookViewId="0">
      <selection activeCell="D29" sqref="D29:E29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114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4"/>
      <c r="B1" s="4"/>
      <c r="C1" s="4"/>
      <c r="D1" s="4"/>
      <c r="E1" s="4"/>
      <c r="F1" s="4"/>
      <c r="G1" s="4"/>
      <c r="H1" s="4"/>
      <c r="J1" s="98"/>
      <c r="K1" s="98"/>
      <c r="L1" s="98"/>
      <c r="M1" s="98"/>
      <c r="N1" s="98" t="s">
        <v>983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">
      <c r="A2" s="99"/>
      <c r="B2" s="4"/>
      <c r="C2" s="100"/>
      <c r="D2" s="4"/>
      <c r="E2" s="4"/>
      <c r="F2" s="4"/>
      <c r="G2" s="4"/>
      <c r="H2" s="4"/>
      <c r="I2" s="756"/>
      <c r="J2" s="101"/>
      <c r="K2" s="101"/>
      <c r="L2" s="101"/>
      <c r="M2" s="101"/>
      <c r="N2" s="212" t="str">
        <f>'1.Bev-kiad.'!F2</f>
        <v>a 7/2022.(V.27.) önkormányzati rendelethez</v>
      </c>
      <c r="O2" s="4"/>
      <c r="P2" s="4"/>
      <c r="Q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">
      <c r="A3" s="99"/>
      <c r="B3" s="4"/>
      <c r="C3" s="100"/>
      <c r="D3" s="4"/>
      <c r="E3" s="4"/>
      <c r="F3" s="4"/>
      <c r="G3" s="4"/>
      <c r="H3" s="4"/>
      <c r="I3" s="756"/>
      <c r="J3" s="101"/>
      <c r="K3" s="101"/>
      <c r="L3" s="101"/>
      <c r="M3" s="101"/>
      <c r="N3" s="212" t="s">
        <v>1319</v>
      </c>
      <c r="O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s="3" customFormat="1" ht="15" x14ac:dyDescent="0.2">
      <c r="A4" s="103" t="s">
        <v>65</v>
      </c>
      <c r="B4" s="4"/>
      <c r="C4" s="100"/>
      <c r="D4" s="63"/>
      <c r="E4" s="63"/>
      <c r="F4" s="63"/>
      <c r="G4" s="63"/>
      <c r="H4" s="63"/>
      <c r="I4" s="104"/>
      <c r="J4" s="104"/>
      <c r="K4" s="671"/>
      <c r="L4" s="105"/>
      <c r="M4" s="105"/>
      <c r="N4" s="63"/>
      <c r="O4" s="63"/>
      <c r="P4" s="63"/>
      <c r="Q4" s="63"/>
      <c r="R4" s="4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</row>
    <row r="5" spans="1:32" s="3" customFormat="1" ht="15" x14ac:dyDescent="0.2">
      <c r="A5" s="103" t="s">
        <v>66</v>
      </c>
      <c r="B5" s="4"/>
      <c r="C5" s="100"/>
      <c r="D5" s="63"/>
      <c r="E5" s="63"/>
      <c r="F5" s="63"/>
      <c r="G5" s="63"/>
      <c r="H5" s="63"/>
      <c r="I5" s="104"/>
      <c r="J5" s="104"/>
      <c r="K5" s="671"/>
      <c r="L5" s="105"/>
      <c r="M5" s="105"/>
      <c r="N5" s="63"/>
      <c r="O5" s="63"/>
      <c r="P5" s="63"/>
      <c r="Q5" s="4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2" s="3" customFormat="1" x14ac:dyDescent="0.2">
      <c r="A6" s="4"/>
      <c r="B6" s="4"/>
      <c r="C6" s="100"/>
      <c r="D6" s="63"/>
      <c r="E6" s="63"/>
      <c r="F6" s="98" t="s">
        <v>28</v>
      </c>
      <c r="G6" s="63"/>
      <c r="H6" s="63"/>
      <c r="J6" s="98"/>
      <c r="L6" s="106"/>
      <c r="M6" s="106"/>
      <c r="N6" s="63"/>
      <c r="O6" s="63"/>
      <c r="P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2" s="3" customFormat="1" ht="42.75" x14ac:dyDescent="0.2">
      <c r="A7" s="715" t="s">
        <v>389</v>
      </c>
      <c r="B7" s="714" t="s">
        <v>1137</v>
      </c>
      <c r="C7" s="728">
        <v>2021</v>
      </c>
      <c r="D7" s="728">
        <v>2022</v>
      </c>
      <c r="E7" s="728">
        <v>2023</v>
      </c>
      <c r="F7" s="728">
        <v>2024</v>
      </c>
      <c r="G7" s="726"/>
      <c r="H7" s="726"/>
      <c r="I7" s="726"/>
      <c r="J7" s="726"/>
      <c r="K7" s="107"/>
      <c r="L7" s="107"/>
      <c r="M7" s="107"/>
    </row>
    <row r="8" spans="1:32" s="3" customFormat="1" ht="15" customHeight="1" x14ac:dyDescent="0.2">
      <c r="A8" s="908" t="s">
        <v>67</v>
      </c>
      <c r="B8" s="729">
        <f>SUM(B9:B9)</f>
        <v>0</v>
      </c>
      <c r="C8" s="729">
        <f>SUM(C9:C9)</f>
        <v>221049</v>
      </c>
      <c r="D8" s="672" t="s">
        <v>69</v>
      </c>
      <c r="E8" s="735" t="s">
        <v>69</v>
      </c>
      <c r="F8" s="733" t="s">
        <v>69</v>
      </c>
      <c r="G8" s="727"/>
      <c r="H8" s="727"/>
      <c r="I8" s="727"/>
      <c r="J8" s="727"/>
      <c r="K8" s="108"/>
      <c r="L8" s="108"/>
      <c r="M8" s="108"/>
    </row>
    <row r="9" spans="1:32" s="3" customFormat="1" ht="16.5" customHeight="1" x14ac:dyDescent="0.2">
      <c r="A9" s="909" t="s">
        <v>1185</v>
      </c>
      <c r="B9" s="730"/>
      <c r="C9" s="731">
        <v>221049</v>
      </c>
      <c r="D9" s="732" t="s">
        <v>69</v>
      </c>
      <c r="E9" s="732" t="s">
        <v>69</v>
      </c>
      <c r="F9" s="733" t="s">
        <v>69</v>
      </c>
      <c r="G9" s="722"/>
      <c r="H9" s="722"/>
      <c r="I9" s="722"/>
      <c r="J9" s="722"/>
      <c r="K9" s="108"/>
      <c r="L9" s="108"/>
      <c r="M9" s="108"/>
    </row>
    <row r="10" spans="1:32" s="3" customFormat="1" ht="17.25" customHeight="1" x14ac:dyDescent="0.2">
      <c r="A10" s="910" t="s">
        <v>68</v>
      </c>
      <c r="B10" s="215">
        <f>SUM(B11)</f>
        <v>197556</v>
      </c>
      <c r="C10" s="215">
        <f>SUM(C11)</f>
        <v>530984</v>
      </c>
      <c r="D10" s="735" t="s">
        <v>69</v>
      </c>
      <c r="E10" s="735" t="s">
        <v>69</v>
      </c>
      <c r="F10" s="672" t="s">
        <v>69</v>
      </c>
      <c r="G10" s="723"/>
      <c r="H10" s="723"/>
      <c r="I10" s="723"/>
      <c r="J10" s="723"/>
      <c r="K10" s="108"/>
      <c r="L10" s="108"/>
      <c r="M10" s="108"/>
    </row>
    <row r="11" spans="1:32" s="3" customFormat="1" ht="17.25" customHeight="1" x14ac:dyDescent="0.2">
      <c r="A11" s="909" t="s">
        <v>514</v>
      </c>
      <c r="B11" s="730">
        <f>(10058+5652+20574+2572+158700)</f>
        <v>197556</v>
      </c>
      <c r="C11" s="165">
        <v>530984</v>
      </c>
      <c r="D11" s="732" t="s">
        <v>69</v>
      </c>
      <c r="E11" s="732" t="s">
        <v>69</v>
      </c>
      <c r="F11" s="48" t="s">
        <v>69</v>
      </c>
      <c r="G11" s="724"/>
      <c r="H11" s="724"/>
      <c r="I11" s="724"/>
      <c r="J11" s="724"/>
      <c r="K11" s="108"/>
      <c r="L11" s="108"/>
      <c r="M11" s="108"/>
    </row>
    <row r="12" spans="1:32" s="3" customFormat="1" ht="15.75" customHeight="1" x14ac:dyDescent="0.2">
      <c r="A12" s="911" t="s">
        <v>70</v>
      </c>
      <c r="B12" s="217"/>
      <c r="C12" s="216"/>
      <c r="D12" s="735" t="s">
        <v>69</v>
      </c>
      <c r="E12" s="735" t="s">
        <v>69</v>
      </c>
      <c r="F12" s="672" t="s">
        <v>69</v>
      </c>
      <c r="G12" s="723"/>
      <c r="H12" s="723"/>
      <c r="I12" s="723"/>
      <c r="J12" s="723"/>
      <c r="K12" s="108"/>
      <c r="L12" s="108"/>
      <c r="M12" s="108"/>
    </row>
    <row r="13" spans="1:32" s="3" customFormat="1" x14ac:dyDescent="0.2">
      <c r="A13" s="912" t="s">
        <v>69</v>
      </c>
      <c r="B13" s="34"/>
      <c r="C13" s="165"/>
      <c r="D13" s="732" t="s">
        <v>69</v>
      </c>
      <c r="E13" s="732" t="s">
        <v>69</v>
      </c>
      <c r="F13" s="48" t="s">
        <v>69</v>
      </c>
      <c r="G13" s="724"/>
      <c r="H13" s="724"/>
      <c r="I13" s="724"/>
      <c r="J13" s="724"/>
      <c r="K13" s="35"/>
      <c r="L13" s="35"/>
      <c r="M13" s="35"/>
    </row>
    <row r="14" spans="1:32" s="3" customFormat="1" x14ac:dyDescent="0.2">
      <c r="A14" s="911" t="s">
        <v>47</v>
      </c>
      <c r="B14" s="123">
        <f>SUM(B8+B10)</f>
        <v>197556</v>
      </c>
      <c r="C14" s="123">
        <f>SUM(C8+C10)</f>
        <v>752033</v>
      </c>
      <c r="D14" s="736" t="s">
        <v>69</v>
      </c>
      <c r="E14" s="736" t="s">
        <v>69</v>
      </c>
      <c r="F14" s="734" t="s">
        <v>69</v>
      </c>
      <c r="G14" s="725"/>
      <c r="H14" s="725"/>
      <c r="I14" s="725"/>
      <c r="J14" s="725"/>
      <c r="K14" s="109"/>
      <c r="L14" s="109"/>
      <c r="M14" s="109"/>
    </row>
    <row r="15" spans="1:32" s="3" customFormat="1" x14ac:dyDescent="0.2">
      <c r="A15" s="4"/>
      <c r="B15" s="4"/>
      <c r="C15" s="4"/>
      <c r="D15" s="218"/>
      <c r="E15" s="218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1:32" ht="12.95" customHeight="1" x14ac:dyDescent="0.2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8" ht="16.5" customHeight="1" x14ac:dyDescent="0.2">
      <c r="A17" s="1000" t="s">
        <v>984</v>
      </c>
      <c r="B17" s="1000"/>
      <c r="C17" s="1000"/>
      <c r="D17" s="1000"/>
      <c r="E17" s="1000"/>
      <c r="F17" s="1000"/>
      <c r="G17" s="1000"/>
      <c r="H17" s="1000"/>
      <c r="I17" s="1000"/>
      <c r="J17" s="1000"/>
      <c r="K17" s="1000"/>
      <c r="L17" s="1000"/>
      <c r="M17" s="1000"/>
      <c r="N17" s="1000"/>
    </row>
    <row r="18" spans="1:18" ht="12.95" customHeight="1" x14ac:dyDescent="0.2">
      <c r="A18" s="1010" t="s">
        <v>1138</v>
      </c>
      <c r="B18" s="1011"/>
      <c r="C18" s="1011"/>
      <c r="D18" s="1011"/>
      <c r="E18" s="1011"/>
      <c r="F18" s="1011"/>
      <c r="G18" s="1011"/>
      <c r="H18" s="1011"/>
      <c r="I18" s="1011"/>
      <c r="J18" s="1011"/>
      <c r="K18" s="1011"/>
      <c r="L18" s="1011"/>
      <c r="M18" s="1011"/>
      <c r="N18" s="1011"/>
    </row>
    <row r="19" spans="1:18" ht="12.95" customHeight="1" x14ac:dyDescent="0.2">
      <c r="A19" s="4"/>
      <c r="B19" s="4"/>
      <c r="C19" s="111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8" t="s">
        <v>0</v>
      </c>
    </row>
    <row r="20" spans="1:18" ht="17.25" customHeight="1" x14ac:dyDescent="0.2">
      <c r="A20" s="1008" t="s">
        <v>961</v>
      </c>
      <c r="B20" s="1008" t="s">
        <v>71</v>
      </c>
      <c r="C20" s="1008" t="s">
        <v>72</v>
      </c>
      <c r="D20" s="1012" t="s">
        <v>924</v>
      </c>
      <c r="E20" s="1012"/>
      <c r="F20" s="1012"/>
      <c r="G20" s="1012"/>
      <c r="H20" s="1012"/>
      <c r="I20" s="1012"/>
      <c r="J20" s="1012"/>
      <c r="K20" s="1012"/>
      <c r="L20" s="529"/>
      <c r="M20" s="921"/>
      <c r="N20" s="1018" t="s">
        <v>47</v>
      </c>
    </row>
    <row r="21" spans="1:18" ht="33.75" customHeight="1" x14ac:dyDescent="0.2">
      <c r="A21" s="1008"/>
      <c r="B21" s="1008"/>
      <c r="C21" s="1008"/>
      <c r="D21" s="1004">
        <v>2021</v>
      </c>
      <c r="E21" s="1005"/>
      <c r="F21" s="1004">
        <v>2022</v>
      </c>
      <c r="G21" s="1013"/>
      <c r="H21" s="1001">
        <v>2023</v>
      </c>
      <c r="I21" s="1001"/>
      <c r="J21" s="1004">
        <v>2024</v>
      </c>
      <c r="K21" s="1013"/>
      <c r="L21" s="1012" t="s">
        <v>1305</v>
      </c>
      <c r="M21" s="1013"/>
      <c r="N21" s="1018"/>
    </row>
    <row r="22" spans="1:18" ht="15.75" customHeight="1" x14ac:dyDescent="0.2">
      <c r="A22" s="1009"/>
      <c r="B22" s="1009"/>
      <c r="C22" s="1009"/>
      <c r="D22" s="139" t="s">
        <v>962</v>
      </c>
      <c r="E22" s="139" t="s">
        <v>963</v>
      </c>
      <c r="F22" s="139" t="s">
        <v>962</v>
      </c>
      <c r="G22" s="139" t="s">
        <v>963</v>
      </c>
      <c r="H22" s="139" t="s">
        <v>962</v>
      </c>
      <c r="I22" s="139" t="s">
        <v>963</v>
      </c>
      <c r="J22" s="139" t="s">
        <v>962</v>
      </c>
      <c r="K22" s="139" t="s">
        <v>963</v>
      </c>
      <c r="L22" s="139" t="s">
        <v>962</v>
      </c>
      <c r="M22" s="139" t="s">
        <v>963</v>
      </c>
      <c r="N22" s="1019"/>
    </row>
    <row r="23" spans="1:18" ht="24.75" customHeight="1" x14ac:dyDescent="0.2">
      <c r="A23" s="531" t="s">
        <v>964</v>
      </c>
      <c r="B23" s="33">
        <v>2019</v>
      </c>
      <c r="C23" s="532">
        <v>100000</v>
      </c>
      <c r="D23" s="140">
        <v>10400</v>
      </c>
      <c r="E23" s="140">
        <v>1755</v>
      </c>
      <c r="F23" s="165">
        <v>10400</v>
      </c>
      <c r="G23" s="165">
        <v>1513</v>
      </c>
      <c r="H23" s="165">
        <v>10400</v>
      </c>
      <c r="I23" s="165">
        <v>1270</v>
      </c>
      <c r="J23" s="165">
        <v>10400</v>
      </c>
      <c r="K23" s="165">
        <v>1031</v>
      </c>
      <c r="L23" s="165">
        <v>37600</v>
      </c>
      <c r="M23" s="165">
        <v>1695</v>
      </c>
      <c r="N23" s="48">
        <f>SUM(D23:M23)</f>
        <v>86464</v>
      </c>
      <c r="O23" s="999">
        <f>SUM(N23+N24)</f>
        <v>180709</v>
      </c>
    </row>
    <row r="24" spans="1:18" x14ac:dyDescent="0.2">
      <c r="A24" s="68" t="s">
        <v>965</v>
      </c>
      <c r="B24" s="71">
        <v>2019</v>
      </c>
      <c r="C24" s="532">
        <v>100000</v>
      </c>
      <c r="D24" s="140">
        <v>9756</v>
      </c>
      <c r="E24" s="140">
        <v>1888</v>
      </c>
      <c r="F24" s="165">
        <v>9756</v>
      </c>
      <c r="G24" s="166">
        <v>1663</v>
      </c>
      <c r="H24" s="166">
        <v>9756</v>
      </c>
      <c r="I24" s="68">
        <v>1437</v>
      </c>
      <c r="J24" s="166">
        <v>9756</v>
      </c>
      <c r="K24" s="166">
        <v>1215</v>
      </c>
      <c r="L24" s="166">
        <v>46341</v>
      </c>
      <c r="M24" s="166">
        <v>2677</v>
      </c>
      <c r="N24" s="48">
        <f t="shared" ref="N24:N26" si="0">SUM(D24:M24)</f>
        <v>94245</v>
      </c>
      <c r="O24" s="999"/>
    </row>
    <row r="25" spans="1:18" ht="12.95" customHeight="1" x14ac:dyDescent="0.2">
      <c r="A25" s="166" t="s">
        <v>1304</v>
      </c>
      <c r="B25" s="798">
        <v>2021</v>
      </c>
      <c r="C25" s="532">
        <v>342000</v>
      </c>
      <c r="D25" s="140">
        <v>0</v>
      </c>
      <c r="E25" s="140">
        <v>0</v>
      </c>
      <c r="F25" s="165">
        <v>38000</v>
      </c>
      <c r="G25" s="166">
        <v>14119</v>
      </c>
      <c r="H25" s="166">
        <v>38000</v>
      </c>
      <c r="I25" s="166">
        <v>12481</v>
      </c>
      <c r="J25" s="166">
        <v>38000</v>
      </c>
      <c r="K25" s="166">
        <v>10875</v>
      </c>
      <c r="L25" s="166">
        <f>(38000*6)</f>
        <v>228000</v>
      </c>
      <c r="M25" s="166">
        <v>30690</v>
      </c>
      <c r="N25" s="48">
        <f t="shared" si="0"/>
        <v>410165</v>
      </c>
    </row>
    <row r="26" spans="1:18" ht="12.95" customHeight="1" x14ac:dyDescent="0.2">
      <c r="A26" s="112" t="s">
        <v>47</v>
      </c>
      <c r="B26" s="72"/>
      <c r="C26" s="215">
        <f t="shared" ref="C26:M26" si="1">SUM(C23:C25)</f>
        <v>542000</v>
      </c>
      <c r="D26" s="141">
        <f t="shared" si="1"/>
        <v>20156</v>
      </c>
      <c r="E26" s="141">
        <f t="shared" si="1"/>
        <v>3643</v>
      </c>
      <c r="F26" s="166">
        <f t="shared" si="1"/>
        <v>58156</v>
      </c>
      <c r="G26" s="166">
        <f t="shared" si="1"/>
        <v>17295</v>
      </c>
      <c r="H26" s="166">
        <f t="shared" si="1"/>
        <v>58156</v>
      </c>
      <c r="I26" s="70">
        <f t="shared" si="1"/>
        <v>15188</v>
      </c>
      <c r="J26" s="68">
        <f t="shared" si="1"/>
        <v>58156</v>
      </c>
      <c r="K26" s="68">
        <f t="shared" si="1"/>
        <v>13121</v>
      </c>
      <c r="L26" s="68">
        <f t="shared" si="1"/>
        <v>311941</v>
      </c>
      <c r="M26" s="68">
        <f t="shared" si="1"/>
        <v>35062</v>
      </c>
      <c r="N26" s="672">
        <f t="shared" si="0"/>
        <v>590874</v>
      </c>
      <c r="O26" s="263">
        <f>SUM(N23:N25)</f>
        <v>590874</v>
      </c>
    </row>
    <row r="27" spans="1:18" ht="22.5" customHeight="1" x14ac:dyDescent="0.2">
      <c r="A27" s="1020" t="s">
        <v>376</v>
      </c>
      <c r="B27" s="1021"/>
      <c r="C27" s="1022"/>
      <c r="D27" s="1012" t="s">
        <v>388</v>
      </c>
      <c r="E27" s="1012"/>
      <c r="F27" s="1012"/>
      <c r="G27" s="1012"/>
      <c r="H27" s="1012"/>
      <c r="I27" s="1012"/>
      <c r="J27" s="1012"/>
      <c r="K27" s="1012"/>
      <c r="L27" s="529"/>
      <c r="M27" s="921"/>
      <c r="N27" s="1018" t="s">
        <v>47</v>
      </c>
      <c r="O27" s="3"/>
      <c r="P27" s="3"/>
      <c r="Q27" s="3"/>
      <c r="R27" s="3"/>
    </row>
    <row r="28" spans="1:18" ht="21.75" customHeight="1" x14ac:dyDescent="0.2">
      <c r="A28" s="1023"/>
      <c r="B28" s="1024"/>
      <c r="C28" s="1025"/>
      <c r="D28" s="1016">
        <v>2021</v>
      </c>
      <c r="E28" s="1017"/>
      <c r="F28" s="1014">
        <v>2022</v>
      </c>
      <c r="G28" s="1015"/>
      <c r="H28" s="1002">
        <v>2023</v>
      </c>
      <c r="I28" s="1003"/>
      <c r="J28" s="1006">
        <v>2024</v>
      </c>
      <c r="K28" s="1007"/>
      <c r="L28" s="1006" t="s">
        <v>1305</v>
      </c>
      <c r="M28" s="1007"/>
      <c r="N28" s="1019"/>
      <c r="O28" s="3"/>
      <c r="P28" s="3"/>
      <c r="Q28" s="3"/>
      <c r="R28" s="3"/>
    </row>
    <row r="29" spans="1:18" ht="12.95" customHeight="1" x14ac:dyDescent="0.2">
      <c r="A29" s="1026"/>
      <c r="B29" s="1027"/>
      <c r="C29" s="1028"/>
      <c r="D29" s="1029">
        <f>SUM('2.működés'!F75+'2.működés'!F76+'2.működés'!F77+'2.működés'!F79+'2.működés'!F87+'2.működés'!F82+'3.felh'!F22+'2.működés'!F81)/2</f>
        <v>226307.5</v>
      </c>
      <c r="E29" s="1030"/>
      <c r="F29" s="1031">
        <v>187500</v>
      </c>
      <c r="G29" s="1032"/>
      <c r="H29" s="1031">
        <v>187500</v>
      </c>
      <c r="I29" s="1032"/>
      <c r="J29" s="1031">
        <v>187500</v>
      </c>
      <c r="K29" s="1032"/>
      <c r="L29" s="1031">
        <f>(187500*6)</f>
        <v>1125000</v>
      </c>
      <c r="M29" s="1032"/>
      <c r="N29" s="922">
        <f>SUM(D29:M29)</f>
        <v>1913807.5</v>
      </c>
      <c r="O29" s="3"/>
      <c r="P29" s="3"/>
      <c r="Q29" s="3"/>
      <c r="R29" s="3"/>
    </row>
    <row r="30" spans="1:18" ht="12.95" customHeight="1" x14ac:dyDescent="0.2">
      <c r="B30" s="86"/>
      <c r="C30" s="1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2.95" hidden="1" customHeight="1" x14ac:dyDescent="0.2">
      <c r="B31" s="86"/>
      <c r="C31" s="113"/>
      <c r="D31" s="641">
        <f>('2.működés'!D74+'2.működés'!D79+'2.működés'!D81+'2.működés'!D87+'2.működés'!D82+'3.felh'!D22)/2</f>
        <v>187000</v>
      </c>
      <c r="E31" s="641"/>
      <c r="F31" s="641">
        <f>('2.működés'!E74+'2.működés'!E79+'2.működés'!E81+'2.működés'!E87+'2.működés'!E82+'3.felh'!E22)/2</f>
        <v>211112.5</v>
      </c>
      <c r="G31" s="641"/>
      <c r="H31" s="641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2.95" hidden="1" customHeight="1" x14ac:dyDescent="0.2">
      <c r="B32" s="86"/>
      <c r="C32" s="113"/>
      <c r="D32" s="641">
        <f>D31*2</f>
        <v>374000</v>
      </c>
      <c r="E32" s="64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2.95" hidden="1" customHeight="1" x14ac:dyDescent="0.2">
      <c r="B33" s="86"/>
      <c r="C33" s="113"/>
      <c r="D33" s="641">
        <f>368582-D32</f>
        <v>-5418</v>
      </c>
      <c r="E33" s="64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2.95" customHeight="1" x14ac:dyDescent="0.2">
      <c r="B34" s="86"/>
      <c r="C34" s="1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2.95" customHeight="1" x14ac:dyDescent="0.2">
      <c r="B35" s="86"/>
      <c r="C35" s="1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2.95" customHeight="1" x14ac:dyDescent="0.2">
      <c r="B36" s="86"/>
      <c r="C36" s="1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2.95" customHeight="1" x14ac:dyDescent="0.2">
      <c r="B37" s="86"/>
      <c r="C37" s="1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2.95" customHeight="1" x14ac:dyDescent="0.2">
      <c r="B38" s="86"/>
      <c r="C38" s="1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2.95" customHeight="1" x14ac:dyDescent="0.2">
      <c r="B39" s="86"/>
      <c r="C39" s="1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2.95" customHeight="1" x14ac:dyDescent="0.2">
      <c r="B40" s="86"/>
      <c r="C40" s="1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2.95" customHeight="1" x14ac:dyDescent="0.2">
      <c r="B41" s="86"/>
      <c r="C41" s="1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2.95" customHeight="1" x14ac:dyDescent="0.2">
      <c r="B42" s="86"/>
      <c r="C42" s="1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2.95" customHeight="1" x14ac:dyDescent="0.2">
      <c r="B43" s="86"/>
      <c r="C43" s="1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2.95" customHeight="1" x14ac:dyDescent="0.2">
      <c r="B44" s="86"/>
      <c r="C44" s="1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2.95" customHeight="1" x14ac:dyDescent="0.2">
      <c r="B45" s="86"/>
      <c r="C45" s="1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2.95" customHeight="1" x14ac:dyDescent="0.2">
      <c r="B46" s="86"/>
      <c r="C46" s="1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2.95" customHeight="1" x14ac:dyDescent="0.2">
      <c r="B47" s="86"/>
      <c r="C47" s="1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2.95" customHeight="1" x14ac:dyDescent="0.2">
      <c r="B48" s="86"/>
      <c r="C48" s="1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2.95" customHeight="1" x14ac:dyDescent="0.2">
      <c r="B49" s="86"/>
      <c r="C49" s="1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2.95" customHeight="1" x14ac:dyDescent="0.2">
      <c r="B50" s="86"/>
      <c r="C50" s="1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2.95" customHeight="1" x14ac:dyDescent="0.2">
      <c r="B51" s="86"/>
      <c r="C51" s="1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2.95" customHeight="1" x14ac:dyDescent="0.2">
      <c r="B52" s="86"/>
      <c r="C52" s="1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2.95" customHeight="1" x14ac:dyDescent="0.2">
      <c r="B53" s="86"/>
      <c r="C53" s="1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2.95" customHeight="1" x14ac:dyDescent="0.2">
      <c r="B54" s="86"/>
      <c r="C54" s="1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2.95" customHeight="1" x14ac:dyDescent="0.2">
      <c r="B55" s="86"/>
      <c r="C55" s="1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2.95" customHeight="1" x14ac:dyDescent="0.2">
      <c r="B56" s="86"/>
      <c r="C56" s="1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2.95" customHeight="1" x14ac:dyDescent="0.2">
      <c r="B57" s="86"/>
      <c r="C57" s="1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2.95" customHeight="1" x14ac:dyDescent="0.2">
      <c r="B58" s="86"/>
      <c r="C58" s="113"/>
    </row>
    <row r="59" spans="2:18" ht="12.95" customHeight="1" x14ac:dyDescent="0.2">
      <c r="B59" s="86"/>
      <c r="C59" s="113"/>
    </row>
    <row r="60" spans="2:18" ht="12.95" customHeight="1" x14ac:dyDescent="0.2">
      <c r="B60" s="86"/>
      <c r="C60" s="113"/>
    </row>
    <row r="61" spans="2:18" ht="12.95" customHeight="1" x14ac:dyDescent="0.2">
      <c r="B61" s="86"/>
      <c r="C61" s="113"/>
    </row>
    <row r="62" spans="2:18" ht="12.95" customHeight="1" x14ac:dyDescent="0.2">
      <c r="B62" s="86"/>
      <c r="C62" s="113"/>
    </row>
    <row r="63" spans="2:18" ht="12.95" customHeight="1" x14ac:dyDescent="0.2">
      <c r="B63" s="86"/>
      <c r="C63" s="113"/>
    </row>
    <row r="64" spans="2:18" ht="12.95" customHeight="1" x14ac:dyDescent="0.2">
      <c r="B64" s="86"/>
      <c r="C64" s="113"/>
    </row>
    <row r="65" spans="2:3" ht="12.95" customHeight="1" x14ac:dyDescent="0.2">
      <c r="B65" s="86"/>
      <c r="C65" s="113"/>
    </row>
    <row r="66" spans="2:3" ht="12.95" customHeight="1" x14ac:dyDescent="0.2">
      <c r="B66" s="86"/>
      <c r="C66" s="113"/>
    </row>
    <row r="67" spans="2:3" x14ac:dyDescent="0.2">
      <c r="B67" s="86"/>
      <c r="C67" s="113"/>
    </row>
    <row r="68" spans="2:3" x14ac:dyDescent="0.2">
      <c r="B68" s="86"/>
      <c r="C68" s="113"/>
    </row>
    <row r="69" spans="2:3" x14ac:dyDescent="0.2">
      <c r="B69" s="86"/>
      <c r="C69" s="113"/>
    </row>
    <row r="70" spans="2:3" x14ac:dyDescent="0.2">
      <c r="B70" s="86"/>
      <c r="C70" s="113"/>
    </row>
    <row r="71" spans="2:3" x14ac:dyDescent="0.2">
      <c r="B71" s="86"/>
      <c r="C71" s="113"/>
    </row>
    <row r="72" spans="2:3" x14ac:dyDescent="0.2">
      <c r="B72" s="86"/>
      <c r="C72" s="113"/>
    </row>
    <row r="73" spans="2:3" x14ac:dyDescent="0.2">
      <c r="B73" s="86"/>
      <c r="C73" s="113"/>
    </row>
    <row r="74" spans="2:3" x14ac:dyDescent="0.2">
      <c r="B74" s="86"/>
      <c r="C74" s="113"/>
    </row>
    <row r="75" spans="2:3" x14ac:dyDescent="0.2">
      <c r="B75" s="86"/>
      <c r="C75" s="113"/>
    </row>
    <row r="76" spans="2:3" x14ac:dyDescent="0.2">
      <c r="B76" s="86"/>
      <c r="C76" s="113"/>
    </row>
    <row r="77" spans="2:3" x14ac:dyDescent="0.2">
      <c r="B77" s="86"/>
      <c r="C77" s="113"/>
    </row>
    <row r="78" spans="2:3" x14ac:dyDescent="0.2">
      <c r="B78" s="86"/>
      <c r="C78" s="113"/>
    </row>
    <row r="79" spans="2:3" x14ac:dyDescent="0.2">
      <c r="B79" s="86"/>
      <c r="C79" s="113"/>
    </row>
    <row r="80" spans="2:3" x14ac:dyDescent="0.2">
      <c r="B80" s="86"/>
      <c r="C80" s="113"/>
    </row>
    <row r="81" spans="2:3" x14ac:dyDescent="0.2">
      <c r="B81" s="86"/>
      <c r="C81" s="113"/>
    </row>
    <row r="82" spans="2:3" x14ac:dyDescent="0.2">
      <c r="B82" s="86"/>
      <c r="C82" s="113"/>
    </row>
    <row r="83" spans="2:3" x14ac:dyDescent="0.2">
      <c r="B83" s="86"/>
      <c r="C83" s="113"/>
    </row>
    <row r="84" spans="2:3" x14ac:dyDescent="0.2">
      <c r="B84" s="86"/>
      <c r="C84" s="113"/>
    </row>
  </sheetData>
  <mergeCells count="26">
    <mergeCell ref="A27:C29"/>
    <mergeCell ref="F21:G21"/>
    <mergeCell ref="N27:N28"/>
    <mergeCell ref="D29:E29"/>
    <mergeCell ref="F29:G29"/>
    <mergeCell ref="H29:I29"/>
    <mergeCell ref="J29:K29"/>
    <mergeCell ref="L21:M21"/>
    <mergeCell ref="L28:M28"/>
    <mergeCell ref="L29:M29"/>
    <mergeCell ref="O23:O24"/>
    <mergeCell ref="A17:N17"/>
    <mergeCell ref="H21:I21"/>
    <mergeCell ref="H28:I28"/>
    <mergeCell ref="D21:E21"/>
    <mergeCell ref="J28:K28"/>
    <mergeCell ref="A20:A22"/>
    <mergeCell ref="A18:N18"/>
    <mergeCell ref="B20:B22"/>
    <mergeCell ref="D27:K27"/>
    <mergeCell ref="J21:K21"/>
    <mergeCell ref="F28:G28"/>
    <mergeCell ref="C20:C22"/>
    <mergeCell ref="D28:E28"/>
    <mergeCell ref="D20:K20"/>
    <mergeCell ref="N20:N22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zoomScaleNormal="100" workbookViewId="0">
      <selection activeCell="C15" sqref="C15"/>
    </sheetView>
  </sheetViews>
  <sheetFormatPr defaultRowHeight="12.75" x14ac:dyDescent="0.2"/>
  <cols>
    <col min="1" max="1" width="6.140625" style="392" customWidth="1"/>
    <col min="2" max="2" width="46.85546875" style="392" customWidth="1"/>
    <col min="3" max="3" width="15.28515625" style="392" customWidth="1"/>
    <col min="4" max="4" width="13.7109375" style="392" customWidth="1"/>
    <col min="5" max="5" width="13.85546875" style="392" customWidth="1"/>
    <col min="6" max="7" width="9.140625" style="392" hidden="1" customWidth="1"/>
    <col min="8" max="16384" width="9.140625" style="392"/>
  </cols>
  <sheetData>
    <row r="1" spans="1:7" x14ac:dyDescent="0.2">
      <c r="E1" s="393" t="s">
        <v>377</v>
      </c>
    </row>
    <row r="2" spans="1:7" ht="19.5" x14ac:dyDescent="0.35">
      <c r="A2" s="932" t="s">
        <v>27</v>
      </c>
      <c r="B2" s="940"/>
      <c r="C2" s="940"/>
      <c r="D2" s="940"/>
      <c r="E2" s="940"/>
    </row>
    <row r="3" spans="1:7" ht="19.5" x14ac:dyDescent="0.35">
      <c r="A3" s="932" t="s">
        <v>733</v>
      </c>
      <c r="B3" s="940"/>
      <c r="C3" s="940"/>
      <c r="D3" s="940"/>
      <c r="E3" s="940"/>
    </row>
    <row r="4" spans="1:7" ht="20.25" thickBot="1" x14ac:dyDescent="0.4">
      <c r="B4" s="385"/>
      <c r="C4" s="385"/>
      <c r="D4" s="385"/>
    </row>
    <row r="5" spans="1:7" s="397" customFormat="1" ht="48.75" customHeight="1" thickBot="1" x14ac:dyDescent="0.25">
      <c r="A5" s="394"/>
      <c r="B5" s="395" t="s">
        <v>525</v>
      </c>
      <c r="C5" s="395" t="s">
        <v>44</v>
      </c>
      <c r="D5" s="395" t="s">
        <v>526</v>
      </c>
      <c r="E5" s="396" t="s">
        <v>47</v>
      </c>
    </row>
    <row r="6" spans="1:7" x14ac:dyDescent="0.2">
      <c r="A6" s="398" t="s">
        <v>527</v>
      </c>
      <c r="B6" s="399" t="s">
        <v>528</v>
      </c>
      <c r="C6" s="524">
        <v>2162596</v>
      </c>
      <c r="D6" s="400">
        <v>31806</v>
      </c>
      <c r="E6" s="401">
        <f>SUM(C6:D6)</f>
        <v>2194402</v>
      </c>
      <c r="G6" s="392">
        <v>252931</v>
      </c>
    </row>
    <row r="7" spans="1:7" x14ac:dyDescent="0.2">
      <c r="A7" s="402" t="s">
        <v>529</v>
      </c>
      <c r="B7" s="403" t="s">
        <v>530</v>
      </c>
      <c r="C7" s="424">
        <v>813907</v>
      </c>
      <c r="D7" s="404">
        <v>185259</v>
      </c>
      <c r="E7" s="405">
        <f>SUM(C7:D7)</f>
        <v>999166</v>
      </c>
      <c r="F7" s="406"/>
      <c r="G7" s="392">
        <v>252931</v>
      </c>
    </row>
    <row r="8" spans="1:7" x14ac:dyDescent="0.2">
      <c r="A8" s="407" t="s">
        <v>531</v>
      </c>
      <c r="B8" s="408" t="s">
        <v>532</v>
      </c>
      <c r="C8" s="422">
        <f>C6-C7</f>
        <v>1348689</v>
      </c>
      <c r="D8" s="409">
        <f>D6-D7</f>
        <v>-153453</v>
      </c>
      <c r="E8" s="410">
        <f>E6-E7</f>
        <v>1195236</v>
      </c>
      <c r="F8" s="411"/>
    </row>
    <row r="9" spans="1:7" x14ac:dyDescent="0.2">
      <c r="A9" s="402" t="s">
        <v>533</v>
      </c>
      <c r="B9" s="403" t="s">
        <v>534</v>
      </c>
      <c r="C9" s="424">
        <v>162293</v>
      </c>
      <c r="D9" s="404">
        <v>173994</v>
      </c>
      <c r="E9" s="405">
        <f>SUM(C9:D9)</f>
        <v>336287</v>
      </c>
      <c r="F9" s="406">
        <f>E6+E9</f>
        <v>2530689</v>
      </c>
      <c r="G9" s="406">
        <f>F9-G6</f>
        <v>2277758</v>
      </c>
    </row>
    <row r="10" spans="1:7" x14ac:dyDescent="0.2">
      <c r="A10" s="402" t="s">
        <v>535</v>
      </c>
      <c r="B10" s="403" t="s">
        <v>536</v>
      </c>
      <c r="C10" s="424">
        <v>184852</v>
      </c>
      <c r="D10" s="404">
        <v>0</v>
      </c>
      <c r="E10" s="405">
        <f>SUM(C10:D10)</f>
        <v>184852</v>
      </c>
      <c r="F10" s="406">
        <f>E7+E10</f>
        <v>1184018</v>
      </c>
      <c r="G10" s="406">
        <f>F10-G7</f>
        <v>931087</v>
      </c>
    </row>
    <row r="11" spans="1:7" ht="14.25" customHeight="1" x14ac:dyDescent="0.2">
      <c r="A11" s="407" t="s">
        <v>537</v>
      </c>
      <c r="B11" s="408" t="s">
        <v>538</v>
      </c>
      <c r="C11" s="422">
        <f>C9-C10</f>
        <v>-22559</v>
      </c>
      <c r="D11" s="409">
        <f>D9-D10</f>
        <v>173994</v>
      </c>
      <c r="E11" s="410">
        <f>E9-E10</f>
        <v>151435</v>
      </c>
    </row>
    <row r="12" spans="1:7" x14ac:dyDescent="0.2">
      <c r="A12" s="407" t="s">
        <v>539</v>
      </c>
      <c r="B12" s="408" t="s">
        <v>540</v>
      </c>
      <c r="C12" s="422">
        <f>C8+C11</f>
        <v>1326130</v>
      </c>
      <c r="D12" s="409">
        <f>D8+D11</f>
        <v>20541</v>
      </c>
      <c r="E12" s="410">
        <f>E8+E11</f>
        <v>1346671</v>
      </c>
    </row>
    <row r="13" spans="1:7" x14ac:dyDescent="0.2">
      <c r="A13" s="407">
        <v>15</v>
      </c>
      <c r="B13" s="408" t="s">
        <v>541</v>
      </c>
      <c r="C13" s="422">
        <f>C12</f>
        <v>1326130</v>
      </c>
      <c r="D13" s="409">
        <f>D12</f>
        <v>20541</v>
      </c>
      <c r="E13" s="410">
        <f>E12</f>
        <v>1346671</v>
      </c>
    </row>
    <row r="14" spans="1:7" ht="25.5" hidden="1" x14ac:dyDescent="0.2">
      <c r="A14" s="407" t="s">
        <v>542</v>
      </c>
      <c r="B14" s="408" t="s">
        <v>543</v>
      </c>
      <c r="C14" s="525">
        <v>0</v>
      </c>
      <c r="D14" s="412">
        <v>0</v>
      </c>
      <c r="E14" s="413">
        <f>SUM(C14:D14)</f>
        <v>0</v>
      </c>
    </row>
    <row r="15" spans="1:7" ht="13.5" thickBot="1" x14ac:dyDescent="0.25">
      <c r="A15" s="414">
        <v>17</v>
      </c>
      <c r="B15" s="415" t="s">
        <v>544</v>
      </c>
      <c r="C15" s="526">
        <f>C12-C14</f>
        <v>1326130</v>
      </c>
      <c r="D15" s="416">
        <f>D12-D14</f>
        <v>20541</v>
      </c>
      <c r="E15" s="417">
        <f>E12-E14</f>
        <v>1346671</v>
      </c>
    </row>
  </sheetData>
  <mergeCells count="2">
    <mergeCell ref="A2:E2"/>
    <mergeCell ref="A3:E3"/>
  </mergeCells>
  <pageMargins left="0.7" right="0.7" top="0.75" bottom="0.75" header="0.3" footer="0.3"/>
  <pageSetup paperSize="9" scale="9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82"/>
  <sheetViews>
    <sheetView topLeftCell="A13" zoomScaleNormal="100" workbookViewId="0">
      <selection activeCell="F19" sqref="F19"/>
    </sheetView>
  </sheetViews>
  <sheetFormatPr defaultRowHeight="12.75" x14ac:dyDescent="0.2"/>
  <cols>
    <col min="1" max="1" width="0.28515625" style="392" customWidth="1"/>
    <col min="2" max="2" width="8.140625" style="392" customWidth="1"/>
    <col min="3" max="3" width="78.5703125" style="392" customWidth="1"/>
    <col min="4" max="4" width="13.42578125" style="392" customWidth="1"/>
    <col min="5" max="5" width="14.140625" style="392" customWidth="1"/>
    <col min="6" max="6" width="12.42578125" style="392" customWidth="1"/>
    <col min="7" max="16384" width="9.140625" style="392"/>
  </cols>
  <sheetData>
    <row r="1" spans="2:8" x14ac:dyDescent="0.2">
      <c r="F1" s="393" t="s">
        <v>500</v>
      </c>
    </row>
    <row r="2" spans="2:8" ht="19.5" x14ac:dyDescent="0.35">
      <c r="B2" s="932" t="s">
        <v>27</v>
      </c>
      <c r="C2" s="940"/>
      <c r="D2" s="940"/>
      <c r="E2" s="940"/>
      <c r="F2" s="940"/>
      <c r="G2" s="91"/>
      <c r="H2" s="91"/>
    </row>
    <row r="3" spans="2:8" ht="19.5" x14ac:dyDescent="0.35">
      <c r="B3" s="932" t="s">
        <v>734</v>
      </c>
      <c r="C3" s="940"/>
      <c r="D3" s="940"/>
      <c r="E3" s="940"/>
      <c r="F3" s="940"/>
      <c r="G3" s="91"/>
      <c r="H3" s="91"/>
    </row>
    <row r="4" spans="2:8" x14ac:dyDescent="0.2">
      <c r="F4" s="393"/>
    </row>
    <row r="5" spans="2:8" x14ac:dyDescent="0.2">
      <c r="F5" s="393" t="s">
        <v>744</v>
      </c>
    </row>
    <row r="6" spans="2:8" s="397" customFormat="1" ht="31.5" x14ac:dyDescent="0.2">
      <c r="B6" s="418"/>
      <c r="C6" s="419" t="s">
        <v>74</v>
      </c>
      <c r="D6" s="419" t="s">
        <v>546</v>
      </c>
      <c r="E6" s="418" t="s">
        <v>547</v>
      </c>
      <c r="F6" s="418" t="s">
        <v>548</v>
      </c>
    </row>
    <row r="7" spans="2:8" hidden="1" x14ac:dyDescent="0.2">
      <c r="B7" s="420" t="s">
        <v>527</v>
      </c>
      <c r="C7" s="403" t="s">
        <v>549</v>
      </c>
      <c r="D7" s="404">
        <v>0</v>
      </c>
      <c r="E7" s="404">
        <v>0</v>
      </c>
      <c r="F7" s="404">
        <v>0</v>
      </c>
    </row>
    <row r="8" spans="2:8" hidden="1" x14ac:dyDescent="0.2">
      <c r="B8" s="420" t="s">
        <v>529</v>
      </c>
      <c r="C8" s="403" t="s">
        <v>550</v>
      </c>
      <c r="D8" s="404">
        <v>71</v>
      </c>
      <c r="E8" s="404">
        <v>0</v>
      </c>
      <c r="F8" s="404">
        <v>34</v>
      </c>
    </row>
    <row r="9" spans="2:8" x14ac:dyDescent="0.2">
      <c r="B9" s="420" t="s">
        <v>527</v>
      </c>
      <c r="C9" s="403" t="s">
        <v>551</v>
      </c>
      <c r="D9" s="404">
        <v>292</v>
      </c>
      <c r="E9" s="404">
        <f>E7+E8</f>
        <v>0</v>
      </c>
      <c r="F9" s="404">
        <v>812</v>
      </c>
    </row>
    <row r="10" spans="2:8" hidden="1" x14ac:dyDescent="0.2">
      <c r="B10" s="420" t="s">
        <v>535</v>
      </c>
      <c r="C10" s="403" t="s">
        <v>552</v>
      </c>
      <c r="D10" s="404">
        <v>453294</v>
      </c>
      <c r="E10" s="404">
        <v>0</v>
      </c>
      <c r="F10" s="404">
        <v>456355</v>
      </c>
    </row>
    <row r="11" spans="2:8" hidden="1" x14ac:dyDescent="0.2">
      <c r="B11" s="420" t="s">
        <v>537</v>
      </c>
      <c r="C11" s="403" t="s">
        <v>553</v>
      </c>
      <c r="D11" s="404">
        <v>20376</v>
      </c>
      <c r="E11" s="404">
        <v>0</v>
      </c>
      <c r="F11" s="404">
        <v>0</v>
      </c>
    </row>
    <row r="12" spans="2:8" hidden="1" x14ac:dyDescent="0.2">
      <c r="B12" s="420" t="s">
        <v>554</v>
      </c>
      <c r="C12" s="403" t="s">
        <v>555</v>
      </c>
      <c r="D12" s="404">
        <v>0</v>
      </c>
      <c r="E12" s="404">
        <v>0</v>
      </c>
      <c r="F12" s="404">
        <v>0</v>
      </c>
    </row>
    <row r="13" spans="2:8" x14ac:dyDescent="0.2">
      <c r="B13" s="420" t="s">
        <v>529</v>
      </c>
      <c r="C13" s="403" t="s">
        <v>556</v>
      </c>
      <c r="D13" s="404">
        <v>4808307</v>
      </c>
      <c r="E13" s="404">
        <f>E10+E11+E12</f>
        <v>0</v>
      </c>
      <c r="F13" s="404">
        <v>4824355</v>
      </c>
    </row>
    <row r="14" spans="2:8" hidden="1" x14ac:dyDescent="0.2">
      <c r="B14" s="420" t="s">
        <v>557</v>
      </c>
      <c r="C14" s="403" t="s">
        <v>558</v>
      </c>
      <c r="D14" s="404">
        <v>0</v>
      </c>
      <c r="E14" s="404">
        <v>0</v>
      </c>
      <c r="F14" s="404">
        <v>0</v>
      </c>
    </row>
    <row r="15" spans="2:8" hidden="1" x14ac:dyDescent="0.2">
      <c r="B15" s="420" t="s">
        <v>559</v>
      </c>
      <c r="C15" s="403" t="s">
        <v>560</v>
      </c>
      <c r="D15" s="404">
        <v>0</v>
      </c>
      <c r="E15" s="404">
        <v>0</v>
      </c>
      <c r="F15" s="404">
        <v>0</v>
      </c>
    </row>
    <row r="16" spans="2:8" hidden="1" x14ac:dyDescent="0.2">
      <c r="B16" s="420" t="s">
        <v>561</v>
      </c>
      <c r="C16" s="403" t="s">
        <v>562</v>
      </c>
      <c r="D16" s="404">
        <v>0</v>
      </c>
      <c r="E16" s="404">
        <v>0</v>
      </c>
      <c r="F16" s="404">
        <v>0</v>
      </c>
    </row>
    <row r="17" spans="2:6" hidden="1" x14ac:dyDescent="0.2">
      <c r="B17" s="420">
        <v>17</v>
      </c>
      <c r="C17" s="403" t="s">
        <v>563</v>
      </c>
      <c r="D17" s="404">
        <v>0</v>
      </c>
      <c r="E17" s="404">
        <v>0</v>
      </c>
      <c r="F17" s="404">
        <v>0</v>
      </c>
    </row>
    <row r="18" spans="2:6" x14ac:dyDescent="0.2">
      <c r="B18" s="420" t="s">
        <v>535</v>
      </c>
      <c r="C18" s="403" t="s">
        <v>564</v>
      </c>
      <c r="D18" s="404">
        <v>196666</v>
      </c>
      <c r="E18" s="404">
        <f>E14+E17</f>
        <v>0</v>
      </c>
      <c r="F18" s="404">
        <v>196506</v>
      </c>
    </row>
    <row r="19" spans="2:6" x14ac:dyDescent="0.2">
      <c r="B19" s="421" t="s">
        <v>535</v>
      </c>
      <c r="C19" s="408" t="s">
        <v>565</v>
      </c>
      <c r="D19" s="409">
        <f>D9+D13+D18</f>
        <v>5005265</v>
      </c>
      <c r="E19" s="409">
        <f>E9+E13+E18</f>
        <v>0</v>
      </c>
      <c r="F19" s="409">
        <f>F9+F13+F18</f>
        <v>5021673</v>
      </c>
    </row>
    <row r="20" spans="2:6" hidden="1" x14ac:dyDescent="0.2">
      <c r="C20" s="403" t="s">
        <v>566</v>
      </c>
      <c r="D20" s="404">
        <v>945</v>
      </c>
      <c r="E20" s="404">
        <v>0</v>
      </c>
      <c r="F20" s="404">
        <v>881</v>
      </c>
    </row>
    <row r="21" spans="2:6" x14ac:dyDescent="0.2">
      <c r="B21" s="420" t="s">
        <v>539</v>
      </c>
      <c r="C21" s="403" t="s">
        <v>754</v>
      </c>
      <c r="D21" s="404">
        <v>0</v>
      </c>
      <c r="E21" s="404">
        <f t="shared" ref="D21:F22" si="0">E20</f>
        <v>0</v>
      </c>
      <c r="F21" s="404">
        <v>160</v>
      </c>
    </row>
    <row r="22" spans="2:6" x14ac:dyDescent="0.2">
      <c r="B22" s="421" t="s">
        <v>554</v>
      </c>
      <c r="C22" s="408" t="s">
        <v>567</v>
      </c>
      <c r="D22" s="409">
        <f t="shared" si="0"/>
        <v>0</v>
      </c>
      <c r="E22" s="409">
        <f t="shared" si="0"/>
        <v>0</v>
      </c>
      <c r="F22" s="409">
        <f t="shared" si="0"/>
        <v>160</v>
      </c>
    </row>
    <row r="23" spans="2:6" hidden="1" x14ac:dyDescent="0.2">
      <c r="B23" s="420">
        <v>44</v>
      </c>
      <c r="C23" s="403" t="s">
        <v>568</v>
      </c>
      <c r="D23" s="404">
        <v>0</v>
      </c>
      <c r="E23" s="404">
        <v>0</v>
      </c>
      <c r="F23" s="404">
        <v>0</v>
      </c>
    </row>
    <row r="24" spans="2:6" hidden="1" x14ac:dyDescent="0.2">
      <c r="B24" s="421">
        <v>46</v>
      </c>
      <c r="C24" s="408" t="s">
        <v>569</v>
      </c>
      <c r="D24" s="409">
        <f>D23</f>
        <v>0</v>
      </c>
      <c r="E24" s="409">
        <f>E23</f>
        <v>0</v>
      </c>
      <c r="F24" s="409">
        <f>F23</f>
        <v>0</v>
      </c>
    </row>
    <row r="25" spans="2:6" hidden="1" x14ac:dyDescent="0.2">
      <c r="B25" s="420">
        <v>10</v>
      </c>
      <c r="C25" s="403" t="s">
        <v>570</v>
      </c>
      <c r="D25" s="404">
        <v>568</v>
      </c>
      <c r="E25" s="404">
        <v>0</v>
      </c>
      <c r="F25" s="404">
        <v>959</v>
      </c>
    </row>
    <row r="26" spans="2:6" x14ac:dyDescent="0.2">
      <c r="B26" s="420">
        <v>10</v>
      </c>
      <c r="C26" s="403" t="s">
        <v>571</v>
      </c>
      <c r="D26" s="404">
        <v>245</v>
      </c>
      <c r="E26" s="404">
        <f>E25</f>
        <v>0</v>
      </c>
      <c r="F26" s="404">
        <v>187</v>
      </c>
    </row>
    <row r="27" spans="2:6" x14ac:dyDescent="0.2">
      <c r="B27" s="420">
        <v>11</v>
      </c>
      <c r="C27" s="403" t="s">
        <v>745</v>
      </c>
      <c r="D27" s="404">
        <v>158112</v>
      </c>
      <c r="E27" s="404">
        <v>0</v>
      </c>
      <c r="F27" s="404">
        <v>1349783</v>
      </c>
    </row>
    <row r="28" spans="2:6" hidden="1" x14ac:dyDescent="0.2">
      <c r="B28" s="421">
        <v>12</v>
      </c>
      <c r="C28" s="408" t="s">
        <v>572</v>
      </c>
      <c r="D28" s="409">
        <f>D27</f>
        <v>158112</v>
      </c>
      <c r="E28" s="409">
        <f>E27</f>
        <v>0</v>
      </c>
      <c r="F28" s="409">
        <f>F27</f>
        <v>1349783</v>
      </c>
    </row>
    <row r="29" spans="2:6" x14ac:dyDescent="0.2">
      <c r="B29" s="421">
        <v>12</v>
      </c>
      <c r="C29" s="408" t="s">
        <v>573</v>
      </c>
      <c r="D29" s="409">
        <f>D26+D28+D24</f>
        <v>158357</v>
      </c>
      <c r="E29" s="409">
        <f>E26+E28+E24</f>
        <v>0</v>
      </c>
      <c r="F29" s="409">
        <f>F26+F28+F24</f>
        <v>1349970</v>
      </c>
    </row>
    <row r="30" spans="2:6" hidden="1" x14ac:dyDescent="0.2">
      <c r="B30" s="420">
        <v>62</v>
      </c>
      <c r="C30" s="403" t="s">
        <v>574</v>
      </c>
      <c r="D30" s="404">
        <v>0</v>
      </c>
      <c r="E30" s="404">
        <v>0</v>
      </c>
      <c r="F30" s="404">
        <v>0</v>
      </c>
    </row>
    <row r="31" spans="2:6" hidden="1" x14ac:dyDescent="0.2">
      <c r="B31" s="420">
        <v>66</v>
      </c>
      <c r="C31" s="403" t="s">
        <v>575</v>
      </c>
      <c r="D31" s="404">
        <v>0</v>
      </c>
      <c r="E31" s="404">
        <v>0</v>
      </c>
      <c r="F31" s="404">
        <v>0</v>
      </c>
    </row>
    <row r="32" spans="2:6" hidden="1" x14ac:dyDescent="0.2">
      <c r="B32" s="420">
        <v>67</v>
      </c>
      <c r="C32" s="403" t="s">
        <v>576</v>
      </c>
      <c r="D32" s="404">
        <v>0</v>
      </c>
      <c r="E32" s="404">
        <v>0</v>
      </c>
      <c r="F32" s="404">
        <v>0</v>
      </c>
    </row>
    <row r="33" spans="2:6" hidden="1" x14ac:dyDescent="0.2">
      <c r="B33" s="420">
        <v>68</v>
      </c>
      <c r="C33" s="403" t="s">
        <v>577</v>
      </c>
      <c r="D33" s="404">
        <v>0</v>
      </c>
      <c r="E33" s="404">
        <v>0</v>
      </c>
      <c r="F33" s="404">
        <v>0</v>
      </c>
    </row>
    <row r="34" spans="2:6" hidden="1" x14ac:dyDescent="0.2">
      <c r="B34" s="420" t="s">
        <v>578</v>
      </c>
      <c r="C34" s="403" t="s">
        <v>579</v>
      </c>
      <c r="D34" s="404">
        <v>0</v>
      </c>
      <c r="E34" s="404">
        <v>0</v>
      </c>
      <c r="F34" s="404">
        <v>0</v>
      </c>
    </row>
    <row r="35" spans="2:6" ht="25.5" hidden="1" x14ac:dyDescent="0.2">
      <c r="B35" s="423">
        <v>70</v>
      </c>
      <c r="C35" s="403" t="s">
        <v>746</v>
      </c>
      <c r="D35" s="412">
        <v>0</v>
      </c>
      <c r="E35" s="412">
        <v>0</v>
      </c>
      <c r="F35" s="412">
        <v>0</v>
      </c>
    </row>
    <row r="36" spans="2:6" hidden="1" x14ac:dyDescent="0.2">
      <c r="B36" s="420">
        <v>73</v>
      </c>
      <c r="C36" s="403" t="s">
        <v>580</v>
      </c>
      <c r="D36" s="404">
        <v>0</v>
      </c>
      <c r="E36" s="404">
        <v>0</v>
      </c>
      <c r="F36" s="404">
        <v>0</v>
      </c>
    </row>
    <row r="37" spans="2:6" hidden="1" x14ac:dyDescent="0.2">
      <c r="B37" s="420">
        <v>78</v>
      </c>
      <c r="C37" s="403" t="s">
        <v>581</v>
      </c>
      <c r="D37" s="404">
        <v>0</v>
      </c>
      <c r="E37" s="404">
        <v>0</v>
      </c>
      <c r="F37" s="404">
        <v>0</v>
      </c>
    </row>
    <row r="38" spans="2:6" hidden="1" x14ac:dyDescent="0.2">
      <c r="B38" s="420">
        <v>79</v>
      </c>
      <c r="C38" s="403" t="s">
        <v>582</v>
      </c>
      <c r="D38" s="404">
        <v>0</v>
      </c>
      <c r="E38" s="404">
        <v>0</v>
      </c>
      <c r="F38" s="404">
        <v>0</v>
      </c>
    </row>
    <row r="39" spans="2:6" hidden="1" x14ac:dyDescent="0.2">
      <c r="B39" s="420">
        <v>81</v>
      </c>
      <c r="C39" s="403" t="s">
        <v>583</v>
      </c>
      <c r="D39" s="404">
        <v>0</v>
      </c>
      <c r="E39" s="404">
        <v>0</v>
      </c>
      <c r="F39" s="404">
        <v>0</v>
      </c>
    </row>
    <row r="40" spans="2:6" ht="25.5" hidden="1" x14ac:dyDescent="0.2">
      <c r="B40" s="423">
        <v>85</v>
      </c>
      <c r="C40" s="403" t="s">
        <v>747</v>
      </c>
      <c r="D40" s="412">
        <v>0</v>
      </c>
      <c r="E40" s="412">
        <v>0</v>
      </c>
      <c r="F40" s="412">
        <v>0</v>
      </c>
    </row>
    <row r="41" spans="2:6" ht="25.5" hidden="1" x14ac:dyDescent="0.2">
      <c r="B41" s="423">
        <v>92</v>
      </c>
      <c r="C41" s="403" t="s">
        <v>748</v>
      </c>
      <c r="D41" s="412">
        <v>0</v>
      </c>
      <c r="E41" s="412">
        <v>0</v>
      </c>
      <c r="F41" s="412">
        <v>0</v>
      </c>
    </row>
    <row r="42" spans="2:6" x14ac:dyDescent="0.2">
      <c r="B42" s="420">
        <v>13</v>
      </c>
      <c r="C42" s="403" t="s">
        <v>584</v>
      </c>
      <c r="D42" s="404">
        <v>25534</v>
      </c>
      <c r="E42" s="404">
        <f>E30+E34+E38+E40</f>
        <v>0</v>
      </c>
      <c r="F42" s="404">
        <v>42542</v>
      </c>
    </row>
    <row r="43" spans="2:6" ht="12.75" hidden="1" customHeight="1" x14ac:dyDescent="0.2">
      <c r="B43" s="420">
        <v>123</v>
      </c>
      <c r="C43" s="403" t="s">
        <v>585</v>
      </c>
      <c r="D43" s="404">
        <v>0</v>
      </c>
      <c r="E43" s="404">
        <v>0</v>
      </c>
      <c r="F43" s="404">
        <v>0</v>
      </c>
    </row>
    <row r="44" spans="2:6" hidden="1" x14ac:dyDescent="0.2">
      <c r="B44" s="420">
        <v>125</v>
      </c>
      <c r="C44" s="403" t="s">
        <v>586</v>
      </c>
      <c r="D44" s="404">
        <v>0</v>
      </c>
      <c r="E44" s="404">
        <v>0</v>
      </c>
      <c r="F44" s="404">
        <v>0</v>
      </c>
    </row>
    <row r="45" spans="2:6" x14ac:dyDescent="0.2">
      <c r="B45" s="420">
        <v>14</v>
      </c>
      <c r="C45" s="403" t="s">
        <v>587</v>
      </c>
      <c r="D45" s="404">
        <v>4768</v>
      </c>
      <c r="E45" s="404">
        <f>E43</f>
        <v>0</v>
      </c>
      <c r="F45" s="404">
        <v>53571</v>
      </c>
    </row>
    <row r="46" spans="2:6" hidden="1" x14ac:dyDescent="0.2">
      <c r="B46" s="420">
        <v>142</v>
      </c>
      <c r="C46" s="403" t="s">
        <v>588</v>
      </c>
      <c r="D46" s="404">
        <v>0</v>
      </c>
      <c r="E46" s="404">
        <v>0</v>
      </c>
      <c r="F46" s="404">
        <v>0</v>
      </c>
    </row>
    <row r="47" spans="2:6" hidden="1" x14ac:dyDescent="0.2">
      <c r="B47" s="420">
        <v>147</v>
      </c>
      <c r="C47" s="403" t="s">
        <v>589</v>
      </c>
      <c r="D47" s="404">
        <v>0</v>
      </c>
      <c r="E47" s="404">
        <v>0</v>
      </c>
      <c r="F47" s="404">
        <v>0</v>
      </c>
    </row>
    <row r="48" spans="2:6" hidden="1" x14ac:dyDescent="0.2">
      <c r="B48" s="420">
        <v>152</v>
      </c>
      <c r="C48" s="403" t="s">
        <v>590</v>
      </c>
      <c r="D48" s="404">
        <v>0</v>
      </c>
      <c r="E48" s="404">
        <v>0</v>
      </c>
      <c r="F48" s="404">
        <v>0</v>
      </c>
    </row>
    <row r="49" spans="2:6" x14ac:dyDescent="0.2">
      <c r="B49" s="420">
        <v>15</v>
      </c>
      <c r="C49" s="403" t="s">
        <v>591</v>
      </c>
      <c r="D49" s="404">
        <v>663</v>
      </c>
      <c r="E49" s="404">
        <f>E46+E48</f>
        <v>0</v>
      </c>
      <c r="F49" s="404">
        <v>533</v>
      </c>
    </row>
    <row r="50" spans="2:6" x14ac:dyDescent="0.2">
      <c r="B50" s="421">
        <v>16</v>
      </c>
      <c r="C50" s="408" t="s">
        <v>592</v>
      </c>
      <c r="D50" s="409">
        <f>D42+D45+D49</f>
        <v>30965</v>
      </c>
      <c r="E50" s="409">
        <f>E42+E45+E49</f>
        <v>0</v>
      </c>
      <c r="F50" s="409">
        <f>F42+F45+F49</f>
        <v>96646</v>
      </c>
    </row>
    <row r="51" spans="2:6" hidden="1" x14ac:dyDescent="0.2">
      <c r="B51" s="420">
        <v>161</v>
      </c>
      <c r="C51" s="403" t="s">
        <v>593</v>
      </c>
      <c r="D51" s="404">
        <v>0</v>
      </c>
      <c r="E51" s="404">
        <v>0</v>
      </c>
      <c r="F51" s="404">
        <v>1155</v>
      </c>
    </row>
    <row r="52" spans="2:6" hidden="1" x14ac:dyDescent="0.2">
      <c r="B52" s="421">
        <v>164</v>
      </c>
      <c r="C52" s="408" t="s">
        <v>594</v>
      </c>
      <c r="D52" s="409">
        <f>SUM(D51)</f>
        <v>0</v>
      </c>
      <c r="E52" s="409">
        <f>SUM(E51)</f>
        <v>0</v>
      </c>
      <c r="F52" s="409">
        <f>SUM(F51)</f>
        <v>1155</v>
      </c>
    </row>
    <row r="53" spans="2:6" hidden="1" x14ac:dyDescent="0.2">
      <c r="B53" s="420">
        <v>166</v>
      </c>
      <c r="C53" s="403" t="s">
        <v>595</v>
      </c>
      <c r="D53" s="404">
        <v>0</v>
      </c>
      <c r="E53" s="404">
        <v>0</v>
      </c>
      <c r="F53" s="404">
        <v>0</v>
      </c>
    </row>
    <row r="54" spans="2:6" hidden="1" x14ac:dyDescent="0.2">
      <c r="B54" s="421">
        <v>167</v>
      </c>
      <c r="C54" s="408" t="s">
        <v>596</v>
      </c>
      <c r="D54" s="409">
        <f>SUM(D53)</f>
        <v>0</v>
      </c>
      <c r="E54" s="409">
        <f>SUM(E53)</f>
        <v>0</v>
      </c>
      <c r="F54" s="409">
        <f>SUM(F53)</f>
        <v>0</v>
      </c>
    </row>
    <row r="55" spans="2:6" hidden="1" x14ac:dyDescent="0.2">
      <c r="B55" s="420">
        <v>168</v>
      </c>
      <c r="C55" s="403" t="s">
        <v>597</v>
      </c>
      <c r="D55" s="404">
        <v>0</v>
      </c>
      <c r="E55" s="404">
        <v>0</v>
      </c>
      <c r="F55" s="404">
        <v>0</v>
      </c>
    </row>
    <row r="56" spans="2:6" ht="25.5" hidden="1" x14ac:dyDescent="0.2">
      <c r="B56" s="420">
        <v>169</v>
      </c>
      <c r="C56" s="403" t="s">
        <v>598</v>
      </c>
      <c r="D56" s="412">
        <v>0</v>
      </c>
      <c r="E56" s="412">
        <v>0</v>
      </c>
      <c r="F56" s="412">
        <v>0</v>
      </c>
    </row>
    <row r="57" spans="2:6" hidden="1" x14ac:dyDescent="0.2">
      <c r="B57" s="421">
        <v>170</v>
      </c>
      <c r="C57" s="408" t="s">
        <v>599</v>
      </c>
      <c r="D57" s="409">
        <f>D56+D55</f>
        <v>0</v>
      </c>
      <c r="E57" s="409">
        <f>E56+E55</f>
        <v>0</v>
      </c>
      <c r="F57" s="409">
        <f>F56+F55</f>
        <v>0</v>
      </c>
    </row>
    <row r="58" spans="2:6" x14ac:dyDescent="0.2">
      <c r="B58" s="421">
        <v>17</v>
      </c>
      <c r="C58" s="408" t="s">
        <v>749</v>
      </c>
      <c r="D58" s="409">
        <v>1051</v>
      </c>
      <c r="E58" s="409">
        <f>E52+E54+E57</f>
        <v>0</v>
      </c>
      <c r="F58" s="409">
        <f>F52+F54+F57</f>
        <v>1155</v>
      </c>
    </row>
    <row r="59" spans="2:6" hidden="1" x14ac:dyDescent="0.2">
      <c r="B59" s="420">
        <v>172</v>
      </c>
      <c r="C59" s="403" t="s">
        <v>600</v>
      </c>
      <c r="D59" s="404">
        <v>0</v>
      </c>
      <c r="E59" s="404">
        <v>0</v>
      </c>
      <c r="F59" s="404">
        <v>0</v>
      </c>
    </row>
    <row r="60" spans="2:6" hidden="1" x14ac:dyDescent="0.2">
      <c r="B60" s="420">
        <v>173</v>
      </c>
      <c r="C60" s="403" t="s">
        <v>601</v>
      </c>
      <c r="D60" s="404">
        <v>0</v>
      </c>
      <c r="E60" s="404">
        <v>0</v>
      </c>
      <c r="F60" s="404">
        <v>0</v>
      </c>
    </row>
    <row r="61" spans="2:6" x14ac:dyDescent="0.2">
      <c r="B61" s="421">
        <v>18</v>
      </c>
      <c r="C61" s="408" t="s">
        <v>602</v>
      </c>
      <c r="D61" s="422">
        <v>101</v>
      </c>
      <c r="E61" s="409">
        <f>E59+E60</f>
        <v>0</v>
      </c>
      <c r="F61" s="422">
        <f>F59+F60</f>
        <v>0</v>
      </c>
    </row>
    <row r="62" spans="2:6" x14ac:dyDescent="0.2">
      <c r="B62" s="421">
        <v>19</v>
      </c>
      <c r="C62" s="408" t="s">
        <v>603</v>
      </c>
      <c r="D62" s="422">
        <f>D19+D22+D29+D50+D58+D61</f>
        <v>5195739</v>
      </c>
      <c r="E62" s="409">
        <f>E19+E22+E29+E50+E57+E61</f>
        <v>0</v>
      </c>
      <c r="F62" s="422">
        <f>F19+F22+F29+F50+F58+F61</f>
        <v>6469604</v>
      </c>
    </row>
    <row r="63" spans="2:6" x14ac:dyDescent="0.2">
      <c r="B63" s="420">
        <v>20</v>
      </c>
      <c r="C63" s="403" t="s">
        <v>750</v>
      </c>
      <c r="D63" s="424">
        <v>5004269</v>
      </c>
      <c r="E63" s="424">
        <v>0</v>
      </c>
      <c r="F63" s="424">
        <v>5397196</v>
      </c>
    </row>
    <row r="64" spans="2:6" x14ac:dyDescent="0.2">
      <c r="B64" s="420">
        <v>181</v>
      </c>
      <c r="C64" s="403" t="s">
        <v>604</v>
      </c>
      <c r="D64" s="424">
        <v>410107</v>
      </c>
      <c r="E64" s="424">
        <v>0</v>
      </c>
      <c r="F64" s="424">
        <v>0</v>
      </c>
    </row>
    <row r="65" spans="2:6" x14ac:dyDescent="0.2">
      <c r="B65" s="420">
        <v>21</v>
      </c>
      <c r="C65" s="403" t="s">
        <v>605</v>
      </c>
      <c r="D65" s="424">
        <v>-871417</v>
      </c>
      <c r="E65" s="424">
        <v>0</v>
      </c>
      <c r="F65" s="424">
        <v>-799071</v>
      </c>
    </row>
    <row r="66" spans="2:6" x14ac:dyDescent="0.2">
      <c r="B66" s="420">
        <v>23</v>
      </c>
      <c r="C66" s="403" t="s">
        <v>606</v>
      </c>
      <c r="D66" s="424">
        <v>55541</v>
      </c>
      <c r="E66" s="424">
        <v>0</v>
      </c>
      <c r="F66" s="424">
        <v>113006</v>
      </c>
    </row>
    <row r="67" spans="2:6" x14ac:dyDescent="0.2">
      <c r="B67" s="421">
        <v>24</v>
      </c>
      <c r="C67" s="408" t="s">
        <v>607</v>
      </c>
      <c r="D67" s="422">
        <f>D63+D64+D65+D66</f>
        <v>4598500</v>
      </c>
      <c r="E67" s="422">
        <f>E63+E64+E65+E66</f>
        <v>0</v>
      </c>
      <c r="F67" s="422">
        <f>F63+F64+F65+F66</f>
        <v>4711131</v>
      </c>
    </row>
    <row r="68" spans="2:6" hidden="1" x14ac:dyDescent="0.2">
      <c r="B68" s="420">
        <v>189</v>
      </c>
      <c r="C68" s="403" t="s">
        <v>751</v>
      </c>
      <c r="D68" s="424">
        <v>0</v>
      </c>
      <c r="E68" s="404">
        <v>0</v>
      </c>
      <c r="F68" s="424">
        <v>0</v>
      </c>
    </row>
    <row r="69" spans="2:6" hidden="1" x14ac:dyDescent="0.2">
      <c r="B69" s="420">
        <v>190</v>
      </c>
      <c r="C69" s="403" t="s">
        <v>752</v>
      </c>
      <c r="D69" s="404">
        <v>0</v>
      </c>
      <c r="E69" s="404">
        <v>0</v>
      </c>
      <c r="F69" s="404">
        <v>0</v>
      </c>
    </row>
    <row r="70" spans="2:6" hidden="1" x14ac:dyDescent="0.2">
      <c r="B70" s="420">
        <v>186</v>
      </c>
      <c r="C70" s="403" t="s">
        <v>608</v>
      </c>
      <c r="D70" s="404">
        <v>0</v>
      </c>
      <c r="E70" s="404">
        <v>0</v>
      </c>
      <c r="F70" s="404">
        <v>0</v>
      </c>
    </row>
    <row r="71" spans="2:6" hidden="1" x14ac:dyDescent="0.2">
      <c r="B71" s="421" t="s">
        <v>753</v>
      </c>
      <c r="C71" s="408" t="s">
        <v>609</v>
      </c>
      <c r="D71" s="409">
        <f>D69+D68+D70</f>
        <v>0</v>
      </c>
      <c r="E71" s="409">
        <f>E69+E68+E70</f>
        <v>0</v>
      </c>
      <c r="F71" s="409">
        <f>F69+F68+F70</f>
        <v>0</v>
      </c>
    </row>
    <row r="72" spans="2:6" ht="25.5" hidden="1" x14ac:dyDescent="0.2">
      <c r="B72" s="423">
        <v>225</v>
      </c>
      <c r="C72" s="403" t="s">
        <v>610</v>
      </c>
      <c r="D72" s="412">
        <v>0</v>
      </c>
      <c r="E72" s="412">
        <v>0</v>
      </c>
      <c r="F72" s="412">
        <v>0</v>
      </c>
    </row>
    <row r="73" spans="2:6" hidden="1" x14ac:dyDescent="0.2">
      <c r="B73" s="421">
        <v>236</v>
      </c>
      <c r="C73" s="408" t="s">
        <v>611</v>
      </c>
      <c r="D73" s="409">
        <f>D72</f>
        <v>0</v>
      </c>
      <c r="E73" s="409">
        <f>E72</f>
        <v>0</v>
      </c>
      <c r="F73" s="409">
        <f>F72</f>
        <v>0</v>
      </c>
    </row>
    <row r="74" spans="2:6" x14ac:dyDescent="0.2">
      <c r="B74" s="420">
        <v>25</v>
      </c>
      <c r="C74" s="403" t="s">
        <v>609</v>
      </c>
      <c r="D74" s="404">
        <v>63120</v>
      </c>
      <c r="E74" s="404">
        <v>0</v>
      </c>
      <c r="F74" s="404">
        <v>71</v>
      </c>
    </row>
    <row r="75" spans="2:6" hidden="1" x14ac:dyDescent="0.2">
      <c r="B75" s="420">
        <v>26</v>
      </c>
      <c r="C75" s="403" t="s">
        <v>612</v>
      </c>
      <c r="D75" s="404"/>
      <c r="E75" s="404"/>
      <c r="F75" s="404"/>
    </row>
    <row r="76" spans="2:6" x14ac:dyDescent="0.2">
      <c r="B76" s="420">
        <v>26</v>
      </c>
      <c r="C76" s="403" t="s">
        <v>611</v>
      </c>
      <c r="D76" s="404">
        <v>13583</v>
      </c>
      <c r="E76" s="404">
        <v>0</v>
      </c>
      <c r="F76" s="404">
        <v>77224</v>
      </c>
    </row>
    <row r="77" spans="2:6" x14ac:dyDescent="0.2">
      <c r="B77" s="420">
        <v>27</v>
      </c>
      <c r="C77" s="403" t="s">
        <v>613</v>
      </c>
      <c r="D77" s="404">
        <v>8782</v>
      </c>
      <c r="E77" s="404">
        <f>E74+E76</f>
        <v>0</v>
      </c>
      <c r="F77" s="404">
        <v>4988</v>
      </c>
    </row>
    <row r="78" spans="2:6" x14ac:dyDescent="0.2">
      <c r="B78" s="421">
        <v>28</v>
      </c>
      <c r="C78" s="408" t="s">
        <v>614</v>
      </c>
      <c r="D78" s="409">
        <f>D71+D77+D73+D74+D76</f>
        <v>85485</v>
      </c>
      <c r="E78" s="409">
        <f>E71+E77+E73+E74+E76</f>
        <v>0</v>
      </c>
      <c r="F78" s="409">
        <f>F71+F77+F73+F74+F76</f>
        <v>82283</v>
      </c>
    </row>
    <row r="79" spans="2:6" hidden="1" x14ac:dyDescent="0.2">
      <c r="B79" s="420">
        <v>251</v>
      </c>
      <c r="C79" s="403" t="s">
        <v>615</v>
      </c>
      <c r="D79" s="404">
        <v>28949</v>
      </c>
      <c r="E79" s="404">
        <v>0</v>
      </c>
      <c r="F79" s="404"/>
    </row>
    <row r="80" spans="2:6" hidden="1" x14ac:dyDescent="0.2">
      <c r="B80" s="420">
        <v>252</v>
      </c>
      <c r="C80" s="403" t="s">
        <v>616</v>
      </c>
      <c r="D80" s="404">
        <v>482805</v>
      </c>
      <c r="E80" s="404">
        <v>0</v>
      </c>
      <c r="F80" s="404">
        <v>1676190</v>
      </c>
    </row>
    <row r="81" spans="2:6" x14ac:dyDescent="0.2">
      <c r="B81" s="421">
        <v>30</v>
      </c>
      <c r="C81" s="408" t="s">
        <v>617</v>
      </c>
      <c r="D81" s="409">
        <f>D79+D80</f>
        <v>511754</v>
      </c>
      <c r="E81" s="409">
        <f>E79+E80</f>
        <v>0</v>
      </c>
      <c r="F81" s="409">
        <f>F79+F80</f>
        <v>1676190</v>
      </c>
    </row>
    <row r="82" spans="2:6" x14ac:dyDescent="0.2">
      <c r="B82" s="421">
        <v>31</v>
      </c>
      <c r="C82" s="408" t="s">
        <v>618</v>
      </c>
      <c r="D82" s="409">
        <f>D67+D78+D81</f>
        <v>5195739</v>
      </c>
      <c r="E82" s="409">
        <f>E67+E78+E81</f>
        <v>0</v>
      </c>
      <c r="F82" s="409">
        <f>F67+F78+F81</f>
        <v>6469604</v>
      </c>
    </row>
  </sheetData>
  <mergeCells count="2">
    <mergeCell ref="B2:F2"/>
    <mergeCell ref="B3:F3"/>
  </mergeCells>
  <pageMargins left="0.7" right="0.7" top="0.75" bottom="0.75" header="0.3" footer="0.3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6"/>
  <sheetViews>
    <sheetView topLeftCell="A7" zoomScaleNormal="100" workbookViewId="0">
      <selection activeCell="E32" sqref="E32"/>
    </sheetView>
  </sheetViews>
  <sheetFormatPr defaultRowHeight="12.75" x14ac:dyDescent="0.2"/>
  <cols>
    <col min="1" max="1" width="8.140625" customWidth="1"/>
    <col min="2" max="2" width="65.85546875" customWidth="1"/>
    <col min="3" max="5" width="16" customWidth="1"/>
    <col min="6" max="6" width="3.85546875" customWidth="1"/>
  </cols>
  <sheetData>
    <row r="1" spans="1:8" s="392" customFormat="1" x14ac:dyDescent="0.2">
      <c r="E1" s="393" t="s">
        <v>524</v>
      </c>
    </row>
    <row r="2" spans="1:8" s="392" customFormat="1" ht="19.5" x14ac:dyDescent="0.35">
      <c r="A2" s="932" t="s">
        <v>27</v>
      </c>
      <c r="B2" s="940"/>
      <c r="C2" s="940"/>
      <c r="D2" s="940"/>
      <c r="E2" s="940"/>
      <c r="F2" s="940"/>
      <c r="G2" s="91"/>
      <c r="H2" s="91"/>
    </row>
    <row r="3" spans="1:8" s="392" customFormat="1" ht="19.5" x14ac:dyDescent="0.35">
      <c r="A3" s="932" t="s">
        <v>735</v>
      </c>
      <c r="B3" s="940"/>
      <c r="C3" s="940"/>
      <c r="D3" s="940"/>
      <c r="E3" s="940"/>
      <c r="F3" s="940"/>
      <c r="G3" s="91"/>
      <c r="H3" s="91"/>
    </row>
    <row r="4" spans="1:8" ht="5.25" customHeight="1" x14ac:dyDescent="0.2"/>
    <row r="5" spans="1:8" ht="31.5" x14ac:dyDescent="0.2">
      <c r="A5" s="425"/>
      <c r="B5" s="426" t="s">
        <v>74</v>
      </c>
      <c r="C5" s="426" t="s">
        <v>546</v>
      </c>
      <c r="D5" s="426" t="s">
        <v>547</v>
      </c>
      <c r="E5" s="426" t="s">
        <v>548</v>
      </c>
    </row>
    <row r="6" spans="1:8" x14ac:dyDescent="0.2">
      <c r="A6" s="427" t="s">
        <v>527</v>
      </c>
      <c r="B6" s="428" t="s">
        <v>620</v>
      </c>
      <c r="C6" s="429">
        <v>376071</v>
      </c>
      <c r="D6" s="429">
        <v>0</v>
      </c>
      <c r="E6" s="429">
        <v>420997</v>
      </c>
    </row>
    <row r="7" spans="1:8" x14ac:dyDescent="0.2">
      <c r="A7" s="427" t="s">
        <v>529</v>
      </c>
      <c r="B7" s="428" t="s">
        <v>621</v>
      </c>
      <c r="C7" s="429">
        <v>10661</v>
      </c>
      <c r="D7" s="429">
        <v>0</v>
      </c>
      <c r="E7" s="429">
        <v>8508</v>
      </c>
    </row>
    <row r="8" spans="1:8" x14ac:dyDescent="0.2">
      <c r="A8" s="427" t="s">
        <v>531</v>
      </c>
      <c r="B8" s="428" t="s">
        <v>622</v>
      </c>
      <c r="C8" s="429">
        <v>20059</v>
      </c>
      <c r="D8" s="429">
        <v>0</v>
      </c>
      <c r="E8" s="429">
        <v>30058</v>
      </c>
    </row>
    <row r="9" spans="1:8" x14ac:dyDescent="0.2">
      <c r="A9" s="430" t="s">
        <v>533</v>
      </c>
      <c r="B9" s="431" t="s">
        <v>623</v>
      </c>
      <c r="C9" s="432">
        <f>SUM(C6:C8)</f>
        <v>406791</v>
      </c>
      <c r="D9" s="432">
        <f>SUM(D6:D8)</f>
        <v>0</v>
      </c>
      <c r="E9" s="432">
        <f>SUM(E6:E8)</f>
        <v>459563</v>
      </c>
    </row>
    <row r="10" spans="1:8" x14ac:dyDescent="0.2">
      <c r="A10" s="427" t="s">
        <v>554</v>
      </c>
      <c r="B10" s="428" t="s">
        <v>624</v>
      </c>
      <c r="C10" s="429">
        <v>689293</v>
      </c>
      <c r="D10" s="429">
        <v>0</v>
      </c>
      <c r="E10" s="429">
        <v>411244</v>
      </c>
    </row>
    <row r="11" spans="1:8" x14ac:dyDescent="0.2">
      <c r="A11" s="427" t="s">
        <v>542</v>
      </c>
      <c r="B11" s="428" t="s">
        <v>625</v>
      </c>
      <c r="C11" s="429">
        <v>19631</v>
      </c>
      <c r="D11" s="429">
        <v>0</v>
      </c>
      <c r="E11" s="429">
        <v>53204</v>
      </c>
    </row>
    <row r="12" spans="1:8" x14ac:dyDescent="0.2">
      <c r="A12" s="427">
        <v>10</v>
      </c>
      <c r="B12" s="428" t="s">
        <v>626</v>
      </c>
      <c r="C12" s="429">
        <v>6831</v>
      </c>
      <c r="D12" s="429">
        <v>0</v>
      </c>
      <c r="E12" s="429">
        <v>0</v>
      </c>
    </row>
    <row r="13" spans="1:8" x14ac:dyDescent="0.2">
      <c r="A13" s="427">
        <v>11</v>
      </c>
      <c r="B13" s="428" t="s">
        <v>627</v>
      </c>
      <c r="C13" s="429">
        <v>204957</v>
      </c>
      <c r="D13" s="429">
        <v>0</v>
      </c>
      <c r="E13" s="429">
        <v>164858</v>
      </c>
    </row>
    <row r="14" spans="1:8" x14ac:dyDescent="0.2">
      <c r="A14" s="430">
        <v>12</v>
      </c>
      <c r="B14" s="431" t="s">
        <v>628</v>
      </c>
      <c r="C14" s="433">
        <f>SUM(C10:C13)</f>
        <v>920712</v>
      </c>
      <c r="D14" s="432">
        <f>SUM(D10:D13)</f>
        <v>0</v>
      </c>
      <c r="E14" s="433">
        <f>SUM(E10:E13)</f>
        <v>629306</v>
      </c>
    </row>
    <row r="15" spans="1:8" x14ac:dyDescent="0.2">
      <c r="A15" s="427">
        <v>13</v>
      </c>
      <c r="B15" s="428" t="s">
        <v>629</v>
      </c>
      <c r="C15" s="429">
        <v>17806</v>
      </c>
      <c r="D15" s="429">
        <v>0</v>
      </c>
      <c r="E15" s="429">
        <v>6592</v>
      </c>
    </row>
    <row r="16" spans="1:8" x14ac:dyDescent="0.2">
      <c r="A16" s="427">
        <v>14</v>
      </c>
      <c r="B16" s="428" t="s">
        <v>630</v>
      </c>
      <c r="C16" s="429">
        <v>145978</v>
      </c>
      <c r="D16" s="429">
        <v>0</v>
      </c>
      <c r="E16" s="429">
        <v>125511</v>
      </c>
    </row>
    <row r="17" spans="1:5" hidden="1" x14ac:dyDescent="0.2">
      <c r="A17" s="427">
        <v>16</v>
      </c>
      <c r="B17" s="428" t="s">
        <v>631</v>
      </c>
      <c r="C17" s="429">
        <v>0</v>
      </c>
      <c r="D17" s="429">
        <v>0</v>
      </c>
      <c r="E17" s="429">
        <v>0</v>
      </c>
    </row>
    <row r="18" spans="1:5" x14ac:dyDescent="0.2">
      <c r="A18" s="430">
        <v>17</v>
      </c>
      <c r="B18" s="431" t="s">
        <v>632</v>
      </c>
      <c r="C18" s="432">
        <f>SUM(C15:C17)</f>
        <v>163784</v>
      </c>
      <c r="D18" s="432">
        <f>SUM(D15:D17)</f>
        <v>0</v>
      </c>
      <c r="E18" s="432">
        <f>SUM(E15:E17)</f>
        <v>132103</v>
      </c>
    </row>
    <row r="19" spans="1:5" x14ac:dyDescent="0.2">
      <c r="A19" s="427">
        <v>18</v>
      </c>
      <c r="B19" s="428" t="s">
        <v>633</v>
      </c>
      <c r="C19" s="429">
        <v>151365</v>
      </c>
      <c r="D19" s="429">
        <v>0</v>
      </c>
      <c r="E19" s="429">
        <v>116469</v>
      </c>
    </row>
    <row r="20" spans="1:5" x14ac:dyDescent="0.2">
      <c r="A20" s="427">
        <v>19</v>
      </c>
      <c r="B20" s="428" t="s">
        <v>634</v>
      </c>
      <c r="C20" s="429">
        <v>65241</v>
      </c>
      <c r="D20" s="429">
        <v>0</v>
      </c>
      <c r="E20" s="429">
        <v>55597</v>
      </c>
    </row>
    <row r="21" spans="1:5" x14ac:dyDescent="0.2">
      <c r="A21" s="427">
        <v>20</v>
      </c>
      <c r="B21" s="428" t="s">
        <v>635</v>
      </c>
      <c r="C21" s="429">
        <v>59835</v>
      </c>
      <c r="D21" s="429">
        <v>0</v>
      </c>
      <c r="E21" s="429">
        <v>38725</v>
      </c>
    </row>
    <row r="22" spans="1:5" x14ac:dyDescent="0.2">
      <c r="A22" s="430">
        <v>21</v>
      </c>
      <c r="B22" s="431" t="s">
        <v>636</v>
      </c>
      <c r="C22" s="433">
        <f>SUM(C19:C21)</f>
        <v>276441</v>
      </c>
      <c r="D22" s="432">
        <f>SUM(D19:D21)</f>
        <v>0</v>
      </c>
      <c r="E22" s="433">
        <f>SUM(E19:E21)</f>
        <v>210791</v>
      </c>
    </row>
    <row r="23" spans="1:5" x14ac:dyDescent="0.2">
      <c r="A23" s="430">
        <v>22</v>
      </c>
      <c r="B23" s="431" t="s">
        <v>637</v>
      </c>
      <c r="C23" s="432">
        <v>93449</v>
      </c>
      <c r="D23" s="432">
        <v>0</v>
      </c>
      <c r="E23" s="432">
        <v>91234</v>
      </c>
    </row>
    <row r="24" spans="1:5" x14ac:dyDescent="0.2">
      <c r="A24" s="430">
        <v>23</v>
      </c>
      <c r="B24" s="431" t="s">
        <v>638</v>
      </c>
      <c r="C24" s="432">
        <v>739741</v>
      </c>
      <c r="D24" s="432">
        <v>0</v>
      </c>
      <c r="E24" s="432">
        <v>541756</v>
      </c>
    </row>
    <row r="25" spans="1:5" x14ac:dyDescent="0.2">
      <c r="A25" s="430">
        <v>24</v>
      </c>
      <c r="B25" s="431" t="s">
        <v>639</v>
      </c>
      <c r="C25" s="432">
        <f>C9+C14-C18-C22-C23-C24</f>
        <v>54088</v>
      </c>
      <c r="D25" s="432">
        <f>D9+D14-D18-D22-D23-D24</f>
        <v>0</v>
      </c>
      <c r="E25" s="432">
        <f>E9+E14-E18-E22-E23-E24</f>
        <v>112985</v>
      </c>
    </row>
    <row r="26" spans="1:5" x14ac:dyDescent="0.2">
      <c r="A26" s="427">
        <v>25</v>
      </c>
      <c r="B26" s="428" t="s">
        <v>640</v>
      </c>
      <c r="C26" s="429">
        <v>1648</v>
      </c>
      <c r="D26" s="429">
        <v>0</v>
      </c>
      <c r="E26" s="429">
        <v>0</v>
      </c>
    </row>
    <row r="27" spans="1:5" x14ac:dyDescent="0.2">
      <c r="A27" s="427">
        <v>28</v>
      </c>
      <c r="B27" s="428" t="s">
        <v>641</v>
      </c>
      <c r="C27" s="429">
        <v>15</v>
      </c>
      <c r="D27" s="429">
        <v>0</v>
      </c>
      <c r="E27" s="429">
        <v>39</v>
      </c>
    </row>
    <row r="28" spans="1:5" hidden="1" x14ac:dyDescent="0.2">
      <c r="A28" s="427">
        <v>29</v>
      </c>
      <c r="B28" s="428" t="s">
        <v>642</v>
      </c>
      <c r="C28" s="429">
        <v>0</v>
      </c>
      <c r="D28" s="429">
        <v>0</v>
      </c>
      <c r="E28" s="429">
        <v>0</v>
      </c>
    </row>
    <row r="29" spans="1:5" x14ac:dyDescent="0.2">
      <c r="A29" s="430">
        <v>32</v>
      </c>
      <c r="B29" s="431" t="s">
        <v>643</v>
      </c>
      <c r="C29" s="432">
        <f>SUM(C26:C28)</f>
        <v>1663</v>
      </c>
      <c r="D29" s="432">
        <f>SUM(D26:D28)</f>
        <v>0</v>
      </c>
      <c r="E29" s="432">
        <f>SUM(E26:E28)</f>
        <v>39</v>
      </c>
    </row>
    <row r="30" spans="1:5" x14ac:dyDescent="0.2">
      <c r="A30" s="427">
        <v>35</v>
      </c>
      <c r="B30" s="428" t="s">
        <v>644</v>
      </c>
      <c r="C30" s="429">
        <v>210</v>
      </c>
      <c r="D30" s="429">
        <v>0</v>
      </c>
      <c r="E30" s="429">
        <v>18</v>
      </c>
    </row>
    <row r="31" spans="1:5" hidden="1" x14ac:dyDescent="0.2">
      <c r="A31" s="427">
        <v>39</v>
      </c>
      <c r="B31" s="428" t="s">
        <v>645</v>
      </c>
      <c r="C31" s="429">
        <v>0</v>
      </c>
      <c r="D31" s="429">
        <v>0</v>
      </c>
      <c r="E31" s="429">
        <v>0</v>
      </c>
    </row>
    <row r="32" spans="1:5" x14ac:dyDescent="0.2">
      <c r="A32" s="430">
        <v>42</v>
      </c>
      <c r="B32" s="431" t="s">
        <v>646</v>
      </c>
      <c r="C32" s="432">
        <f>SUM(C30:C31)</f>
        <v>210</v>
      </c>
      <c r="D32" s="432">
        <f>SUM(D30:D31)</f>
        <v>0</v>
      </c>
      <c r="E32" s="432">
        <f>SUM(E30:E31)</f>
        <v>18</v>
      </c>
    </row>
    <row r="33" spans="1:7" x14ac:dyDescent="0.2">
      <c r="A33" s="430">
        <v>43</v>
      </c>
      <c r="B33" s="431" t="s">
        <v>647</v>
      </c>
      <c r="C33" s="432">
        <f>C29-C32</f>
        <v>1453</v>
      </c>
      <c r="D33" s="432">
        <f>D29-D32</f>
        <v>0</v>
      </c>
      <c r="E33" s="432">
        <f>E29-E32</f>
        <v>21</v>
      </c>
    </row>
    <row r="34" spans="1:7" x14ac:dyDescent="0.2">
      <c r="A34" s="430">
        <v>44</v>
      </c>
      <c r="B34" s="431" t="s">
        <v>648</v>
      </c>
      <c r="C34" s="432">
        <f>C25+C33</f>
        <v>55541</v>
      </c>
      <c r="D34" s="432">
        <f>D25+D33</f>
        <v>0</v>
      </c>
      <c r="E34" s="432">
        <f>E25+E33</f>
        <v>113006</v>
      </c>
      <c r="G34" s="86"/>
    </row>
    <row r="35" spans="1:7" x14ac:dyDescent="0.2">
      <c r="A35" s="2"/>
      <c r="B35" s="2"/>
      <c r="C35" s="2"/>
      <c r="D35" s="2"/>
      <c r="E35" s="2"/>
    </row>
    <row r="36" spans="1:7" x14ac:dyDescent="0.2">
      <c r="A36" s="2"/>
      <c r="B36" s="2"/>
      <c r="C36" s="2"/>
      <c r="D36" s="2"/>
      <c r="E36" s="2"/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35"/>
  <sheetViews>
    <sheetView zoomScaleNormal="100" workbookViewId="0">
      <selection activeCell="H102" sqref="H102"/>
    </sheetView>
  </sheetViews>
  <sheetFormatPr defaultRowHeight="12.75" x14ac:dyDescent="0.2"/>
  <cols>
    <col min="1" max="2" width="4.7109375" style="434" customWidth="1"/>
    <col min="3" max="3" width="62.28515625" style="434" customWidth="1"/>
    <col min="4" max="4" width="16.5703125" style="434" customWidth="1"/>
    <col min="5" max="5" width="16.140625" style="434" customWidth="1"/>
    <col min="6" max="6" width="12.28515625" style="436" customWidth="1"/>
    <col min="7" max="12" width="9.140625" style="436"/>
    <col min="13" max="16384" width="9.140625" style="434"/>
  </cols>
  <sheetData>
    <row r="1" spans="1:8" x14ac:dyDescent="0.2">
      <c r="E1" s="435" t="s">
        <v>545</v>
      </c>
    </row>
    <row r="2" spans="1:8" ht="23.25" customHeight="1" x14ac:dyDescent="0.35">
      <c r="A2" s="1036" t="s">
        <v>27</v>
      </c>
      <c r="B2" s="1036"/>
      <c r="C2" s="1036"/>
      <c r="D2" s="1036"/>
      <c r="E2" s="1036"/>
      <c r="F2" s="437"/>
      <c r="G2" s="437"/>
      <c r="H2" s="437"/>
    </row>
    <row r="3" spans="1:8" ht="21" customHeight="1" x14ac:dyDescent="0.35">
      <c r="A3" s="1036" t="s">
        <v>736</v>
      </c>
      <c r="B3" s="1036"/>
      <c r="C3" s="1036"/>
      <c r="D3" s="1036"/>
      <c r="E3" s="1036"/>
      <c r="F3" s="437"/>
      <c r="G3" s="437"/>
      <c r="H3" s="437"/>
    </row>
    <row r="4" spans="1:8" ht="13.5" customHeight="1" thickBot="1" x14ac:dyDescent="0.25">
      <c r="E4" s="438" t="s">
        <v>437</v>
      </c>
    </row>
    <row r="5" spans="1:8" ht="19.5" customHeight="1" x14ac:dyDescent="0.2">
      <c r="A5" s="1048" t="s">
        <v>650</v>
      </c>
      <c r="B5" s="1049"/>
      <c r="C5" s="1049"/>
      <c r="D5" s="1037" t="s">
        <v>737</v>
      </c>
      <c r="E5" s="1038"/>
    </row>
    <row r="6" spans="1:8" ht="15" customHeight="1" thickBot="1" x14ac:dyDescent="0.25">
      <c r="A6" s="439"/>
      <c r="B6" s="440"/>
      <c r="C6" s="440"/>
      <c r="D6" s="441" t="s">
        <v>651</v>
      </c>
      <c r="E6" s="442" t="s">
        <v>652</v>
      </c>
    </row>
    <row r="7" spans="1:8" ht="22.5" customHeight="1" x14ac:dyDescent="0.2">
      <c r="A7" s="443" t="s">
        <v>653</v>
      </c>
      <c r="B7" s="1050" t="s">
        <v>654</v>
      </c>
      <c r="C7" s="1050"/>
      <c r="D7" s="444">
        <f>SUM(D8+D17+D63)</f>
        <v>5021673</v>
      </c>
      <c r="E7" s="444">
        <f>SUM(E8+E17+E63)</f>
        <v>5709039</v>
      </c>
    </row>
    <row r="8" spans="1:8" ht="12.75" customHeight="1" x14ac:dyDescent="0.2">
      <c r="A8" s="445"/>
      <c r="B8" s="445" t="s">
        <v>655</v>
      </c>
      <c r="C8" s="446" t="s">
        <v>656</v>
      </c>
      <c r="D8" s="447">
        <f>D10+D16</f>
        <v>812</v>
      </c>
      <c r="E8" s="447">
        <f>E10+E16</f>
        <v>843</v>
      </c>
    </row>
    <row r="9" spans="1:8" x14ac:dyDescent="0.2">
      <c r="A9" s="445"/>
      <c r="B9" s="445"/>
      <c r="C9" s="445" t="s">
        <v>657</v>
      </c>
      <c r="D9" s="448"/>
      <c r="E9" s="447"/>
    </row>
    <row r="10" spans="1:8" ht="12.75" customHeight="1" x14ac:dyDescent="0.2">
      <c r="A10" s="445"/>
      <c r="B10" s="445"/>
      <c r="C10" s="449" t="s">
        <v>658</v>
      </c>
      <c r="D10" s="448">
        <f>D12+D15</f>
        <v>779</v>
      </c>
      <c r="E10" s="448">
        <f>E12+E15</f>
        <v>787</v>
      </c>
    </row>
    <row r="11" spans="1:8" ht="12.75" customHeight="1" x14ac:dyDescent="0.2">
      <c r="A11" s="445"/>
      <c r="B11" s="445"/>
      <c r="C11" s="445" t="s">
        <v>659</v>
      </c>
      <c r="D11" s="448"/>
      <c r="E11" s="447"/>
    </row>
    <row r="12" spans="1:8" ht="12.75" customHeight="1" x14ac:dyDescent="0.2">
      <c r="A12" s="445"/>
      <c r="B12" s="445"/>
      <c r="C12" s="449" t="s">
        <v>660</v>
      </c>
      <c r="D12" s="448"/>
      <c r="E12" s="447"/>
    </row>
    <row r="13" spans="1:8" ht="12.75" customHeight="1" x14ac:dyDescent="0.2">
      <c r="A13" s="445"/>
      <c r="B13" s="445"/>
      <c r="C13" s="449" t="s">
        <v>661</v>
      </c>
      <c r="D13" s="448"/>
      <c r="E13" s="447"/>
    </row>
    <row r="14" spans="1:8" x14ac:dyDescent="0.2">
      <c r="A14" s="445"/>
      <c r="B14" s="445"/>
      <c r="C14" s="450" t="s">
        <v>662</v>
      </c>
      <c r="D14" s="448"/>
      <c r="E14" s="447"/>
    </row>
    <row r="15" spans="1:8" ht="12.75" customHeight="1" x14ac:dyDescent="0.2">
      <c r="A15" s="445"/>
      <c r="B15" s="445"/>
      <c r="C15" s="449" t="s">
        <v>663</v>
      </c>
      <c r="D15" s="448">
        <v>779</v>
      </c>
      <c r="E15" s="448">
        <v>787</v>
      </c>
    </row>
    <row r="16" spans="1:8" ht="12.75" customHeight="1" x14ac:dyDescent="0.2">
      <c r="A16" s="445"/>
      <c r="B16" s="445"/>
      <c r="C16" s="449" t="s">
        <v>664</v>
      </c>
      <c r="D16" s="448">
        <v>33</v>
      </c>
      <c r="E16" s="448">
        <v>56</v>
      </c>
    </row>
    <row r="17" spans="1:15" ht="12.75" customHeight="1" x14ac:dyDescent="0.2">
      <c r="A17" s="445"/>
      <c r="B17" s="445" t="s">
        <v>665</v>
      </c>
      <c r="C17" s="446" t="s">
        <v>666</v>
      </c>
      <c r="D17" s="447">
        <f>SUM(D18+D27+D36+D45+D54)</f>
        <v>4824355</v>
      </c>
      <c r="E17" s="447">
        <f>SUM(E18+E27+E36+E45+E54)</f>
        <v>5511690</v>
      </c>
    </row>
    <row r="18" spans="1:15" ht="12.75" customHeight="1" x14ac:dyDescent="0.2">
      <c r="A18" s="451"/>
      <c r="B18" s="451"/>
      <c r="C18" s="452" t="s">
        <v>667</v>
      </c>
      <c r="D18" s="453">
        <f>SUM(D20+D26)</f>
        <v>4742551</v>
      </c>
      <c r="E18" s="453">
        <f>SUM(E20+E26)</f>
        <v>5392868</v>
      </c>
      <c r="F18" s="454"/>
      <c r="G18" s="455"/>
      <c r="H18" s="455"/>
      <c r="I18" s="455"/>
      <c r="J18" s="455"/>
      <c r="K18" s="455"/>
      <c r="L18" s="455"/>
      <c r="M18" s="456"/>
      <c r="N18" s="456"/>
      <c r="O18" s="456"/>
    </row>
    <row r="19" spans="1:15" x14ac:dyDescent="0.2">
      <c r="A19" s="451"/>
      <c r="B19" s="451"/>
      <c r="C19" s="457" t="s">
        <v>668</v>
      </c>
      <c r="D19" s="458"/>
      <c r="E19" s="453"/>
    </row>
    <row r="20" spans="1:15" ht="12.75" customHeight="1" x14ac:dyDescent="0.2">
      <c r="A20" s="451"/>
      <c r="B20" s="451"/>
      <c r="C20" s="459" t="s">
        <v>658</v>
      </c>
      <c r="D20" s="458">
        <f>SUM(D22+D25)</f>
        <v>4290983</v>
      </c>
      <c r="E20" s="458">
        <f>SUM(E22+E25)</f>
        <v>4915121</v>
      </c>
    </row>
    <row r="21" spans="1:15" ht="12.75" customHeight="1" x14ac:dyDescent="0.2">
      <c r="A21" s="451"/>
      <c r="B21" s="451"/>
      <c r="C21" s="457" t="s">
        <v>669</v>
      </c>
      <c r="D21" s="458"/>
      <c r="E21" s="453"/>
    </row>
    <row r="22" spans="1:15" ht="12.75" customHeight="1" x14ac:dyDescent="0.2">
      <c r="A22" s="451"/>
      <c r="B22" s="451"/>
      <c r="C22" s="459" t="s">
        <v>660</v>
      </c>
      <c r="D22" s="458">
        <f>1360503+642572+1183530</f>
        <v>3186605</v>
      </c>
      <c r="E22" s="458">
        <f>(1360503+772377+1619070)</f>
        <v>3751950</v>
      </c>
    </row>
    <row r="23" spans="1:15" ht="12.75" customHeight="1" x14ac:dyDescent="0.2">
      <c r="A23" s="451"/>
      <c r="B23" s="451"/>
      <c r="C23" s="459" t="s">
        <v>670</v>
      </c>
      <c r="D23" s="460">
        <f>D22</f>
        <v>3186605</v>
      </c>
      <c r="E23" s="460">
        <f>E22</f>
        <v>3751950</v>
      </c>
    </row>
    <row r="24" spans="1:15" x14ac:dyDescent="0.2">
      <c r="A24" s="451"/>
      <c r="B24" s="451"/>
      <c r="C24" s="459" t="s">
        <v>671</v>
      </c>
      <c r="D24" s="460"/>
      <c r="E24" s="461"/>
    </row>
    <row r="25" spans="1:15" ht="12.75" customHeight="1" x14ac:dyDescent="0.2">
      <c r="A25" s="451"/>
      <c r="B25" s="451"/>
      <c r="C25" s="459" t="s">
        <v>663</v>
      </c>
      <c r="D25" s="458">
        <f>(849598+84095+59505+111180)</f>
        <v>1104378</v>
      </c>
      <c r="E25" s="458">
        <f>(849598+114818+61809+136946)</f>
        <v>1163171</v>
      </c>
    </row>
    <row r="26" spans="1:15" ht="12.75" customHeight="1" x14ac:dyDescent="0.2">
      <c r="A26" s="451"/>
      <c r="B26" s="451"/>
      <c r="C26" s="459" t="s">
        <v>672</v>
      </c>
      <c r="D26" s="448">
        <f>333489+1050+89045+2324+668+24992</f>
        <v>451568</v>
      </c>
      <c r="E26" s="448">
        <f>333489+1050+111117+2324+668+29099</f>
        <v>477747</v>
      </c>
    </row>
    <row r="27" spans="1:15" ht="12.75" customHeight="1" x14ac:dyDescent="0.2">
      <c r="A27" s="445"/>
      <c r="B27" s="445"/>
      <c r="C27" s="446" t="s">
        <v>673</v>
      </c>
      <c r="D27" s="447">
        <f>SUM(D29+D35)</f>
        <v>81804</v>
      </c>
      <c r="E27" s="447">
        <f>SUM(E29+E35)</f>
        <v>118822</v>
      </c>
    </row>
    <row r="28" spans="1:15" ht="12.75" customHeight="1" x14ac:dyDescent="0.2">
      <c r="A28" s="445"/>
      <c r="B28" s="445"/>
      <c r="C28" s="445" t="s">
        <v>674</v>
      </c>
      <c r="D28" s="448"/>
      <c r="E28" s="447"/>
    </row>
    <row r="29" spans="1:15" ht="12.75" customHeight="1" x14ac:dyDescent="0.2">
      <c r="A29" s="445"/>
      <c r="B29" s="445"/>
      <c r="C29" s="449" t="s">
        <v>658</v>
      </c>
      <c r="D29" s="448"/>
      <c r="E29" s="447"/>
    </row>
    <row r="30" spans="1:15" ht="12.75" customHeight="1" x14ac:dyDescent="0.2">
      <c r="A30" s="445"/>
      <c r="B30" s="445"/>
      <c r="C30" s="445" t="s">
        <v>669</v>
      </c>
      <c r="D30" s="448"/>
      <c r="E30" s="447"/>
    </row>
    <row r="31" spans="1:15" ht="12.75" customHeight="1" x14ac:dyDescent="0.2">
      <c r="A31" s="445"/>
      <c r="B31" s="445"/>
      <c r="C31" s="449" t="s">
        <v>660</v>
      </c>
      <c r="D31" s="448"/>
      <c r="E31" s="447"/>
    </row>
    <row r="32" spans="1:15" ht="12.75" customHeight="1" x14ac:dyDescent="0.2">
      <c r="A32" s="445"/>
      <c r="B32" s="445"/>
      <c r="C32" s="449" t="s">
        <v>670</v>
      </c>
      <c r="D32" s="448"/>
      <c r="E32" s="447"/>
    </row>
    <row r="33" spans="1:5" x14ac:dyDescent="0.2">
      <c r="A33" s="445"/>
      <c r="B33" s="445"/>
      <c r="C33" s="449" t="s">
        <v>671</v>
      </c>
      <c r="D33" s="448"/>
      <c r="E33" s="447"/>
    </row>
    <row r="34" spans="1:5" ht="12.75" customHeight="1" x14ac:dyDescent="0.2">
      <c r="A34" s="445"/>
      <c r="B34" s="445"/>
      <c r="C34" s="449" t="s">
        <v>663</v>
      </c>
      <c r="D34" s="448"/>
      <c r="E34" s="447"/>
    </row>
    <row r="35" spans="1:5" ht="12.75" customHeight="1" x14ac:dyDescent="0.2">
      <c r="A35" s="445"/>
      <c r="B35" s="445"/>
      <c r="C35" s="449" t="s">
        <v>672</v>
      </c>
      <c r="D35" s="448">
        <f>1692+51269+8851+728+144+12296+4153+2671</f>
        <v>81804</v>
      </c>
      <c r="E35" s="448">
        <f>3353+75015+8851+728+144+23907+4153+2671</f>
        <v>118822</v>
      </c>
    </row>
    <row r="36" spans="1:5" ht="12.75" customHeight="1" x14ac:dyDescent="0.2">
      <c r="A36" s="445"/>
      <c r="B36" s="445"/>
      <c r="C36" s="446" t="s">
        <v>675</v>
      </c>
      <c r="D36" s="447">
        <v>0</v>
      </c>
      <c r="E36" s="447">
        <v>0</v>
      </c>
    </row>
    <row r="37" spans="1:5" ht="12.75" customHeight="1" x14ac:dyDescent="0.2">
      <c r="A37" s="445"/>
      <c r="B37" s="445"/>
      <c r="C37" s="445" t="s">
        <v>674</v>
      </c>
      <c r="D37" s="448"/>
      <c r="E37" s="447"/>
    </row>
    <row r="38" spans="1:5" ht="12.75" customHeight="1" x14ac:dyDescent="0.2">
      <c r="A38" s="445"/>
      <c r="B38" s="445"/>
      <c r="C38" s="449" t="s">
        <v>658</v>
      </c>
      <c r="D38" s="448"/>
      <c r="E38" s="447"/>
    </row>
    <row r="39" spans="1:5" ht="12.75" customHeight="1" x14ac:dyDescent="0.2">
      <c r="A39" s="445"/>
      <c r="B39" s="445"/>
      <c r="C39" s="445" t="s">
        <v>669</v>
      </c>
      <c r="D39" s="448"/>
      <c r="E39" s="447"/>
    </row>
    <row r="40" spans="1:5" ht="12.75" customHeight="1" x14ac:dyDescent="0.2">
      <c r="A40" s="445"/>
      <c r="B40" s="445"/>
      <c r="C40" s="449" t="s">
        <v>660</v>
      </c>
      <c r="D40" s="448"/>
      <c r="E40" s="447"/>
    </row>
    <row r="41" spans="1:5" ht="12.75" customHeight="1" x14ac:dyDescent="0.2">
      <c r="A41" s="445"/>
      <c r="B41" s="445"/>
      <c r="C41" s="449" t="s">
        <v>670</v>
      </c>
      <c r="D41" s="448"/>
      <c r="E41" s="447"/>
    </row>
    <row r="42" spans="1:5" x14ac:dyDescent="0.2">
      <c r="A42" s="445"/>
      <c r="B42" s="445"/>
      <c r="C42" s="449" t="s">
        <v>671</v>
      </c>
      <c r="D42" s="448"/>
      <c r="E42" s="447"/>
    </row>
    <row r="43" spans="1:5" ht="12.75" customHeight="1" x14ac:dyDescent="0.2">
      <c r="A43" s="445"/>
      <c r="B43" s="445"/>
      <c r="C43" s="449" t="s">
        <v>663</v>
      </c>
      <c r="D43" s="448"/>
      <c r="E43" s="447"/>
    </row>
    <row r="44" spans="1:5" ht="12.75" customHeight="1" x14ac:dyDescent="0.2">
      <c r="A44" s="462"/>
      <c r="B44" s="462"/>
      <c r="C44" s="449" t="s">
        <v>672</v>
      </c>
      <c r="D44" s="448"/>
      <c r="E44" s="463"/>
    </row>
    <row r="45" spans="1:5" ht="12.75" customHeight="1" x14ac:dyDescent="0.2">
      <c r="A45" s="445"/>
      <c r="B45" s="462"/>
      <c r="C45" s="446" t="s">
        <v>676</v>
      </c>
      <c r="D45" s="447">
        <f>SUM(D47+D53)</f>
        <v>0</v>
      </c>
      <c r="E45" s="447">
        <f>SUM(E47+E53)</f>
        <v>0</v>
      </c>
    </row>
    <row r="46" spans="1:5" ht="12.75" customHeight="1" x14ac:dyDescent="0.2">
      <c r="A46" s="445"/>
      <c r="B46" s="462"/>
      <c r="C46" s="445" t="s">
        <v>674</v>
      </c>
      <c r="D46" s="448"/>
      <c r="E46" s="463"/>
    </row>
    <row r="47" spans="1:5" ht="12.75" customHeight="1" x14ac:dyDescent="0.2">
      <c r="A47" s="445"/>
      <c r="B47" s="462"/>
      <c r="C47" s="449" t="s">
        <v>658</v>
      </c>
      <c r="D47" s="448"/>
      <c r="E47" s="464"/>
    </row>
    <row r="48" spans="1:5" ht="12.75" customHeight="1" x14ac:dyDescent="0.2">
      <c r="A48" s="445"/>
      <c r="B48" s="462"/>
      <c r="C48" s="445" t="s">
        <v>669</v>
      </c>
      <c r="D48" s="448"/>
      <c r="E48" s="463"/>
    </row>
    <row r="49" spans="1:5" ht="12.75" customHeight="1" x14ac:dyDescent="0.2">
      <c r="A49" s="445"/>
      <c r="B49" s="462"/>
      <c r="C49" s="449" t="s">
        <v>660</v>
      </c>
      <c r="D49" s="448"/>
      <c r="E49" s="463"/>
    </row>
    <row r="50" spans="1:5" ht="12.75" customHeight="1" x14ac:dyDescent="0.2">
      <c r="A50" s="445"/>
      <c r="B50" s="462"/>
      <c r="C50" s="449" t="s">
        <v>670</v>
      </c>
      <c r="D50" s="448"/>
      <c r="E50" s="463"/>
    </row>
    <row r="51" spans="1:5" x14ac:dyDescent="0.2">
      <c r="A51" s="445"/>
      <c r="B51" s="462"/>
      <c r="C51" s="449" t="s">
        <v>671</v>
      </c>
      <c r="D51" s="448"/>
      <c r="E51" s="463"/>
    </row>
    <row r="52" spans="1:5" ht="12.75" customHeight="1" x14ac:dyDescent="0.2">
      <c r="A52" s="445"/>
      <c r="B52" s="462"/>
      <c r="C52" s="449" t="s">
        <v>663</v>
      </c>
      <c r="D52" s="448"/>
      <c r="E52" s="464"/>
    </row>
    <row r="53" spans="1:5" ht="12.75" customHeight="1" x14ac:dyDescent="0.2">
      <c r="A53" s="445"/>
      <c r="B53" s="462"/>
      <c r="C53" s="449" t="s">
        <v>677</v>
      </c>
      <c r="D53" s="448">
        <v>0</v>
      </c>
      <c r="E53" s="465">
        <v>0</v>
      </c>
    </row>
    <row r="54" spans="1:5" ht="12.75" customHeight="1" x14ac:dyDescent="0.2">
      <c r="A54" s="445"/>
      <c r="B54" s="445"/>
      <c r="C54" s="446" t="s">
        <v>678</v>
      </c>
      <c r="D54" s="447"/>
      <c r="E54" s="463"/>
    </row>
    <row r="55" spans="1:5" x14ac:dyDescent="0.2">
      <c r="A55" s="445"/>
      <c r="B55" s="445"/>
      <c r="C55" s="445" t="s">
        <v>674</v>
      </c>
      <c r="D55" s="448"/>
      <c r="E55" s="463"/>
    </row>
    <row r="56" spans="1:5" ht="12.75" customHeight="1" x14ac:dyDescent="0.2">
      <c r="A56" s="445"/>
      <c r="B56" s="445"/>
      <c r="C56" s="449" t="s">
        <v>658</v>
      </c>
      <c r="D56" s="448"/>
      <c r="E56" s="463"/>
    </row>
    <row r="57" spans="1:5" ht="12.75" customHeight="1" x14ac:dyDescent="0.2">
      <c r="A57" s="445"/>
      <c r="B57" s="445"/>
      <c r="C57" s="445" t="s">
        <v>669</v>
      </c>
      <c r="D57" s="448"/>
      <c r="E57" s="463"/>
    </row>
    <row r="58" spans="1:5" ht="12.75" customHeight="1" x14ac:dyDescent="0.2">
      <c r="A58" s="445"/>
      <c r="B58" s="445"/>
      <c r="C58" s="449" t="s">
        <v>660</v>
      </c>
      <c r="D58" s="448"/>
      <c r="E58" s="463"/>
    </row>
    <row r="59" spans="1:5" ht="12.75" customHeight="1" x14ac:dyDescent="0.2">
      <c r="A59" s="445"/>
      <c r="B59" s="445"/>
      <c r="C59" s="449" t="s">
        <v>670</v>
      </c>
      <c r="D59" s="448"/>
      <c r="E59" s="463"/>
    </row>
    <row r="60" spans="1:5" x14ac:dyDescent="0.2">
      <c r="A60" s="445"/>
      <c r="B60" s="445"/>
      <c r="C60" s="449" t="s">
        <v>671</v>
      </c>
      <c r="D60" s="448"/>
      <c r="E60" s="463"/>
    </row>
    <row r="61" spans="1:5" ht="12.75" customHeight="1" x14ac:dyDescent="0.2">
      <c r="A61" s="445"/>
      <c r="B61" s="445"/>
      <c r="C61" s="449" t="s">
        <v>663</v>
      </c>
      <c r="D61" s="448"/>
      <c r="E61" s="463"/>
    </row>
    <row r="62" spans="1:5" ht="12.75" customHeight="1" x14ac:dyDescent="0.2">
      <c r="A62" s="445"/>
      <c r="B62" s="445"/>
      <c r="C62" s="449" t="s">
        <v>677</v>
      </c>
      <c r="D62" s="448"/>
      <c r="E62" s="463"/>
    </row>
    <row r="63" spans="1:5" ht="12.75" customHeight="1" x14ac:dyDescent="0.2">
      <c r="A63" s="445"/>
      <c r="B63" s="446" t="s">
        <v>679</v>
      </c>
      <c r="C63" s="466" t="s">
        <v>680</v>
      </c>
      <c r="D63" s="447">
        <f>SUM(D66+D72)</f>
        <v>196506</v>
      </c>
      <c r="E63" s="447">
        <f>SUM(E66+E72)</f>
        <v>196506</v>
      </c>
    </row>
    <row r="64" spans="1:5" ht="12.75" customHeight="1" x14ac:dyDescent="0.2">
      <c r="A64" s="445"/>
      <c r="B64" s="445"/>
      <c r="C64" s="445" t="s">
        <v>681</v>
      </c>
      <c r="D64" s="448"/>
      <c r="E64" s="463"/>
    </row>
    <row r="65" spans="1:5" ht="12.75" customHeight="1" x14ac:dyDescent="0.2">
      <c r="A65" s="445"/>
      <c r="B65" s="445"/>
      <c r="C65" s="445" t="s">
        <v>674</v>
      </c>
      <c r="D65" s="448"/>
      <c r="E65" s="463"/>
    </row>
    <row r="66" spans="1:5" ht="12.75" customHeight="1" x14ac:dyDescent="0.2">
      <c r="A66" s="462"/>
      <c r="B66" s="462"/>
      <c r="C66" s="449" t="s">
        <v>658</v>
      </c>
      <c r="D66" s="448"/>
      <c r="E66" s="463"/>
    </row>
    <row r="67" spans="1:5" ht="12.75" customHeight="1" x14ac:dyDescent="0.2">
      <c r="A67" s="462"/>
      <c r="B67" s="462"/>
      <c r="C67" s="445" t="s">
        <v>669</v>
      </c>
      <c r="D67" s="448"/>
      <c r="E67" s="463"/>
    </row>
    <row r="68" spans="1:5" ht="12.75" customHeight="1" x14ac:dyDescent="0.2">
      <c r="A68" s="462"/>
      <c r="B68" s="462"/>
      <c r="C68" s="449" t="s">
        <v>660</v>
      </c>
      <c r="D68" s="448"/>
      <c r="E68" s="463"/>
    </row>
    <row r="69" spans="1:5" ht="12.75" customHeight="1" x14ac:dyDescent="0.2">
      <c r="A69" s="462"/>
      <c r="B69" s="462"/>
      <c r="C69" s="449" t="s">
        <v>670</v>
      </c>
      <c r="D69" s="448"/>
      <c r="E69" s="463"/>
    </row>
    <row r="70" spans="1:5" ht="17.25" customHeight="1" x14ac:dyDescent="0.2">
      <c r="A70" s="462"/>
      <c r="B70" s="462"/>
      <c r="C70" s="449" t="s">
        <v>671</v>
      </c>
      <c r="D70" s="448"/>
      <c r="E70" s="463"/>
    </row>
    <row r="71" spans="1:5" ht="12.75" customHeight="1" x14ac:dyDescent="0.2">
      <c r="A71" s="462"/>
      <c r="B71" s="462"/>
      <c r="C71" s="449" t="s">
        <v>663</v>
      </c>
      <c r="D71" s="448"/>
      <c r="E71" s="463"/>
    </row>
    <row r="72" spans="1:5" ht="12.75" customHeight="1" x14ac:dyDescent="0.2">
      <c r="A72" s="462"/>
      <c r="B72" s="462"/>
      <c r="C72" s="449" t="s">
        <v>677</v>
      </c>
      <c r="D72" s="448">
        <v>196506</v>
      </c>
      <c r="E72" s="465">
        <v>196506</v>
      </c>
    </row>
    <row r="73" spans="1:5" ht="12.75" customHeight="1" x14ac:dyDescent="0.2">
      <c r="A73" s="462"/>
      <c r="B73" s="462"/>
      <c r="C73" s="445" t="s">
        <v>682</v>
      </c>
      <c r="D73" s="448"/>
      <c r="E73" s="463"/>
    </row>
    <row r="74" spans="1:5" ht="12.75" customHeight="1" x14ac:dyDescent="0.2">
      <c r="A74" s="462"/>
      <c r="B74" s="462"/>
      <c r="C74" s="445" t="s">
        <v>674</v>
      </c>
      <c r="D74" s="448"/>
      <c r="E74" s="463"/>
    </row>
    <row r="75" spans="1:5" ht="12.75" customHeight="1" x14ac:dyDescent="0.2">
      <c r="A75" s="462"/>
      <c r="B75" s="462"/>
      <c r="C75" s="449" t="s">
        <v>658</v>
      </c>
      <c r="D75" s="448"/>
      <c r="E75" s="463"/>
    </row>
    <row r="76" spans="1:5" ht="12.75" customHeight="1" x14ac:dyDescent="0.2">
      <c r="A76" s="462"/>
      <c r="B76" s="462"/>
      <c r="C76" s="445" t="s">
        <v>683</v>
      </c>
      <c r="D76" s="448"/>
      <c r="E76" s="463"/>
    </row>
    <row r="77" spans="1:5" ht="12.75" customHeight="1" x14ac:dyDescent="0.2">
      <c r="A77" s="462"/>
      <c r="B77" s="462"/>
      <c r="C77" s="449" t="s">
        <v>660</v>
      </c>
      <c r="D77" s="448"/>
      <c r="E77" s="463"/>
    </row>
    <row r="78" spans="1:5" ht="12.75" customHeight="1" x14ac:dyDescent="0.2">
      <c r="A78" s="462"/>
      <c r="B78" s="462"/>
      <c r="C78" s="449" t="s">
        <v>670</v>
      </c>
      <c r="D78" s="448"/>
      <c r="E78" s="463"/>
    </row>
    <row r="79" spans="1:5" x14ac:dyDescent="0.2">
      <c r="A79" s="462"/>
      <c r="B79" s="462"/>
      <c r="C79" s="449" t="s">
        <v>671</v>
      </c>
      <c r="D79" s="448"/>
      <c r="E79" s="463"/>
    </row>
    <row r="80" spans="1:5" ht="12.75" customHeight="1" x14ac:dyDescent="0.2">
      <c r="A80" s="462"/>
      <c r="B80" s="462"/>
      <c r="C80" s="449" t="s">
        <v>663</v>
      </c>
      <c r="D80" s="448"/>
      <c r="E80" s="463"/>
    </row>
    <row r="81" spans="1:13" ht="12.75" customHeight="1" x14ac:dyDescent="0.2">
      <c r="A81" s="462"/>
      <c r="B81" s="462"/>
      <c r="C81" s="449" t="s">
        <v>672</v>
      </c>
      <c r="D81" s="448"/>
      <c r="E81" s="463"/>
    </row>
    <row r="82" spans="1:13" ht="12.75" customHeight="1" x14ac:dyDescent="0.2">
      <c r="A82" s="462"/>
      <c r="B82" s="462"/>
      <c r="C82" s="445" t="s">
        <v>684</v>
      </c>
      <c r="D82" s="448"/>
      <c r="E82" s="463"/>
    </row>
    <row r="83" spans="1:13" ht="12.75" customHeight="1" x14ac:dyDescent="0.2">
      <c r="A83" s="462"/>
      <c r="B83" s="462"/>
      <c r="C83" s="445" t="s">
        <v>674</v>
      </c>
      <c r="D83" s="448"/>
      <c r="E83" s="463"/>
    </row>
    <row r="84" spans="1:13" ht="12.75" customHeight="1" x14ac:dyDescent="0.2">
      <c r="A84" s="462"/>
      <c r="B84" s="462"/>
      <c r="C84" s="449" t="s">
        <v>658</v>
      </c>
      <c r="D84" s="448"/>
      <c r="E84" s="463"/>
    </row>
    <row r="85" spans="1:13" ht="12.75" customHeight="1" x14ac:dyDescent="0.2">
      <c r="A85" s="462"/>
      <c r="B85" s="462"/>
      <c r="C85" s="445" t="s">
        <v>669</v>
      </c>
      <c r="D85" s="448"/>
      <c r="E85" s="463"/>
    </row>
    <row r="86" spans="1:13" ht="12.75" customHeight="1" x14ac:dyDescent="0.2">
      <c r="A86" s="462"/>
      <c r="B86" s="462"/>
      <c r="C86" s="449" t="s">
        <v>660</v>
      </c>
      <c r="D86" s="448"/>
      <c r="E86" s="463"/>
    </row>
    <row r="87" spans="1:13" ht="12.75" customHeight="1" x14ac:dyDescent="0.2">
      <c r="A87" s="462"/>
      <c r="B87" s="462"/>
      <c r="C87" s="449" t="s">
        <v>670</v>
      </c>
      <c r="D87" s="448"/>
      <c r="E87" s="463"/>
    </row>
    <row r="88" spans="1:13" x14ac:dyDescent="0.2">
      <c r="A88" s="462"/>
      <c r="B88" s="462"/>
      <c r="C88" s="449" t="s">
        <v>671</v>
      </c>
      <c r="D88" s="448"/>
      <c r="E88" s="463"/>
    </row>
    <row r="89" spans="1:13" ht="12.75" customHeight="1" x14ac:dyDescent="0.2">
      <c r="A89" s="462"/>
      <c r="B89" s="462"/>
      <c r="C89" s="449" t="s">
        <v>663</v>
      </c>
      <c r="D89" s="448"/>
      <c r="E89" s="463"/>
    </row>
    <row r="90" spans="1:13" ht="12.75" customHeight="1" x14ac:dyDescent="0.2">
      <c r="A90" s="462"/>
      <c r="B90" s="462"/>
      <c r="C90" s="449" t="s">
        <v>677</v>
      </c>
      <c r="D90" s="448"/>
      <c r="E90" s="467"/>
    </row>
    <row r="91" spans="1:13" ht="14.25" customHeight="1" x14ac:dyDescent="0.2">
      <c r="A91" s="468"/>
      <c r="B91" s="445" t="s">
        <v>685</v>
      </c>
      <c r="C91" s="469" t="s">
        <v>686</v>
      </c>
      <c r="D91" s="448"/>
      <c r="E91" s="453"/>
      <c r="F91" s="1051"/>
      <c r="G91" s="1051"/>
      <c r="H91" s="1051"/>
      <c r="I91" s="1051"/>
      <c r="J91" s="1051"/>
      <c r="K91" s="1051"/>
      <c r="L91" s="470"/>
      <c r="M91" s="470"/>
    </row>
    <row r="92" spans="1:13" ht="12.75" customHeight="1" x14ac:dyDescent="0.2">
      <c r="A92" s="471" t="s">
        <v>687</v>
      </c>
      <c r="B92" s="471"/>
      <c r="C92" s="471" t="s">
        <v>688</v>
      </c>
      <c r="D92" s="447">
        <f>SUM(D93:D94)</f>
        <v>160</v>
      </c>
      <c r="E92" s="447">
        <f>SUM(E93:E94)</f>
        <v>160</v>
      </c>
    </row>
    <row r="93" spans="1:13" ht="12.75" customHeight="1" x14ac:dyDescent="0.2">
      <c r="A93" s="462"/>
      <c r="B93" s="445" t="s">
        <v>655</v>
      </c>
      <c r="C93" s="445" t="s">
        <v>689</v>
      </c>
      <c r="D93" s="448">
        <v>0</v>
      </c>
      <c r="E93" s="465">
        <v>0</v>
      </c>
    </row>
    <row r="94" spans="1:13" ht="12.75" customHeight="1" x14ac:dyDescent="0.2">
      <c r="A94" s="462"/>
      <c r="B94" s="445" t="s">
        <v>665</v>
      </c>
      <c r="C94" s="445" t="s">
        <v>690</v>
      </c>
      <c r="D94" s="448">
        <v>160</v>
      </c>
      <c r="E94" s="463">
        <v>160</v>
      </c>
    </row>
    <row r="95" spans="1:13" ht="12.75" customHeight="1" x14ac:dyDescent="0.2">
      <c r="A95" s="472" t="s">
        <v>691</v>
      </c>
      <c r="B95" s="446"/>
      <c r="C95" s="471" t="s">
        <v>692</v>
      </c>
      <c r="D95" s="447">
        <f>'13.Mérleg'!F29</f>
        <v>1349970</v>
      </c>
      <c r="E95" s="463">
        <f>D95</f>
        <v>1349970</v>
      </c>
    </row>
    <row r="96" spans="1:13" ht="12.75" customHeight="1" x14ac:dyDescent="0.2">
      <c r="A96" s="472" t="s">
        <v>693</v>
      </c>
      <c r="B96" s="446"/>
      <c r="C96" s="471" t="s">
        <v>694</v>
      </c>
      <c r="D96" s="447">
        <f>'13.Mérleg'!F50</f>
        <v>96646</v>
      </c>
      <c r="E96" s="463">
        <f t="shared" ref="E96:E101" si="0">D96</f>
        <v>96646</v>
      </c>
    </row>
    <row r="97" spans="1:5" ht="12.75" hidden="1" customHeight="1" x14ac:dyDescent="0.2">
      <c r="A97" s="473"/>
      <c r="B97" s="445" t="s">
        <v>655</v>
      </c>
      <c r="C97" s="445" t="s">
        <v>695</v>
      </c>
      <c r="D97" s="448"/>
      <c r="E97" s="463">
        <f t="shared" si="0"/>
        <v>0</v>
      </c>
    </row>
    <row r="98" spans="1:5" ht="12.75" hidden="1" customHeight="1" x14ac:dyDescent="0.2">
      <c r="A98" s="473"/>
      <c r="B98" s="445" t="s">
        <v>665</v>
      </c>
      <c r="C98" s="445" t="s">
        <v>696</v>
      </c>
      <c r="D98" s="448"/>
      <c r="E98" s="463">
        <f t="shared" si="0"/>
        <v>0</v>
      </c>
    </row>
    <row r="99" spans="1:5" ht="12.75" hidden="1" customHeight="1" x14ac:dyDescent="0.2">
      <c r="A99" s="473"/>
      <c r="B99" s="445" t="s">
        <v>679</v>
      </c>
      <c r="C99" s="445" t="s">
        <v>697</v>
      </c>
      <c r="D99" s="448"/>
      <c r="E99" s="463">
        <f t="shared" si="0"/>
        <v>0</v>
      </c>
    </row>
    <row r="100" spans="1:5" ht="12.75" customHeight="1" x14ac:dyDescent="0.2">
      <c r="A100" s="472" t="s">
        <v>698</v>
      </c>
      <c r="B100" s="446"/>
      <c r="C100" s="471" t="s">
        <v>699</v>
      </c>
      <c r="D100" s="447">
        <f>'13.Mérleg'!F58</f>
        <v>1155</v>
      </c>
      <c r="E100" s="463">
        <f t="shared" si="0"/>
        <v>1155</v>
      </c>
    </row>
    <row r="101" spans="1:5" ht="12.75" customHeight="1" x14ac:dyDescent="0.2">
      <c r="A101" s="472" t="s">
        <v>700</v>
      </c>
      <c r="B101" s="446"/>
      <c r="C101" s="471" t="s">
        <v>701</v>
      </c>
      <c r="D101" s="447">
        <f>'13.Mérleg'!F61</f>
        <v>0</v>
      </c>
      <c r="E101" s="463">
        <f t="shared" si="0"/>
        <v>0</v>
      </c>
    </row>
    <row r="102" spans="1:5" ht="21.75" customHeight="1" x14ac:dyDescent="0.2">
      <c r="A102" s="1042" t="s">
        <v>702</v>
      </c>
      <c r="B102" s="1042"/>
      <c r="C102" s="1042"/>
      <c r="D102" s="474">
        <f>SUM(D7+D92+D95+D96+D100+D101)</f>
        <v>6469604</v>
      </c>
      <c r="E102" s="474">
        <f>SUM(E7+E92+E95+E96+E100+E101)</f>
        <v>7156970</v>
      </c>
    </row>
    <row r="103" spans="1:5" ht="16.5" customHeight="1" x14ac:dyDescent="0.2">
      <c r="A103" s="475"/>
      <c r="E103" s="476"/>
    </row>
    <row r="104" spans="1:5" ht="26.25" customHeight="1" x14ac:dyDescent="0.2">
      <c r="A104" s="1039" t="s">
        <v>703</v>
      </c>
      <c r="B104" s="1039"/>
      <c r="C104" s="1039"/>
      <c r="D104" s="1039"/>
      <c r="E104" s="1039"/>
    </row>
    <row r="105" spans="1:5" ht="13.5" thickBot="1" x14ac:dyDescent="0.25">
      <c r="B105" s="477"/>
      <c r="C105" s="477"/>
      <c r="D105" s="477"/>
      <c r="E105" s="478" t="s">
        <v>437</v>
      </c>
    </row>
    <row r="106" spans="1:5" ht="26.25" customHeight="1" thickBot="1" x14ac:dyDescent="0.25">
      <c r="A106" s="1043" t="s">
        <v>74</v>
      </c>
      <c r="B106" s="1044"/>
      <c r="C106" s="1044"/>
      <c r="D106" s="1045"/>
      <c r="E106" s="479" t="s">
        <v>737</v>
      </c>
    </row>
    <row r="107" spans="1:5" ht="13.5" customHeight="1" x14ac:dyDescent="0.2">
      <c r="A107" s="480" t="s">
        <v>704</v>
      </c>
      <c r="B107" s="1046" t="s">
        <v>705</v>
      </c>
      <c r="C107" s="1046"/>
      <c r="D107" s="481"/>
      <c r="E107" s="482">
        <v>294286</v>
      </c>
    </row>
    <row r="108" spans="1:5" ht="13.5" customHeight="1" x14ac:dyDescent="0.2">
      <c r="A108" s="483" t="s">
        <v>706</v>
      </c>
      <c r="B108" s="1047" t="s">
        <v>707</v>
      </c>
      <c r="C108" s="1047"/>
      <c r="D108" s="462"/>
      <c r="E108" s="448"/>
    </row>
    <row r="109" spans="1:5" ht="13.5" customHeight="1" x14ac:dyDescent="0.2">
      <c r="A109" s="483" t="s">
        <v>708</v>
      </c>
      <c r="B109" s="1047" t="s">
        <v>709</v>
      </c>
      <c r="C109" s="1047"/>
      <c r="D109" s="462"/>
      <c r="E109" s="448"/>
    </row>
    <row r="110" spans="1:5" ht="13.5" customHeight="1" x14ac:dyDescent="0.2">
      <c r="A110" s="483" t="s">
        <v>710</v>
      </c>
      <c r="B110" s="1047" t="s">
        <v>711</v>
      </c>
      <c r="C110" s="1047"/>
      <c r="D110" s="462"/>
      <c r="E110" s="447"/>
    </row>
    <row r="111" spans="1:5" ht="12.75" customHeight="1" x14ac:dyDescent="0.2">
      <c r="A111" s="483" t="s">
        <v>712</v>
      </c>
      <c r="B111" s="1047" t="s">
        <v>713</v>
      </c>
      <c r="C111" s="1047"/>
      <c r="D111" s="462"/>
      <c r="E111" s="447"/>
    </row>
    <row r="112" spans="1:5" ht="13.5" customHeight="1" x14ac:dyDescent="0.2">
      <c r="A112" s="1041" t="s">
        <v>714</v>
      </c>
      <c r="B112" s="1041"/>
      <c r="C112" s="1041"/>
      <c r="D112" s="484"/>
      <c r="E112" s="447">
        <f>SUM(E107:E111)</f>
        <v>294286</v>
      </c>
    </row>
    <row r="113" spans="1:6" ht="15.75" x14ac:dyDescent="0.2">
      <c r="A113" s="485"/>
    </row>
    <row r="114" spans="1:6" ht="15.75" x14ac:dyDescent="0.2">
      <c r="A114" s="1040" t="s">
        <v>715</v>
      </c>
      <c r="B114" s="1040"/>
      <c r="C114" s="1040"/>
      <c r="D114" s="1040"/>
      <c r="E114" s="1040"/>
    </row>
    <row r="115" spans="1:6" ht="15.75" x14ac:dyDescent="0.2">
      <c r="A115" s="1040" t="s">
        <v>716</v>
      </c>
      <c r="B115" s="1040"/>
      <c r="C115" s="1040"/>
      <c r="D115" s="1040"/>
      <c r="E115" s="1040"/>
    </row>
    <row r="116" spans="1:6" ht="15.75" x14ac:dyDescent="0.2">
      <c r="A116" s="1040" t="s">
        <v>717</v>
      </c>
      <c r="B116" s="1040"/>
      <c r="C116" s="1040"/>
      <c r="D116" s="1040"/>
      <c r="E116" s="1040"/>
    </row>
    <row r="117" spans="1:6" ht="15.75" x14ac:dyDescent="0.2">
      <c r="A117" s="486"/>
      <c r="B117" s="486"/>
      <c r="C117" s="486"/>
      <c r="D117" s="487" t="s">
        <v>718</v>
      </c>
      <c r="E117" s="487" t="s">
        <v>719</v>
      </c>
    </row>
    <row r="118" spans="1:6" x14ac:dyDescent="0.2">
      <c r="A118" s="488" t="s">
        <v>704</v>
      </c>
      <c r="B118" s="1033" t="s">
        <v>720</v>
      </c>
      <c r="C118" s="1033"/>
      <c r="D118" s="489"/>
      <c r="E118" s="490" t="s">
        <v>69</v>
      </c>
    </row>
    <row r="119" spans="1:6" x14ac:dyDescent="0.2">
      <c r="A119" s="488"/>
      <c r="B119" s="491"/>
      <c r="C119" s="492"/>
      <c r="D119" s="492"/>
      <c r="E119" s="490"/>
    </row>
    <row r="120" spans="1:6" x14ac:dyDescent="0.2">
      <c r="A120" s="488"/>
      <c r="B120" s="493"/>
      <c r="C120" s="494"/>
      <c r="D120" s="494"/>
      <c r="E120" s="490"/>
    </row>
    <row r="121" spans="1:6" x14ac:dyDescent="0.2">
      <c r="A121" s="495"/>
      <c r="B121" s="496"/>
      <c r="C121" s="497"/>
      <c r="D121" s="497"/>
      <c r="E121" s="498"/>
      <c r="F121" s="499"/>
    </row>
    <row r="122" spans="1:6" x14ac:dyDescent="0.2">
      <c r="A122" s="488" t="s">
        <v>706</v>
      </c>
      <c r="B122" s="1034" t="s">
        <v>721</v>
      </c>
      <c r="C122" s="1034"/>
      <c r="D122" s="500"/>
      <c r="E122" s="490" t="s">
        <v>69</v>
      </c>
    </row>
    <row r="123" spans="1:6" x14ac:dyDescent="0.2">
      <c r="A123" s="488"/>
      <c r="B123" s="493"/>
      <c r="C123" s="494"/>
      <c r="D123" s="494"/>
      <c r="E123" s="490"/>
    </row>
    <row r="124" spans="1:6" x14ac:dyDescent="0.2">
      <c r="A124" s="488"/>
      <c r="B124" s="493"/>
      <c r="C124" s="494"/>
      <c r="D124" s="494"/>
      <c r="E124" s="490"/>
    </row>
    <row r="125" spans="1:6" x14ac:dyDescent="0.2">
      <c r="A125" s="495"/>
      <c r="B125" s="501"/>
      <c r="C125" s="501"/>
      <c r="D125" s="501"/>
      <c r="E125" s="498"/>
    </row>
    <row r="126" spans="1:6" x14ac:dyDescent="0.2">
      <c r="A126" s="488" t="s">
        <v>708</v>
      </c>
      <c r="B126" s="1034" t="s">
        <v>722</v>
      </c>
      <c r="C126" s="1034"/>
      <c r="D126" s="500"/>
      <c r="E126" s="490" t="s">
        <v>69</v>
      </c>
    </row>
    <row r="127" spans="1:6" x14ac:dyDescent="0.2">
      <c r="A127" s="488"/>
      <c r="B127" s="502"/>
      <c r="C127" s="502"/>
      <c r="D127" s="502"/>
      <c r="E127" s="490"/>
    </row>
    <row r="128" spans="1:6" x14ac:dyDescent="0.2">
      <c r="A128" s="488"/>
      <c r="B128" s="502"/>
      <c r="C128" s="502"/>
      <c r="D128" s="502"/>
      <c r="E128" s="490"/>
    </row>
    <row r="129" spans="1:13" ht="9.75" customHeight="1" x14ac:dyDescent="0.2">
      <c r="A129" s="503"/>
      <c r="B129" s="496"/>
      <c r="C129" s="501"/>
      <c r="D129" s="501"/>
      <c r="E129" s="498"/>
    </row>
    <row r="130" spans="1:13" ht="11.25" customHeight="1" x14ac:dyDescent="0.2">
      <c r="A130" s="503"/>
      <c r="B130" s="496"/>
      <c r="C130" s="501"/>
      <c r="D130" s="501"/>
      <c r="E130" s="498"/>
    </row>
    <row r="131" spans="1:13" ht="13.5" customHeight="1" x14ac:dyDescent="0.2">
      <c r="A131" s="488" t="s">
        <v>710</v>
      </c>
      <c r="B131" s="1035" t="s">
        <v>723</v>
      </c>
      <c r="C131" s="1035"/>
      <c r="D131" s="452"/>
      <c r="E131" s="490" t="s">
        <v>69</v>
      </c>
    </row>
    <row r="132" spans="1:13" x14ac:dyDescent="0.2">
      <c r="A132" s="488"/>
      <c r="B132" s="504"/>
      <c r="C132" s="505"/>
      <c r="D132" s="505"/>
      <c r="E132" s="490"/>
    </row>
    <row r="133" spans="1:13" x14ac:dyDescent="0.2">
      <c r="A133" s="488"/>
      <c r="B133" s="504"/>
      <c r="C133" s="493"/>
      <c r="D133" s="493"/>
      <c r="E133" s="490"/>
      <c r="F133" s="455"/>
      <c r="G133" s="455"/>
      <c r="H133" s="455"/>
      <c r="I133" s="455"/>
      <c r="J133" s="455"/>
      <c r="K133" s="455"/>
      <c r="L133" s="455"/>
      <c r="M133" s="456"/>
    </row>
    <row r="134" spans="1:13" ht="15.75" x14ac:dyDescent="0.2">
      <c r="A134" s="485"/>
    </row>
    <row r="135" spans="1:13" ht="15.75" x14ac:dyDescent="0.2">
      <c r="A135" s="485"/>
    </row>
  </sheetData>
  <mergeCells count="22">
    <mergeCell ref="B111:C111"/>
    <mergeCell ref="B109:C109"/>
    <mergeCell ref="A5:C5"/>
    <mergeCell ref="B7:C7"/>
    <mergeCell ref="F91:K91"/>
    <mergeCell ref="B110:C110"/>
    <mergeCell ref="B118:C118"/>
    <mergeCell ref="B122:C122"/>
    <mergeCell ref="B126:C126"/>
    <mergeCell ref="B131:C131"/>
    <mergeCell ref="A2:E2"/>
    <mergeCell ref="A3:E3"/>
    <mergeCell ref="D5:E5"/>
    <mergeCell ref="A104:E104"/>
    <mergeCell ref="A114:E114"/>
    <mergeCell ref="A115:E115"/>
    <mergeCell ref="A112:C112"/>
    <mergeCell ref="A116:E116"/>
    <mergeCell ref="A102:C102"/>
    <mergeCell ref="A106:D106"/>
    <mergeCell ref="B107:C107"/>
    <mergeCell ref="B108:C108"/>
  </mergeCells>
  <pageMargins left="0.7" right="0.7" top="0.75" bottom="0.75" header="0.3" footer="0.3"/>
  <pageSetup paperSize="9" scale="85" orientation="portrait" r:id="rId1"/>
  <colBreaks count="1" manualBreakCount="1">
    <brk id="5" max="13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B10" sqref="B10"/>
    </sheetView>
  </sheetViews>
  <sheetFormatPr defaultRowHeight="12.75" x14ac:dyDescent="0.2"/>
  <cols>
    <col min="1" max="1" width="63.28515625" customWidth="1"/>
    <col min="2" max="2" width="17.28515625" customWidth="1"/>
    <col min="3" max="3" width="10.42578125" style="10" hidden="1" customWidth="1"/>
    <col min="4" max="4" width="9.42578125" style="10" hidden="1" customWidth="1"/>
  </cols>
  <sheetData>
    <row r="1" spans="1:4" x14ac:dyDescent="0.2">
      <c r="A1" s="4"/>
      <c r="B1" s="98" t="s">
        <v>619</v>
      </c>
    </row>
    <row r="2" spans="1:4" ht="50.25" customHeight="1" x14ac:dyDescent="0.25">
      <c r="A2" s="1052" t="s">
        <v>738</v>
      </c>
      <c r="B2" s="1053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6" t="s">
        <v>74</v>
      </c>
      <c r="B5" s="269" t="s">
        <v>47</v>
      </c>
    </row>
    <row r="6" spans="1:4" ht="15.95" customHeight="1" x14ac:dyDescent="0.2">
      <c r="A6" s="118" t="s">
        <v>740</v>
      </c>
      <c r="B6" s="506">
        <f>'13.Mérleg'!D29</f>
        <v>158357</v>
      </c>
    </row>
    <row r="7" spans="1:4" ht="15.95" customHeight="1" x14ac:dyDescent="0.2">
      <c r="A7" s="122" t="s">
        <v>724</v>
      </c>
      <c r="B7" s="121">
        <f>SUM(D7-B6)</f>
        <v>1919822</v>
      </c>
      <c r="D7" s="45">
        <f>'1.Bev-kiad.'!G63</f>
        <v>2078179</v>
      </c>
    </row>
    <row r="8" spans="1:4" ht="15.95" customHeight="1" x14ac:dyDescent="0.2">
      <c r="A8" s="122" t="s">
        <v>725</v>
      </c>
      <c r="B8" s="121">
        <f>SUM(B6:B7)</f>
        <v>2078179</v>
      </c>
      <c r="D8" s="45"/>
    </row>
    <row r="9" spans="1:4" ht="16.5" customHeight="1" x14ac:dyDescent="0.2">
      <c r="A9" s="122" t="s">
        <v>726</v>
      </c>
      <c r="B9" s="121">
        <f>'1.Bev-kiad.'!G84</f>
        <v>1282603</v>
      </c>
      <c r="D9" s="45">
        <f>'1.Bev-kiad.'!G84</f>
        <v>1282603</v>
      </c>
    </row>
    <row r="10" spans="1:4" ht="16.5" customHeight="1" x14ac:dyDescent="0.2">
      <c r="A10" s="122" t="s">
        <v>727</v>
      </c>
      <c r="B10" s="121">
        <f>SUM(B8-B9)</f>
        <v>795576</v>
      </c>
      <c r="C10" s="45"/>
      <c r="D10" s="45">
        <f>SUM(D7-D9)</f>
        <v>795576</v>
      </c>
    </row>
    <row r="11" spans="1:4" ht="16.5" customHeight="1" x14ac:dyDescent="0.2">
      <c r="A11" s="122" t="s">
        <v>728</v>
      </c>
      <c r="B11" s="507">
        <v>0</v>
      </c>
      <c r="D11" s="45"/>
    </row>
    <row r="12" spans="1:4" ht="15.95" customHeight="1" x14ac:dyDescent="0.2">
      <c r="A12" s="508" t="s">
        <v>739</v>
      </c>
      <c r="B12" s="509">
        <f>'13.Mérleg'!F29</f>
        <v>1349970</v>
      </c>
      <c r="C12" s="270">
        <v>158357</v>
      </c>
    </row>
    <row r="13" spans="1:4" ht="15.95" customHeight="1" thickBot="1" x14ac:dyDescent="0.25">
      <c r="A13" s="510" t="s">
        <v>729</v>
      </c>
      <c r="B13" s="511">
        <f>SUM(B12-B6)</f>
        <v>1191613</v>
      </c>
    </row>
    <row r="14" spans="1:4" ht="18" customHeight="1" x14ac:dyDescent="0.2">
      <c r="C14" s="45">
        <f>SUM(C12-B12)</f>
        <v>-1191613</v>
      </c>
      <c r="D14" s="45">
        <f>SUM(D10-C12)</f>
        <v>637219</v>
      </c>
    </row>
    <row r="15" spans="1:4" ht="18" customHeight="1" x14ac:dyDescent="0.2">
      <c r="C15"/>
      <c r="D15"/>
    </row>
    <row r="16" spans="1:4" ht="15.9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1"/>
  <sheetViews>
    <sheetView zoomScaleNormal="100" workbookViewId="0">
      <selection activeCell="H9" sqref="H9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10" customWidth="1"/>
  </cols>
  <sheetData>
    <row r="1" spans="1:4" x14ac:dyDescent="0.2">
      <c r="A1" s="4"/>
      <c r="B1" s="98" t="s">
        <v>649</v>
      </c>
    </row>
    <row r="2" spans="1:4" ht="50.25" customHeight="1" x14ac:dyDescent="0.25">
      <c r="A2" s="1052" t="s">
        <v>741</v>
      </c>
      <c r="B2" s="1053"/>
    </row>
    <row r="3" spans="1:4" x14ac:dyDescent="0.2">
      <c r="A3" s="4"/>
      <c r="B3" s="98"/>
    </row>
    <row r="4" spans="1:4" ht="13.5" thickBot="1" x14ac:dyDescent="0.25">
      <c r="A4" s="4"/>
      <c r="B4" s="98" t="s">
        <v>0</v>
      </c>
    </row>
    <row r="5" spans="1:4" ht="34.5" customHeight="1" thickBot="1" x14ac:dyDescent="0.25">
      <c r="A5" s="116" t="s">
        <v>74</v>
      </c>
      <c r="B5" s="269" t="s">
        <v>47</v>
      </c>
    </row>
    <row r="6" spans="1:4" ht="31.5" customHeight="1" x14ac:dyDescent="0.2">
      <c r="A6" s="512" t="s">
        <v>730</v>
      </c>
      <c r="B6" s="506">
        <f>SUM(B7)</f>
        <v>0</v>
      </c>
    </row>
    <row r="7" spans="1:4" ht="15.95" customHeight="1" x14ac:dyDescent="0.2">
      <c r="A7" s="513" t="s">
        <v>731</v>
      </c>
      <c r="B7" s="514">
        <v>0</v>
      </c>
      <c r="D7" s="45"/>
    </row>
    <row r="8" spans="1:4" ht="25.5" customHeight="1" x14ac:dyDescent="0.2">
      <c r="A8" s="515" t="s">
        <v>732</v>
      </c>
      <c r="B8" s="121">
        <f>SUM(B9)</f>
        <v>3000</v>
      </c>
      <c r="D8" s="45"/>
    </row>
    <row r="9" spans="1:4" ht="16.5" customHeight="1" x14ac:dyDescent="0.2">
      <c r="A9" s="513" t="s">
        <v>731</v>
      </c>
      <c r="B9" s="523">
        <v>3000</v>
      </c>
      <c r="D9" s="45"/>
    </row>
    <row r="10" spans="1:4" s="10" customFormat="1" ht="18" customHeight="1" x14ac:dyDescent="0.2">
      <c r="A10" s="522" t="s">
        <v>743</v>
      </c>
      <c r="B10" s="521">
        <v>100</v>
      </c>
      <c r="C10" s="45"/>
      <c r="D10" s="45"/>
    </row>
    <row r="11" spans="1:4" s="516" customFormat="1" ht="19.5" customHeight="1" x14ac:dyDescent="0.2">
      <c r="A11" s="519" t="s">
        <v>742</v>
      </c>
      <c r="B11" s="520">
        <f>SUM(B12)</f>
        <v>10</v>
      </c>
      <c r="D11" s="517"/>
    </row>
    <row r="12" spans="1:4" ht="16.5" customHeight="1" thickBot="1" x14ac:dyDescent="0.25">
      <c r="A12" s="518" t="s">
        <v>755</v>
      </c>
      <c r="B12" s="528">
        <v>10</v>
      </c>
      <c r="D12" s="45"/>
    </row>
    <row r="13" spans="1:4" ht="15.95" customHeight="1" x14ac:dyDescent="0.2">
      <c r="A13" s="63"/>
      <c r="B13" s="127"/>
    </row>
    <row r="14" spans="1:4" ht="15.95" customHeight="1" x14ac:dyDescent="0.2">
      <c r="A14" s="63"/>
      <c r="B14" s="127"/>
    </row>
    <row r="15" spans="1:4" ht="15.95" customHeight="1" x14ac:dyDescent="0.2">
      <c r="A15" s="63"/>
      <c r="B15" s="127"/>
    </row>
    <row r="16" spans="1:4" ht="15.95" customHeight="1" x14ac:dyDescent="0.2">
      <c r="A16" s="63"/>
      <c r="B16" s="127"/>
    </row>
    <row r="17" spans="1:2" ht="15" customHeight="1" x14ac:dyDescent="0.2">
      <c r="A17" s="63"/>
      <c r="B17" s="63"/>
    </row>
    <row r="18" spans="1:2" ht="14.1" customHeight="1" x14ac:dyDescent="0.2">
      <c r="A18" s="63"/>
      <c r="B18" s="63"/>
    </row>
    <row r="19" spans="1:2" ht="14.1" customHeight="1" x14ac:dyDescent="0.2">
      <c r="A19" s="63"/>
      <c r="B19" s="63"/>
    </row>
    <row r="20" spans="1:2" ht="14.1" customHeight="1" x14ac:dyDescent="0.2"/>
    <row r="21" spans="1:2" ht="14.1" customHeight="1" x14ac:dyDescent="0.2"/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40"/>
  <sheetViews>
    <sheetView zoomScaleNormal="100" workbookViewId="0">
      <selection activeCell="A7" sqref="A7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28515625" bestFit="1" customWidth="1"/>
    <col min="14" max="14" width="10.85546875" customWidth="1"/>
    <col min="15" max="15" width="10.85546875" style="89" customWidth="1"/>
    <col min="16" max="16" width="8.42578125" style="691" customWidth="1"/>
  </cols>
  <sheetData>
    <row r="1" spans="1:16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M1" s="4"/>
      <c r="N1" s="98" t="s">
        <v>1320</v>
      </c>
      <c r="O1" s="106"/>
    </row>
    <row r="2" spans="1:16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M2" s="4"/>
      <c r="N2" s="758" t="str">
        <f>'1.Bev-kiad.'!F2</f>
        <v>a 7/2022.(V.27.) önkormányzati rendelethez</v>
      </c>
      <c r="O2" s="106"/>
    </row>
    <row r="3" spans="1:16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4"/>
      <c r="N3" s="212" t="s">
        <v>1321</v>
      </c>
      <c r="O3" s="106"/>
    </row>
    <row r="4" spans="1:16" ht="15.75" x14ac:dyDescent="0.25">
      <c r="A4" s="115" t="s">
        <v>1139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8"/>
      <c r="O4" s="106"/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98"/>
      <c r="O5" s="106"/>
    </row>
    <row r="6" spans="1:16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98" t="s">
        <v>0</v>
      </c>
      <c r="O6" s="106"/>
    </row>
    <row r="7" spans="1:16" ht="21.75" customHeight="1" thickBot="1" x14ac:dyDescent="0.25">
      <c r="A7" s="116" t="s">
        <v>74</v>
      </c>
      <c r="B7" s="117" t="s">
        <v>75</v>
      </c>
      <c r="C7" s="117" t="s">
        <v>76</v>
      </c>
      <c r="D7" s="117" t="s">
        <v>77</v>
      </c>
      <c r="E7" s="117" t="s">
        <v>78</v>
      </c>
      <c r="F7" s="117" t="s">
        <v>79</v>
      </c>
      <c r="G7" s="117" t="s">
        <v>80</v>
      </c>
      <c r="H7" s="117" t="s">
        <v>81</v>
      </c>
      <c r="I7" s="117" t="s">
        <v>82</v>
      </c>
      <c r="J7" s="117" t="s">
        <v>83</v>
      </c>
      <c r="K7" s="117" t="s">
        <v>84</v>
      </c>
      <c r="L7" s="117" t="s">
        <v>85</v>
      </c>
      <c r="M7" s="117" t="s">
        <v>86</v>
      </c>
      <c r="N7" s="269" t="s">
        <v>47</v>
      </c>
      <c r="O7" s="694"/>
    </row>
    <row r="8" spans="1:16" ht="15.95" customHeight="1" x14ac:dyDescent="0.2">
      <c r="A8" s="118" t="s">
        <v>87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119"/>
      <c r="O8" s="695"/>
      <c r="P8" s="699"/>
    </row>
    <row r="9" spans="1:16" ht="15.95" customHeight="1" x14ac:dyDescent="0.2">
      <c r="A9" s="344" t="s">
        <v>506</v>
      </c>
      <c r="B9" s="41">
        <v>50197</v>
      </c>
      <c r="C9" s="41">
        <v>44152</v>
      </c>
      <c r="D9" s="41">
        <v>36642</v>
      </c>
      <c r="E9" s="41">
        <v>34738</v>
      </c>
      <c r="F9" s="41">
        <v>39439</v>
      </c>
      <c r="G9" s="41">
        <v>48321</v>
      </c>
      <c r="H9" s="41">
        <v>35935</v>
      </c>
      <c r="I9" s="41">
        <v>35922</v>
      </c>
      <c r="J9" s="41">
        <v>53133</v>
      </c>
      <c r="K9" s="41">
        <v>45625</v>
      </c>
      <c r="L9" s="41">
        <v>36937</v>
      </c>
      <c r="M9" s="41">
        <v>50546</v>
      </c>
      <c r="N9" s="121">
        <f t="shared" ref="N9:N18" si="0">SUM(B9:M9)</f>
        <v>511587</v>
      </c>
      <c r="O9" s="696"/>
      <c r="P9" s="693"/>
    </row>
    <row r="10" spans="1:16" ht="15.95" customHeight="1" x14ac:dyDescent="0.2">
      <c r="A10" s="344" t="s">
        <v>504</v>
      </c>
      <c r="B10" s="41"/>
      <c r="C10" s="41"/>
      <c r="D10" s="41">
        <v>0</v>
      </c>
      <c r="E10" s="41"/>
      <c r="F10" s="41">
        <v>10330</v>
      </c>
      <c r="G10" s="41">
        <v>0</v>
      </c>
      <c r="H10" s="41">
        <v>14831</v>
      </c>
      <c r="I10" s="41"/>
      <c r="J10" s="41"/>
      <c r="K10" s="41"/>
      <c r="L10" s="41">
        <v>0</v>
      </c>
      <c r="M10" s="41">
        <v>133909</v>
      </c>
      <c r="N10" s="121">
        <f t="shared" si="0"/>
        <v>159070</v>
      </c>
      <c r="O10" s="697"/>
      <c r="P10" s="699"/>
    </row>
    <row r="11" spans="1:16" ht="15.75" customHeight="1" x14ac:dyDescent="0.2">
      <c r="A11" s="142" t="s">
        <v>378</v>
      </c>
      <c r="B11" s="41">
        <v>1887</v>
      </c>
      <c r="C11" s="41">
        <v>1831</v>
      </c>
      <c r="D11" s="41">
        <v>122960</v>
      </c>
      <c r="E11" s="41">
        <v>12463</v>
      </c>
      <c r="F11" s="41">
        <v>16944</v>
      </c>
      <c r="G11" s="41">
        <v>9590</v>
      </c>
      <c r="H11" s="41">
        <v>7765</v>
      </c>
      <c r="I11" s="41">
        <v>33668</v>
      </c>
      <c r="J11" s="41">
        <v>114418</v>
      </c>
      <c r="K11" s="41">
        <v>14279</v>
      </c>
      <c r="L11" s="41">
        <v>6617</v>
      </c>
      <c r="M11" s="41">
        <v>34003</v>
      </c>
      <c r="N11" s="121">
        <f t="shared" si="0"/>
        <v>376425</v>
      </c>
      <c r="O11" s="697"/>
      <c r="P11" s="699"/>
    </row>
    <row r="12" spans="1:16" ht="15.95" customHeight="1" x14ac:dyDescent="0.2">
      <c r="A12" s="120" t="s">
        <v>379</v>
      </c>
      <c r="B12" s="41">
        <v>1152</v>
      </c>
      <c r="C12" s="41">
        <v>3273</v>
      </c>
      <c r="D12" s="41">
        <v>1348</v>
      </c>
      <c r="E12" s="41">
        <v>2179</v>
      </c>
      <c r="F12" s="41">
        <v>3193</v>
      </c>
      <c r="G12" s="41">
        <v>10587</v>
      </c>
      <c r="H12" s="41">
        <v>15342</v>
      </c>
      <c r="I12" s="41">
        <v>7631</v>
      </c>
      <c r="J12" s="41">
        <v>1736</v>
      </c>
      <c r="K12" s="41">
        <v>5358</v>
      </c>
      <c r="L12" s="41">
        <v>6648</v>
      </c>
      <c r="M12" s="41">
        <v>15049</v>
      </c>
      <c r="N12" s="121">
        <f t="shared" si="0"/>
        <v>73496</v>
      </c>
      <c r="O12" s="697"/>
      <c r="P12" s="699"/>
    </row>
    <row r="13" spans="1:16" ht="15.95" customHeight="1" x14ac:dyDescent="0.2">
      <c r="A13" s="120" t="s">
        <v>381</v>
      </c>
      <c r="B13" s="41">
        <v>75</v>
      </c>
      <c r="C13" s="41">
        <v>88</v>
      </c>
      <c r="D13" s="41">
        <v>87</v>
      </c>
      <c r="E13" s="41">
        <v>87</v>
      </c>
      <c r="F13" s="41">
        <v>71</v>
      </c>
      <c r="G13" s="41">
        <v>297</v>
      </c>
      <c r="H13" s="41">
        <v>15776</v>
      </c>
      <c r="I13" s="41">
        <v>14895</v>
      </c>
      <c r="J13" s="41">
        <v>410</v>
      </c>
      <c r="K13" s="41">
        <v>14770</v>
      </c>
      <c r="L13" s="41">
        <v>38</v>
      </c>
      <c r="M13" s="41">
        <v>46</v>
      </c>
      <c r="N13" s="121">
        <f t="shared" si="0"/>
        <v>46640</v>
      </c>
      <c r="O13" s="697"/>
      <c r="P13" s="699"/>
    </row>
    <row r="14" spans="1:16" ht="15.95" customHeight="1" x14ac:dyDescent="0.2">
      <c r="A14" s="120" t="s">
        <v>380</v>
      </c>
      <c r="B14" s="41">
        <v>120</v>
      </c>
      <c r="C14" s="41"/>
      <c r="D14" s="41"/>
      <c r="E14" s="41">
        <v>3000</v>
      </c>
      <c r="F14" s="41">
        <v>0</v>
      </c>
      <c r="G14" s="41">
        <v>2000</v>
      </c>
      <c r="H14" s="41">
        <v>2500</v>
      </c>
      <c r="I14" s="41">
        <v>4000</v>
      </c>
      <c r="J14" s="41">
        <v>1000</v>
      </c>
      <c r="K14" s="41">
        <v>3000</v>
      </c>
      <c r="L14" s="41">
        <v>4600</v>
      </c>
      <c r="M14" s="41">
        <v>20137</v>
      </c>
      <c r="N14" s="121">
        <f t="shared" si="0"/>
        <v>40357</v>
      </c>
      <c r="O14" s="697"/>
      <c r="P14" s="699"/>
    </row>
    <row r="15" spans="1:16" ht="15.95" customHeight="1" x14ac:dyDescent="0.2">
      <c r="A15" s="120" t="s">
        <v>505</v>
      </c>
      <c r="B15" s="41"/>
      <c r="C15" s="41"/>
      <c r="D15" s="41"/>
      <c r="E15" s="41"/>
      <c r="F15" s="41"/>
      <c r="G15" s="41"/>
      <c r="H15" s="41">
        <v>0</v>
      </c>
      <c r="I15" s="41"/>
      <c r="J15" s="41"/>
      <c r="K15" s="41">
        <v>10300</v>
      </c>
      <c r="L15" s="41"/>
      <c r="M15" s="41"/>
      <c r="N15" s="121">
        <f t="shared" si="0"/>
        <v>10300</v>
      </c>
      <c r="O15" s="697"/>
      <c r="P15" s="699"/>
    </row>
    <row r="16" spans="1:16" ht="15.95" customHeight="1" x14ac:dyDescent="0.2">
      <c r="A16" s="120" t="s">
        <v>448</v>
      </c>
      <c r="B16" s="41">
        <f>SUM('1.Bev-kiad.'!C55)</f>
        <v>999900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121">
        <f t="shared" ref="N16:N17" si="1">SUM(B16:M16)</f>
        <v>999900</v>
      </c>
      <c r="O16" s="697"/>
      <c r="P16" s="699"/>
    </row>
    <row r="17" spans="1:17" ht="15.95" customHeight="1" x14ac:dyDescent="0.2">
      <c r="A17" s="120" t="s">
        <v>1397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>
        <v>15916</v>
      </c>
      <c r="N17" s="121">
        <f t="shared" si="1"/>
        <v>15916</v>
      </c>
      <c r="O17" s="697"/>
      <c r="P17" s="699"/>
    </row>
    <row r="18" spans="1:17" ht="15.95" customHeight="1" x14ac:dyDescent="0.2">
      <c r="A18" s="120" t="s">
        <v>1309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>
        <v>342000</v>
      </c>
      <c r="N18" s="121">
        <f t="shared" si="0"/>
        <v>342000</v>
      </c>
      <c r="O18" s="697"/>
      <c r="P18" s="699"/>
    </row>
    <row r="19" spans="1:17" ht="15.95" customHeight="1" x14ac:dyDescent="0.2">
      <c r="A19" s="122" t="s">
        <v>88</v>
      </c>
      <c r="B19" s="43">
        <f t="shared" ref="B19:N19" si="2">SUM(B9:B18)</f>
        <v>1053331</v>
      </c>
      <c r="C19" s="43">
        <f t="shared" si="2"/>
        <v>49344</v>
      </c>
      <c r="D19" s="43">
        <f t="shared" si="2"/>
        <v>161037</v>
      </c>
      <c r="E19" s="43">
        <f t="shared" si="2"/>
        <v>52467</v>
      </c>
      <c r="F19" s="43">
        <f t="shared" si="2"/>
        <v>69977</v>
      </c>
      <c r="G19" s="43">
        <f t="shared" si="2"/>
        <v>70795</v>
      </c>
      <c r="H19" s="43">
        <f t="shared" si="2"/>
        <v>92149</v>
      </c>
      <c r="I19" s="43">
        <f t="shared" si="2"/>
        <v>96116</v>
      </c>
      <c r="J19" s="43">
        <f t="shared" si="2"/>
        <v>170697</v>
      </c>
      <c r="K19" s="43">
        <f t="shared" si="2"/>
        <v>93332</v>
      </c>
      <c r="L19" s="43">
        <f t="shared" si="2"/>
        <v>54840</v>
      </c>
      <c r="M19" s="43">
        <f t="shared" si="2"/>
        <v>611606</v>
      </c>
      <c r="N19" s="121">
        <f t="shared" si="2"/>
        <v>2575691</v>
      </c>
      <c r="O19" s="697"/>
      <c r="P19" s="700"/>
      <c r="Q19" s="86"/>
    </row>
    <row r="20" spans="1:17" ht="16.5" customHeight="1" x14ac:dyDescent="0.2">
      <c r="A20" s="122" t="s">
        <v>89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121"/>
      <c r="O20" s="697"/>
      <c r="P20" s="699"/>
    </row>
    <row r="21" spans="1:17" ht="15.95" customHeight="1" x14ac:dyDescent="0.2">
      <c r="A21" s="120" t="s">
        <v>90</v>
      </c>
      <c r="B21" s="41">
        <v>45825</v>
      </c>
      <c r="C21" s="41">
        <v>44113</v>
      </c>
      <c r="D21" s="41">
        <v>98655</v>
      </c>
      <c r="E21" s="41">
        <v>53464</v>
      </c>
      <c r="F21" s="41">
        <v>57391</v>
      </c>
      <c r="G21" s="41">
        <v>77536</v>
      </c>
      <c r="H21" s="41">
        <v>68068</v>
      </c>
      <c r="I21" s="41">
        <v>72289</v>
      </c>
      <c r="J21" s="41">
        <v>96475</v>
      </c>
      <c r="K21" s="41">
        <v>64336</v>
      </c>
      <c r="L21" s="41">
        <v>88930</v>
      </c>
      <c r="M21" s="41">
        <v>301780</v>
      </c>
      <c r="N21" s="121">
        <f t="shared" ref="N21:N26" si="3">SUM(B21:M21)</f>
        <v>1068862</v>
      </c>
      <c r="O21" s="696"/>
      <c r="P21" s="693"/>
      <c r="Q21" s="86"/>
    </row>
    <row r="22" spans="1:17" ht="15.95" customHeight="1" x14ac:dyDescent="0.2">
      <c r="A22" s="120" t="s">
        <v>91</v>
      </c>
      <c r="B22" s="41">
        <v>418</v>
      </c>
      <c r="C22" s="41">
        <v>16238</v>
      </c>
      <c r="D22" s="41">
        <v>24862</v>
      </c>
      <c r="E22" s="41">
        <v>9857</v>
      </c>
      <c r="F22" s="41">
        <v>59009</v>
      </c>
      <c r="G22" s="41">
        <v>38430</v>
      </c>
      <c r="H22" s="41">
        <v>50269</v>
      </c>
      <c r="I22" s="41">
        <v>54</v>
      </c>
      <c r="J22" s="41">
        <v>562</v>
      </c>
      <c r="K22" s="41">
        <v>54</v>
      </c>
      <c r="L22" s="41">
        <v>114679</v>
      </c>
      <c r="M22" s="41">
        <v>942780</v>
      </c>
      <c r="N22" s="121">
        <f t="shared" si="3"/>
        <v>1257212</v>
      </c>
      <c r="O22" s="696"/>
      <c r="P22" s="693"/>
      <c r="Q22" s="86"/>
    </row>
    <row r="23" spans="1:17" ht="15.95" customHeight="1" x14ac:dyDescent="0.2">
      <c r="A23" s="120" t="s">
        <v>761</v>
      </c>
      <c r="B23" s="41"/>
      <c r="C23" s="41"/>
      <c r="D23" s="41"/>
      <c r="E23" s="41"/>
      <c r="F23" s="41">
        <v>1</v>
      </c>
      <c r="G23" s="41"/>
      <c r="H23" s="41"/>
      <c r="I23" s="41"/>
      <c r="J23" s="41"/>
      <c r="K23" s="41"/>
      <c r="L23" s="41">
        <v>5000</v>
      </c>
      <c r="M23" s="41">
        <v>20</v>
      </c>
      <c r="N23" s="121">
        <f>SUM(B23:M23)</f>
        <v>5021</v>
      </c>
      <c r="O23" s="697"/>
      <c r="P23" s="693"/>
    </row>
    <row r="24" spans="1:17" ht="15.95" customHeight="1" x14ac:dyDescent="0.2">
      <c r="A24" s="120" t="s">
        <v>467</v>
      </c>
      <c r="B24" s="41">
        <v>14996</v>
      </c>
      <c r="C24" s="41"/>
      <c r="D24" s="41">
        <v>5039</v>
      </c>
      <c r="E24" s="41"/>
      <c r="F24" s="41"/>
      <c r="G24" s="41">
        <v>5039</v>
      </c>
      <c r="H24" s="41">
        <v>0</v>
      </c>
      <c r="I24" s="41"/>
      <c r="J24" s="41">
        <v>5039</v>
      </c>
      <c r="K24" s="41">
        <v>0</v>
      </c>
      <c r="L24" s="41"/>
      <c r="M24" s="41">
        <v>5039</v>
      </c>
      <c r="N24" s="121">
        <f t="shared" si="3"/>
        <v>35152</v>
      </c>
      <c r="O24" s="697"/>
      <c r="P24" s="693"/>
    </row>
    <row r="25" spans="1:17" ht="26.25" customHeight="1" x14ac:dyDescent="0.2">
      <c r="A25" s="142" t="s">
        <v>1302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>
        <v>209444</v>
      </c>
      <c r="N25" s="121">
        <f t="shared" si="3"/>
        <v>209444</v>
      </c>
      <c r="O25" s="697"/>
      <c r="P25" s="699"/>
    </row>
    <row r="26" spans="1:17" ht="15.95" customHeight="1" x14ac:dyDescent="0.2">
      <c r="A26" s="122" t="s">
        <v>92</v>
      </c>
      <c r="B26" s="43">
        <f t="shared" ref="B26:M26" si="4">SUM(B21:B25)</f>
        <v>61239</v>
      </c>
      <c r="C26" s="43">
        <f t="shared" si="4"/>
        <v>60351</v>
      </c>
      <c r="D26" s="43">
        <f t="shared" si="4"/>
        <v>128556</v>
      </c>
      <c r="E26" s="43">
        <f t="shared" si="4"/>
        <v>63321</v>
      </c>
      <c r="F26" s="43">
        <f t="shared" si="4"/>
        <v>116401</v>
      </c>
      <c r="G26" s="43">
        <f t="shared" si="4"/>
        <v>121005</v>
      </c>
      <c r="H26" s="43">
        <f t="shared" si="4"/>
        <v>118337</v>
      </c>
      <c r="I26" s="43">
        <f t="shared" si="4"/>
        <v>72343</v>
      </c>
      <c r="J26" s="43">
        <f t="shared" si="4"/>
        <v>102076</v>
      </c>
      <c r="K26" s="43">
        <f t="shared" si="4"/>
        <v>64390</v>
      </c>
      <c r="L26" s="43">
        <f t="shared" si="4"/>
        <v>208609</v>
      </c>
      <c r="M26" s="43">
        <f t="shared" si="4"/>
        <v>1459063</v>
      </c>
      <c r="N26" s="121">
        <f t="shared" si="3"/>
        <v>2575691</v>
      </c>
      <c r="O26" s="697"/>
      <c r="P26" s="700"/>
      <c r="Q26" s="86"/>
    </row>
    <row r="27" spans="1:17" ht="15.95" customHeight="1" x14ac:dyDescent="0.2">
      <c r="A27" s="122" t="s">
        <v>93</v>
      </c>
      <c r="B27" s="123">
        <f t="shared" ref="B27:N27" si="5">SUM(B19-B26)</f>
        <v>992092</v>
      </c>
      <c r="C27" s="123">
        <f t="shared" si="5"/>
        <v>-11007</v>
      </c>
      <c r="D27" s="123">
        <f t="shared" si="5"/>
        <v>32481</v>
      </c>
      <c r="E27" s="123">
        <f t="shared" si="5"/>
        <v>-10854</v>
      </c>
      <c r="F27" s="123">
        <f t="shared" si="5"/>
        <v>-46424</v>
      </c>
      <c r="G27" s="123">
        <f t="shared" si="5"/>
        <v>-50210</v>
      </c>
      <c r="H27" s="123">
        <f t="shared" si="5"/>
        <v>-26188</v>
      </c>
      <c r="I27" s="123">
        <f t="shared" si="5"/>
        <v>23773</v>
      </c>
      <c r="J27" s="123">
        <f t="shared" si="5"/>
        <v>68621</v>
      </c>
      <c r="K27" s="123">
        <f t="shared" si="5"/>
        <v>28942</v>
      </c>
      <c r="L27" s="123">
        <f t="shared" si="5"/>
        <v>-153769</v>
      </c>
      <c r="M27" s="123">
        <f t="shared" si="5"/>
        <v>-847457</v>
      </c>
      <c r="N27" s="121">
        <f t="shared" si="5"/>
        <v>0</v>
      </c>
      <c r="O27" s="697"/>
      <c r="P27" s="700"/>
    </row>
    <row r="28" spans="1:17" ht="15.95" customHeight="1" thickBot="1" x14ac:dyDescent="0.25">
      <c r="A28" s="124" t="s">
        <v>94</v>
      </c>
      <c r="B28" s="125">
        <f>SUM(B27)</f>
        <v>992092</v>
      </c>
      <c r="C28" s="125">
        <f t="shared" ref="C28:M28" si="6">B28+C19-C26</f>
        <v>981085</v>
      </c>
      <c r="D28" s="125">
        <f t="shared" si="6"/>
        <v>1013566</v>
      </c>
      <c r="E28" s="125">
        <f t="shared" si="6"/>
        <v>1002712</v>
      </c>
      <c r="F28" s="125">
        <f t="shared" si="6"/>
        <v>956288</v>
      </c>
      <c r="G28" s="125">
        <f t="shared" si="6"/>
        <v>906078</v>
      </c>
      <c r="H28" s="125">
        <f t="shared" si="6"/>
        <v>879890</v>
      </c>
      <c r="I28" s="125">
        <f t="shared" si="6"/>
        <v>903663</v>
      </c>
      <c r="J28" s="125">
        <f t="shared" si="6"/>
        <v>972284</v>
      </c>
      <c r="K28" s="125">
        <f t="shared" si="6"/>
        <v>1001226</v>
      </c>
      <c r="L28" s="125">
        <f t="shared" si="6"/>
        <v>847457</v>
      </c>
      <c r="M28" s="125">
        <f t="shared" si="6"/>
        <v>0</v>
      </c>
      <c r="N28" s="126">
        <f>SUM(N27)</f>
        <v>0</v>
      </c>
      <c r="O28" s="697"/>
      <c r="P28" s="699"/>
    </row>
    <row r="29" spans="1:17" ht="18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27"/>
      <c r="O29" s="695"/>
      <c r="P29" s="692"/>
    </row>
    <row r="30" spans="1:17" ht="18" customHeight="1" x14ac:dyDescent="0.2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27"/>
      <c r="O30" s="695"/>
    </row>
    <row r="31" spans="1:17" ht="15.95" customHeight="1" x14ac:dyDescent="0.2">
      <c r="A31" s="63"/>
      <c r="B31" s="63"/>
      <c r="C31" s="63"/>
      <c r="D31" s="63"/>
      <c r="E31" s="63"/>
      <c r="F31" s="63"/>
      <c r="G31" s="128"/>
      <c r="H31" s="63"/>
      <c r="I31" s="63"/>
      <c r="J31" s="63"/>
      <c r="K31" s="63"/>
      <c r="L31" s="63"/>
      <c r="M31" s="63"/>
      <c r="N31" s="127"/>
      <c r="O31" s="695"/>
    </row>
    <row r="32" spans="1:17" ht="15.95" customHeight="1" x14ac:dyDescent="0.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127"/>
      <c r="O32" s="695"/>
    </row>
    <row r="33" spans="1:15" ht="15.95" customHeight="1" x14ac:dyDescent="0.2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127"/>
      <c r="O33" s="695"/>
    </row>
    <row r="34" spans="1:15" ht="15.95" customHeight="1" x14ac:dyDescent="0.2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127"/>
      <c r="O34" s="695"/>
    </row>
    <row r="35" spans="1:15" ht="15.95" customHeight="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127"/>
      <c r="O35" s="695"/>
    </row>
    <row r="36" spans="1:15" ht="15" customHeight="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98"/>
    </row>
    <row r="37" spans="1:15" ht="14.1" customHeight="1" x14ac:dyDescent="0.2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98"/>
    </row>
    <row r="38" spans="1:15" ht="14.1" customHeight="1" x14ac:dyDescent="0.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98"/>
    </row>
    <row r="39" spans="1:15" ht="14.1" customHeight="1" x14ac:dyDescent="0.2"/>
    <row r="40" spans="1:15" ht="14.1" customHeight="1" x14ac:dyDescent="0.2"/>
  </sheetData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746"/>
  <sheetViews>
    <sheetView zoomScaleNormal="100" workbookViewId="0">
      <selection activeCell="N29" sqref="N29"/>
    </sheetView>
  </sheetViews>
  <sheetFormatPr defaultRowHeight="12.75" x14ac:dyDescent="0.2"/>
  <cols>
    <col min="1" max="1" width="6.28515625" style="2" customWidth="1"/>
    <col min="2" max="2" width="62.28515625" customWidth="1"/>
    <col min="3" max="3" width="15.5703125" style="45" customWidth="1"/>
    <col min="4" max="4" width="15.5703125" style="45" hidden="1" customWidth="1"/>
    <col min="5" max="5" width="14.5703125" style="197" customWidth="1"/>
    <col min="6" max="6" width="13.85546875" style="45" customWidth="1"/>
    <col min="7" max="7" width="13.85546875" style="45" hidden="1" customWidth="1"/>
    <col min="8" max="8" width="12.85546875" hidden="1" customWidth="1"/>
    <col min="9" max="9" width="11.28515625" hidden="1" customWidth="1"/>
    <col min="10" max="10" width="10.85546875" customWidth="1"/>
    <col min="11" max="11" width="9.140625" customWidth="1"/>
  </cols>
  <sheetData>
    <row r="1" spans="1:43" ht="15" customHeight="1" x14ac:dyDescent="0.3">
      <c r="A1" s="65"/>
      <c r="B1" s="211"/>
      <c r="F1" s="212" t="s">
        <v>977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" customHeight="1" x14ac:dyDescent="0.3">
      <c r="A2" s="65"/>
      <c r="B2" s="211"/>
      <c r="F2" s="931" t="s">
        <v>1403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3">
      <c r="A3" s="65"/>
      <c r="B3" s="211"/>
      <c r="D3" s="212"/>
      <c r="F3" s="212" t="s">
        <v>1310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932" t="s">
        <v>27</v>
      </c>
      <c r="B4" s="932"/>
      <c r="C4" s="940"/>
      <c r="D4" s="940"/>
      <c r="E4" s="940"/>
      <c r="F4" s="940"/>
      <c r="G4" s="9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9.5" x14ac:dyDescent="0.35">
      <c r="A5" s="932" t="s">
        <v>1011</v>
      </c>
      <c r="B5" s="932"/>
      <c r="C5" s="940"/>
      <c r="D5" s="940"/>
      <c r="E5" s="940"/>
      <c r="F5" s="940"/>
      <c r="G5" s="9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3.5" thickBot="1" x14ac:dyDescent="0.25">
      <c r="A6" s="65"/>
      <c r="B6" s="65"/>
      <c r="F6" s="212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53.25" customHeight="1" thickBot="1" x14ac:dyDescent="0.25">
      <c r="A7" s="268" t="s">
        <v>119</v>
      </c>
      <c r="B7" s="54" t="s">
        <v>392</v>
      </c>
      <c r="C7" s="54" t="s">
        <v>760</v>
      </c>
      <c r="D7" s="54" t="s">
        <v>1229</v>
      </c>
      <c r="E7" s="54" t="s">
        <v>1238</v>
      </c>
      <c r="F7" s="54" t="s">
        <v>1028</v>
      </c>
      <c r="G7" s="55" t="s">
        <v>1012</v>
      </c>
      <c r="H7" s="2"/>
      <c r="I7" s="2"/>
      <c r="J7" s="38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22.5" customHeight="1" x14ac:dyDescent="0.2">
      <c r="A8" s="168" t="s">
        <v>370</v>
      </c>
      <c r="B8" s="278" t="s">
        <v>355</v>
      </c>
      <c r="C8" s="203">
        <f>SUM(C9:C50)</f>
        <v>898450</v>
      </c>
      <c r="D8" s="203">
        <f>SUM(D9:D50)</f>
        <v>1036486</v>
      </c>
      <c r="E8" s="203">
        <f>SUM(E9:E50)</f>
        <v>1159687</v>
      </c>
      <c r="F8" s="203">
        <f>SUM(F9:F50)</f>
        <v>1217875</v>
      </c>
      <c r="G8" s="203">
        <f>SUM(G9:G50)</f>
        <v>1062363</v>
      </c>
      <c r="H8" s="2"/>
      <c r="I8" s="37"/>
      <c r="J8" s="39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8" customHeight="1" x14ac:dyDescent="0.25">
      <c r="A9" s="18" t="s">
        <v>121</v>
      </c>
      <c r="B9" s="30" t="s">
        <v>222</v>
      </c>
      <c r="C9" s="46">
        <f>SUM('2.működés'!C9)</f>
        <v>457088</v>
      </c>
      <c r="D9" s="46">
        <f>SUM('2.működés'!D9)</f>
        <v>468558</v>
      </c>
      <c r="E9" s="46">
        <f>SUM('2.működés'!E9)</f>
        <v>505717</v>
      </c>
      <c r="F9" s="46">
        <f>SUM('2.működés'!F9)</f>
        <v>511587</v>
      </c>
      <c r="G9" s="46">
        <f>SUM('2.működés'!G9)</f>
        <v>507122</v>
      </c>
      <c r="H9" s="2"/>
      <c r="I9" s="37"/>
      <c r="J9" s="39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3.5" hidden="1" customHeight="1" x14ac:dyDescent="0.2">
      <c r="A10" s="9" t="s">
        <v>122</v>
      </c>
      <c r="B10" s="9" t="s">
        <v>130</v>
      </c>
      <c r="C10" s="6"/>
      <c r="D10" s="6"/>
      <c r="E10" s="6"/>
      <c r="F10" s="6"/>
      <c r="G10" s="6"/>
      <c r="H10" s="2"/>
      <c r="I10" s="36"/>
      <c r="J10" s="39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3.5" hidden="1" customHeight="1" x14ac:dyDescent="0.2">
      <c r="A11" s="9" t="s">
        <v>171</v>
      </c>
      <c r="B11" s="9" t="s">
        <v>172</v>
      </c>
      <c r="C11" s="6"/>
      <c r="D11" s="6"/>
      <c r="E11" s="6"/>
      <c r="F11" s="6"/>
      <c r="G11" s="6"/>
      <c r="H11" s="2"/>
      <c r="I11" s="36"/>
      <c r="J11" s="39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3.5" hidden="1" customHeight="1" x14ac:dyDescent="0.2">
      <c r="A12" s="9" t="s">
        <v>123</v>
      </c>
      <c r="B12" s="9" t="s">
        <v>127</v>
      </c>
      <c r="C12" s="7"/>
      <c r="D12" s="7"/>
      <c r="E12" s="7"/>
      <c r="F12" s="7"/>
      <c r="G12" s="7"/>
      <c r="H12" s="2"/>
      <c r="I12" s="36"/>
      <c r="J12" s="39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3.5" hidden="1" customHeight="1" x14ac:dyDescent="0.2">
      <c r="A13" s="9" t="s">
        <v>124</v>
      </c>
      <c r="B13" s="9" t="s">
        <v>128</v>
      </c>
      <c r="C13" s="13"/>
      <c r="D13" s="13"/>
      <c r="E13" s="13"/>
      <c r="F13" s="13"/>
      <c r="G13" s="13"/>
      <c r="H13" s="2"/>
      <c r="I13" s="36"/>
      <c r="J13" s="390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5" hidden="1" customHeight="1" x14ac:dyDescent="0.2">
      <c r="A14" s="9" t="s">
        <v>125</v>
      </c>
      <c r="B14" s="9" t="s">
        <v>129</v>
      </c>
      <c r="C14" s="17"/>
      <c r="D14" s="17"/>
      <c r="E14" s="17"/>
      <c r="F14" s="17"/>
      <c r="G14" s="17"/>
      <c r="H14" s="2"/>
      <c r="I14" s="36"/>
      <c r="J14" s="39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ht="12.75" hidden="1" customHeight="1" x14ac:dyDescent="0.2">
      <c r="A15" s="9" t="s">
        <v>126</v>
      </c>
      <c r="B15" s="9" t="s">
        <v>131</v>
      </c>
      <c r="C15" s="17"/>
      <c r="D15" s="17"/>
      <c r="E15" s="17"/>
      <c r="F15" s="17"/>
      <c r="G15" s="17"/>
      <c r="H15" s="2"/>
      <c r="I15" s="36"/>
      <c r="J15" s="39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ht="18" customHeight="1" x14ac:dyDescent="0.25">
      <c r="A16" s="18" t="s">
        <v>132</v>
      </c>
      <c r="B16" s="30" t="s">
        <v>223</v>
      </c>
      <c r="C16" s="51">
        <f>SUM('3.felh'!C13)</f>
        <v>23534</v>
      </c>
      <c r="D16" s="51">
        <f>SUM('3.felh'!D13)</f>
        <v>144238</v>
      </c>
      <c r="E16" s="51">
        <f>SUM('3.felh'!E13)</f>
        <v>159070</v>
      </c>
      <c r="F16" s="51">
        <f>SUM('3.felh'!F13)</f>
        <v>159070</v>
      </c>
      <c r="G16" s="51">
        <f>SUM('3.felh'!G13)</f>
        <v>38365</v>
      </c>
      <c r="H16" s="2"/>
      <c r="I16" s="36"/>
      <c r="J16" s="39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t="12.75" hidden="1" customHeight="1" x14ac:dyDescent="0.2">
      <c r="A17" s="9" t="s">
        <v>133</v>
      </c>
      <c r="B17" s="9" t="s">
        <v>140</v>
      </c>
      <c r="C17" s="6"/>
      <c r="D17" s="6"/>
      <c r="E17" s="6"/>
      <c r="F17" s="6"/>
      <c r="G17" s="6"/>
      <c r="H17" s="2"/>
      <c r="I17" s="36"/>
      <c r="J17" s="39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2.75" hidden="1" customHeight="1" x14ac:dyDescent="0.2">
      <c r="A18" s="9" t="s">
        <v>173</v>
      </c>
      <c r="B18" s="9" t="s">
        <v>174</v>
      </c>
      <c r="C18" s="17"/>
      <c r="D18" s="17"/>
      <c r="E18" s="17"/>
      <c r="F18" s="17"/>
      <c r="G18" s="17"/>
      <c r="H18" s="2"/>
      <c r="I18" s="36"/>
      <c r="J18" s="39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t="12.75" hidden="1" customHeight="1" x14ac:dyDescent="0.2">
      <c r="A19" s="9" t="s">
        <v>134</v>
      </c>
      <c r="B19" s="9" t="s">
        <v>137</v>
      </c>
      <c r="C19" s="17"/>
      <c r="D19" s="17"/>
      <c r="E19" s="17"/>
      <c r="F19" s="17"/>
      <c r="G19" s="17"/>
      <c r="H19" s="2"/>
      <c r="I19" s="36"/>
      <c r="J19" s="39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2.75" hidden="1" customHeight="1" x14ac:dyDescent="0.2">
      <c r="A20" s="9" t="s">
        <v>135</v>
      </c>
      <c r="B20" s="9" t="s">
        <v>138</v>
      </c>
      <c r="C20" s="17"/>
      <c r="D20" s="17"/>
      <c r="E20" s="17"/>
      <c r="F20" s="17"/>
      <c r="G20" s="17"/>
      <c r="H20" s="2"/>
      <c r="I20" s="36"/>
      <c r="J20" s="39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2.75" hidden="1" customHeight="1" x14ac:dyDescent="0.2">
      <c r="A21" s="9" t="s">
        <v>136</v>
      </c>
      <c r="B21" s="9" t="s">
        <v>139</v>
      </c>
      <c r="C21" s="17"/>
      <c r="D21" s="17"/>
      <c r="E21" s="17"/>
      <c r="F21" s="17"/>
      <c r="G21" s="17"/>
      <c r="H21" s="2"/>
      <c r="I21" s="36"/>
      <c r="J21" s="39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ht="18" customHeight="1" x14ac:dyDescent="0.25">
      <c r="A22" s="18" t="s">
        <v>141</v>
      </c>
      <c r="B22" s="30" t="s">
        <v>104</v>
      </c>
      <c r="C22" s="51">
        <f>SUM('2.működés'!C70)</f>
        <v>312000</v>
      </c>
      <c r="D22" s="204">
        <f>SUM('2.működés'!D70)</f>
        <v>312000</v>
      </c>
      <c r="E22" s="204">
        <f>SUM('2.működés'!E70)</f>
        <v>352650</v>
      </c>
      <c r="F22" s="51">
        <f>SUM('2.működés'!F70)</f>
        <v>376425</v>
      </c>
      <c r="G22" s="51">
        <f>SUM('2.működés'!G70)</f>
        <v>348204</v>
      </c>
      <c r="H22" s="8"/>
      <c r="I22" s="36"/>
      <c r="J22" s="39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t="12.75" hidden="1" customHeight="1" x14ac:dyDescent="0.2">
      <c r="A23" s="9" t="s">
        <v>142</v>
      </c>
      <c r="B23" s="9" t="s">
        <v>148</v>
      </c>
      <c r="C23" s="17"/>
      <c r="D23" s="16"/>
      <c r="E23" s="16"/>
      <c r="F23" s="17"/>
      <c r="G23" s="17"/>
      <c r="H23" s="8"/>
      <c r="I23" s="36"/>
      <c r="J23" s="39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hidden="1" customHeight="1" x14ac:dyDescent="0.2">
      <c r="A24" s="9" t="s">
        <v>143</v>
      </c>
      <c r="B24" s="9" t="s">
        <v>149</v>
      </c>
      <c r="C24" s="17"/>
      <c r="D24" s="16"/>
      <c r="E24" s="16"/>
      <c r="F24" s="17"/>
      <c r="G24" s="17"/>
      <c r="H24" s="8"/>
      <c r="I24" s="36"/>
      <c r="J24" s="39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hidden="1" customHeight="1" x14ac:dyDescent="0.2">
      <c r="A25" s="9" t="s">
        <v>144</v>
      </c>
      <c r="B25" s="26" t="s">
        <v>150</v>
      </c>
      <c r="C25" s="58"/>
      <c r="D25" s="228"/>
      <c r="E25" s="228"/>
      <c r="F25" s="58"/>
      <c r="G25" s="58"/>
      <c r="H25" s="8"/>
      <c r="I25" s="36"/>
      <c r="J25" s="39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hidden="1" customHeight="1" x14ac:dyDescent="0.2">
      <c r="A26" s="9" t="s">
        <v>145</v>
      </c>
      <c r="B26" s="9" t="s">
        <v>177</v>
      </c>
      <c r="C26" s="47"/>
      <c r="D26" s="47"/>
      <c r="E26" s="47"/>
      <c r="F26" s="47"/>
      <c r="G26" s="47"/>
      <c r="H26" s="8"/>
      <c r="I26" s="36"/>
      <c r="J26" s="39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s="59" customFormat="1" ht="12.75" hidden="1" customHeight="1" x14ac:dyDescent="0.2">
      <c r="A27" s="9" t="s">
        <v>146</v>
      </c>
      <c r="B27" s="9" t="s">
        <v>178</v>
      </c>
      <c r="C27" s="17"/>
      <c r="D27" s="16"/>
      <c r="E27" s="16"/>
      <c r="F27" s="17"/>
      <c r="G27" s="17"/>
      <c r="H27" s="8"/>
      <c r="I27" s="36"/>
      <c r="J27" s="39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s="59" customFormat="1" ht="12.75" hidden="1" customHeight="1" x14ac:dyDescent="0.2">
      <c r="A28" s="9" t="s">
        <v>147</v>
      </c>
      <c r="B28" s="9" t="s">
        <v>151</v>
      </c>
      <c r="C28" s="17"/>
      <c r="D28" s="16"/>
      <c r="E28" s="16"/>
      <c r="F28" s="17"/>
      <c r="G28" s="17"/>
      <c r="H28" s="8"/>
      <c r="I28" s="36"/>
      <c r="J28" s="39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s="59" customFormat="1" ht="18" customHeight="1" x14ac:dyDescent="0.25">
      <c r="A29" s="18" t="s">
        <v>152</v>
      </c>
      <c r="B29" s="30" t="s">
        <v>224</v>
      </c>
      <c r="C29" s="51">
        <f>SUM('2.működés'!C83)</f>
        <v>38528</v>
      </c>
      <c r="D29" s="204">
        <f>SUM('2.működés'!D83)</f>
        <v>39270</v>
      </c>
      <c r="E29" s="204">
        <f>SUM('2.működés'!E83)</f>
        <v>55755</v>
      </c>
      <c r="F29" s="51">
        <f>SUM('2.működés'!F83)</f>
        <v>73496</v>
      </c>
      <c r="G29" s="51">
        <f>SUM('2.működés'!G83)</f>
        <v>71384</v>
      </c>
      <c r="H29" s="8"/>
      <c r="I29" s="36"/>
      <c r="J29" s="39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3.5" hidden="1" customHeight="1" x14ac:dyDescent="0.2">
      <c r="A30" s="9" t="s">
        <v>155</v>
      </c>
      <c r="B30" s="9" t="s">
        <v>153</v>
      </c>
      <c r="C30" s="17"/>
      <c r="D30" s="17"/>
      <c r="E30" s="17"/>
      <c r="F30" s="17"/>
      <c r="G30" s="17"/>
      <c r="H30" s="8"/>
      <c r="I30" s="36"/>
      <c r="J30" s="39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s="59" customFormat="1" ht="13.5" hidden="1" customHeight="1" x14ac:dyDescent="0.2">
      <c r="A31" s="9" t="s">
        <v>156</v>
      </c>
      <c r="B31" s="9" t="s">
        <v>154</v>
      </c>
      <c r="C31" s="17"/>
      <c r="D31" s="17"/>
      <c r="E31" s="17"/>
      <c r="F31" s="17"/>
      <c r="G31" s="17"/>
      <c r="H31" s="8"/>
      <c r="I31" s="36"/>
      <c r="J31" s="39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s="59" customFormat="1" ht="13.5" hidden="1" customHeight="1" x14ac:dyDescent="0.2">
      <c r="A32" s="9" t="s">
        <v>157</v>
      </c>
      <c r="B32" s="9" t="s">
        <v>160</v>
      </c>
      <c r="C32" s="13"/>
      <c r="D32" s="13"/>
      <c r="E32" s="13"/>
      <c r="F32" s="13"/>
      <c r="G32" s="13"/>
      <c r="H32" s="8"/>
      <c r="I32" s="36"/>
      <c r="J32" s="39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3.5" hidden="1" customHeight="1" x14ac:dyDescent="0.2">
      <c r="A33" s="9" t="s">
        <v>158</v>
      </c>
      <c r="B33" s="26" t="s">
        <v>161</v>
      </c>
      <c r="C33" s="9"/>
      <c r="D33" s="9"/>
      <c r="E33" s="9"/>
      <c r="F33" s="9"/>
      <c r="G33" s="9"/>
      <c r="H33" s="8"/>
      <c r="I33" s="36"/>
      <c r="J33" s="39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hidden="1" customHeight="1" x14ac:dyDescent="0.2">
      <c r="A34" s="9" t="s">
        <v>159</v>
      </c>
      <c r="B34" s="26" t="s">
        <v>162</v>
      </c>
      <c r="C34" s="9"/>
      <c r="D34" s="9"/>
      <c r="E34" s="9"/>
      <c r="F34" s="9"/>
      <c r="G34" s="9"/>
      <c r="H34" s="8"/>
      <c r="I34" s="36"/>
      <c r="J34" s="390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hidden="1" customHeight="1" x14ac:dyDescent="0.2">
      <c r="A35" s="9" t="s">
        <v>163</v>
      </c>
      <c r="B35" s="26" t="s">
        <v>164</v>
      </c>
      <c r="C35" s="9"/>
      <c r="D35" s="9"/>
      <c r="E35" s="9"/>
      <c r="F35" s="9"/>
      <c r="G35" s="9"/>
      <c r="H35" s="8"/>
      <c r="I35" s="36"/>
      <c r="J35" s="39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hidden="1" customHeight="1" x14ac:dyDescent="0.2">
      <c r="A36" s="9" t="s">
        <v>165</v>
      </c>
      <c r="B36" s="26" t="s">
        <v>166</v>
      </c>
      <c r="C36" s="9"/>
      <c r="D36" s="9"/>
      <c r="E36" s="9"/>
      <c r="F36" s="9"/>
      <c r="G36" s="9"/>
      <c r="H36" s="8"/>
      <c r="I36" s="36"/>
      <c r="J36" s="39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hidden="1" customHeight="1" x14ac:dyDescent="0.2">
      <c r="A37" s="9" t="s">
        <v>167</v>
      </c>
      <c r="B37" s="26" t="s">
        <v>168</v>
      </c>
      <c r="C37" s="9"/>
      <c r="D37" s="9"/>
      <c r="E37" s="9"/>
      <c r="F37" s="9"/>
      <c r="G37" s="9"/>
      <c r="H37" s="8"/>
      <c r="I37" s="36"/>
      <c r="J37" s="39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hidden="1" customHeight="1" x14ac:dyDescent="0.2">
      <c r="A38" s="9" t="s">
        <v>169</v>
      </c>
      <c r="B38" s="26" t="s">
        <v>170</v>
      </c>
      <c r="C38" s="9"/>
      <c r="D38" s="9"/>
      <c r="E38" s="9"/>
      <c r="F38" s="9"/>
      <c r="G38" s="9"/>
      <c r="H38" s="8"/>
      <c r="I38" s="36"/>
      <c r="J38" s="39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hidden="1" customHeight="1" x14ac:dyDescent="0.2">
      <c r="A39" s="9" t="s">
        <v>175</v>
      </c>
      <c r="B39" s="26" t="s">
        <v>176</v>
      </c>
      <c r="C39" s="9"/>
      <c r="D39" s="9"/>
      <c r="E39" s="9"/>
      <c r="F39" s="9"/>
      <c r="G39" s="9"/>
      <c r="H39" s="8"/>
      <c r="I39" s="36"/>
      <c r="J39" s="39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7.25" customHeight="1" x14ac:dyDescent="0.25">
      <c r="A40" s="18" t="s">
        <v>179</v>
      </c>
      <c r="B40" s="30" t="s">
        <v>225</v>
      </c>
      <c r="C40" s="51">
        <f>SUM('3.felh'!C20)</f>
        <v>40000</v>
      </c>
      <c r="D40" s="51">
        <f>SUM('3.felh'!D20)</f>
        <v>40000</v>
      </c>
      <c r="E40" s="51">
        <f>SUM('3.felh'!E20)</f>
        <v>46575</v>
      </c>
      <c r="F40" s="51">
        <f>SUM('3.felh'!F20)</f>
        <v>46640</v>
      </c>
      <c r="G40" s="51">
        <f>SUM('3.felh'!G20)</f>
        <v>46637</v>
      </c>
      <c r="H40" s="2"/>
      <c r="I40" s="36"/>
      <c r="J40" s="39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hidden="1" customHeight="1" x14ac:dyDescent="0.2">
      <c r="A41" s="9" t="s">
        <v>180</v>
      </c>
      <c r="B41" s="26" t="s">
        <v>185</v>
      </c>
      <c r="C41" s="9"/>
      <c r="D41" s="9"/>
      <c r="E41" s="9"/>
      <c r="F41" s="9"/>
      <c r="G41" s="9"/>
      <c r="H41" s="2"/>
      <c r="I41" s="36"/>
      <c r="J41" s="39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hidden="1" customHeight="1" x14ac:dyDescent="0.2">
      <c r="A42" s="9" t="s">
        <v>181</v>
      </c>
      <c r="B42" s="26" t="s">
        <v>186</v>
      </c>
      <c r="C42" s="9"/>
      <c r="D42" s="9"/>
      <c r="E42" s="9"/>
      <c r="F42" s="9"/>
      <c r="G42" s="9"/>
      <c r="H42" s="2"/>
      <c r="I42" s="36"/>
      <c r="J42" s="39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hidden="1" customHeight="1" x14ac:dyDescent="0.2">
      <c r="A43" s="9" t="s">
        <v>182</v>
      </c>
      <c r="B43" s="26" t="s">
        <v>187</v>
      </c>
      <c r="C43" s="9"/>
      <c r="D43" s="9"/>
      <c r="E43" s="9"/>
      <c r="F43" s="9"/>
      <c r="G43" s="9"/>
      <c r="H43" s="2"/>
      <c r="I43" s="36"/>
      <c r="J43" s="39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hidden="1" customHeight="1" x14ac:dyDescent="0.2">
      <c r="A44" s="9" t="s">
        <v>183</v>
      </c>
      <c r="B44" s="26" t="s">
        <v>188</v>
      </c>
      <c r="C44" s="9"/>
      <c r="D44" s="9"/>
      <c r="E44" s="9"/>
      <c r="F44" s="9"/>
      <c r="G44" s="9"/>
      <c r="H44" s="2"/>
      <c r="I44" s="36"/>
      <c r="J44" s="39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hidden="1" customHeight="1" x14ac:dyDescent="0.2">
      <c r="A45" s="9" t="s">
        <v>184</v>
      </c>
      <c r="B45" s="26" t="s">
        <v>189</v>
      </c>
      <c r="C45" s="9"/>
      <c r="D45" s="9"/>
      <c r="E45" s="9"/>
      <c r="F45" s="9"/>
      <c r="G45" s="9"/>
      <c r="H45" s="2"/>
      <c r="I45" s="36"/>
      <c r="J45" s="39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8" customHeight="1" x14ac:dyDescent="0.25">
      <c r="A46" s="18" t="s">
        <v>190</v>
      </c>
      <c r="B46" s="30" t="s">
        <v>226</v>
      </c>
      <c r="C46" s="51">
        <f>SUM('2.működés'!C95)</f>
        <v>17000</v>
      </c>
      <c r="D46" s="51">
        <f>SUM('2.működés'!D95)</f>
        <v>22120</v>
      </c>
      <c r="E46" s="51">
        <f>SUM('2.működés'!E95)</f>
        <v>29620</v>
      </c>
      <c r="F46" s="51">
        <f>SUM('2.működés'!F95)</f>
        <v>40357</v>
      </c>
      <c r="G46" s="51">
        <f>SUM('2.működés'!G95)</f>
        <v>40357</v>
      </c>
      <c r="H46" s="2"/>
      <c r="I46" s="36"/>
      <c r="J46" s="39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hidden="1" customHeight="1" x14ac:dyDescent="0.2">
      <c r="A47" s="9" t="s">
        <v>196</v>
      </c>
      <c r="B47" s="26" t="s">
        <v>193</v>
      </c>
      <c r="C47" s="9"/>
      <c r="D47" s="9"/>
      <c r="E47" s="9"/>
      <c r="F47" s="9"/>
      <c r="G47" s="9"/>
      <c r="H47" s="2"/>
      <c r="I47" s="36"/>
      <c r="J47" s="39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hidden="1" customHeight="1" x14ac:dyDescent="0.2">
      <c r="A48" s="9" t="s">
        <v>197</v>
      </c>
      <c r="B48" s="26" t="s">
        <v>194</v>
      </c>
      <c r="C48" s="9"/>
      <c r="D48" s="9"/>
      <c r="E48" s="9"/>
      <c r="F48" s="9"/>
      <c r="G48" s="9"/>
      <c r="H48" s="2"/>
      <c r="I48" s="36"/>
      <c r="J48" s="39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t="12.75" hidden="1" customHeight="1" x14ac:dyDescent="0.2">
      <c r="A49" s="9" t="s">
        <v>198</v>
      </c>
      <c r="B49" s="26" t="s">
        <v>195</v>
      </c>
      <c r="C49" s="9"/>
      <c r="D49" s="9"/>
      <c r="E49" s="9"/>
      <c r="F49" s="9"/>
      <c r="G49" s="9"/>
      <c r="H49" s="2"/>
      <c r="I49" s="36"/>
      <c r="J49" s="39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18" customHeight="1" x14ac:dyDescent="0.25">
      <c r="A50" s="18" t="s">
        <v>191</v>
      </c>
      <c r="B50" s="30" t="s">
        <v>227</v>
      </c>
      <c r="C50" s="51">
        <f>SUM('3.felh'!C26)</f>
        <v>10300</v>
      </c>
      <c r="D50" s="51">
        <f>SUM('3.felh'!D26)</f>
        <v>10300</v>
      </c>
      <c r="E50" s="51">
        <f>SUM('3.felh'!E26)</f>
        <v>10300</v>
      </c>
      <c r="F50" s="51">
        <f>SUM('3.felh'!F26)</f>
        <v>10300</v>
      </c>
      <c r="G50" s="51">
        <f>SUM('3.felh'!G26)</f>
        <v>10294</v>
      </c>
      <c r="H50" s="2"/>
      <c r="I50" s="36"/>
      <c r="J50" s="39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3.5" hidden="1" customHeight="1" x14ac:dyDescent="0.25">
      <c r="A51" s="9" t="s">
        <v>199</v>
      </c>
      <c r="B51" s="26" t="s">
        <v>202</v>
      </c>
      <c r="C51" s="51"/>
      <c r="D51" s="51"/>
      <c r="E51" s="51"/>
      <c r="F51" s="51"/>
      <c r="G51" s="51"/>
      <c r="H51" s="2"/>
      <c r="I51" s="36"/>
      <c r="J51" s="39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13.5" hidden="1" customHeight="1" x14ac:dyDescent="0.25">
      <c r="A52" s="9" t="s">
        <v>200</v>
      </c>
      <c r="B52" s="26" t="s">
        <v>203</v>
      </c>
      <c r="C52" s="51"/>
      <c r="D52" s="51"/>
      <c r="E52" s="51"/>
      <c r="F52" s="51"/>
      <c r="G52" s="51"/>
      <c r="H52" s="2"/>
      <c r="I52" s="36"/>
      <c r="J52" s="39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ht="13.5" hidden="1" customHeight="1" x14ac:dyDescent="0.25">
      <c r="A53" s="9" t="s">
        <v>201</v>
      </c>
      <c r="B53" s="26" t="s">
        <v>204</v>
      </c>
      <c r="C53" s="51"/>
      <c r="D53" s="51"/>
      <c r="E53" s="51"/>
      <c r="F53" s="51"/>
      <c r="G53" s="51"/>
      <c r="H53" s="2"/>
      <c r="I53" s="36"/>
      <c r="J53" s="39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ht="22.5" customHeight="1" x14ac:dyDescent="0.2">
      <c r="A54" s="32" t="s">
        <v>192</v>
      </c>
      <c r="B54" s="202" t="s">
        <v>367</v>
      </c>
      <c r="C54" s="241">
        <f>SUM(C55+C60)</f>
        <v>999900</v>
      </c>
      <c r="D54" s="241">
        <f>SUM(D55+D60)</f>
        <v>999900</v>
      </c>
      <c r="E54" s="241">
        <f>SUM(E55+E60)</f>
        <v>1341900</v>
      </c>
      <c r="F54" s="241">
        <f>SUM(F55+F60)</f>
        <v>1357816</v>
      </c>
      <c r="G54" s="241">
        <f>SUM(G55+G60)</f>
        <v>1015816</v>
      </c>
      <c r="H54" s="2"/>
      <c r="I54" s="36"/>
      <c r="J54" s="39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ht="13.5" customHeight="1" x14ac:dyDescent="0.25">
      <c r="A55" s="32"/>
      <c r="B55" s="30" t="s">
        <v>451</v>
      </c>
      <c r="C55" s="51">
        <f>SUM(C56)+C59</f>
        <v>999900</v>
      </c>
      <c r="D55" s="51">
        <f>SUM(D56)+D59</f>
        <v>999900</v>
      </c>
      <c r="E55" s="51">
        <f>SUM(E56)+E59</f>
        <v>999900</v>
      </c>
      <c r="F55" s="51">
        <f>SUM(F56)+F59</f>
        <v>1015816</v>
      </c>
      <c r="G55" s="51">
        <f>SUM(G56)+G59</f>
        <v>1015816</v>
      </c>
      <c r="H55" s="2"/>
      <c r="I55" s="36"/>
      <c r="J55" s="39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ht="13.5" customHeight="1" x14ac:dyDescent="0.2">
      <c r="A56" s="9"/>
      <c r="B56" s="39" t="s">
        <v>452</v>
      </c>
      <c r="C56" s="15">
        <f>SUM(C57:C58)</f>
        <v>999900</v>
      </c>
      <c r="D56" s="15">
        <f>SUM(D57:D58)</f>
        <v>999900</v>
      </c>
      <c r="E56" s="15">
        <f>SUM(E57:E58)</f>
        <v>999900</v>
      </c>
      <c r="F56" s="15">
        <f>SUM(F57:F58)</f>
        <v>999900</v>
      </c>
      <c r="G56" s="15">
        <f>SUM(G57:G58)</f>
        <v>999900</v>
      </c>
      <c r="H56" s="2"/>
      <c r="I56" s="36"/>
      <c r="J56" s="390"/>
      <c r="K56" s="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x14ac:dyDescent="0.2">
      <c r="A57" s="9"/>
      <c r="B57" s="39" t="s">
        <v>440</v>
      </c>
      <c r="C57" s="16">
        <f>SUM('2.működés'!C104)</f>
        <v>270035</v>
      </c>
      <c r="D57" s="16">
        <f>SUM('2.működés'!D104)</f>
        <v>270035</v>
      </c>
      <c r="E57" s="16">
        <f>SUM('2.működés'!E104)</f>
        <v>270035</v>
      </c>
      <c r="F57" s="16">
        <f>SUM('2.működés'!F104)</f>
        <v>270035</v>
      </c>
      <c r="G57" s="16">
        <f>SUM('2.működés'!G104)</f>
        <v>270035</v>
      </c>
      <c r="H57" s="2"/>
      <c r="I57" s="36"/>
      <c r="J57" s="39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x14ac:dyDescent="0.2">
      <c r="A58" s="9"/>
      <c r="B58" s="39" t="s">
        <v>441</v>
      </c>
      <c r="C58" s="16">
        <f>'3.felh'!C32</f>
        <v>729865</v>
      </c>
      <c r="D58" s="16">
        <f>'3.felh'!D32</f>
        <v>729865</v>
      </c>
      <c r="E58" s="16">
        <f>'3.felh'!E32</f>
        <v>729865</v>
      </c>
      <c r="F58" s="16">
        <f>'3.felh'!F32</f>
        <v>729865</v>
      </c>
      <c r="G58" s="16">
        <f>'3.felh'!G32</f>
        <v>729865</v>
      </c>
      <c r="H58" s="2"/>
      <c r="I58" s="36"/>
      <c r="J58" s="39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ht="13.5" customHeight="1" x14ac:dyDescent="0.2">
      <c r="A59" s="9"/>
      <c r="B59" s="39" t="s">
        <v>523</v>
      </c>
      <c r="C59" s="16">
        <f>'2.működés'!C109</f>
        <v>0</v>
      </c>
      <c r="D59" s="16">
        <f>'2.működés'!D109</f>
        <v>0</v>
      </c>
      <c r="E59" s="16">
        <f>'2.működés'!E109</f>
        <v>0</v>
      </c>
      <c r="F59" s="16">
        <f>'2.működés'!F109</f>
        <v>15916</v>
      </c>
      <c r="G59" s="16">
        <f>'2.működés'!G109</f>
        <v>15916</v>
      </c>
      <c r="H59" s="2"/>
      <c r="I59" s="36"/>
      <c r="J59" s="39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ht="13.5" customHeight="1" x14ac:dyDescent="0.25">
      <c r="A60" s="9"/>
      <c r="B60" s="30" t="s">
        <v>449</v>
      </c>
      <c r="C60" s="51">
        <f>SUM(C61:C62)</f>
        <v>0</v>
      </c>
      <c r="D60" s="51">
        <f>SUM(D61:D62)</f>
        <v>0</v>
      </c>
      <c r="E60" s="51">
        <f>SUM(E61:E62)</f>
        <v>342000</v>
      </c>
      <c r="F60" s="51">
        <f>SUM(F61:F62)</f>
        <v>342000</v>
      </c>
      <c r="G60" s="51">
        <f>SUM(G61:G62)</f>
        <v>0</v>
      </c>
      <c r="H60" s="2"/>
      <c r="I60" s="36"/>
      <c r="J60" s="39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13.5" customHeight="1" x14ac:dyDescent="0.2">
      <c r="A61" s="9"/>
      <c r="B61" s="9" t="s">
        <v>249</v>
      </c>
      <c r="C61" s="17">
        <v>0</v>
      </c>
      <c r="D61" s="17"/>
      <c r="E61" s="17">
        <v>0</v>
      </c>
      <c r="F61" s="17">
        <v>0</v>
      </c>
      <c r="G61" s="17">
        <v>0</v>
      </c>
      <c r="H61" s="2"/>
      <c r="I61" s="36"/>
      <c r="J61" s="39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ht="13.5" customHeight="1" thickBot="1" x14ac:dyDescent="0.25">
      <c r="A62" s="14"/>
      <c r="B62" s="192" t="s">
        <v>250</v>
      </c>
      <c r="C62" s="200">
        <f>'3.felh'!C35</f>
        <v>0</v>
      </c>
      <c r="D62" s="200">
        <f>'3.felh'!D35</f>
        <v>0</v>
      </c>
      <c r="E62" s="200">
        <f>'3.felh'!E35</f>
        <v>342000</v>
      </c>
      <c r="F62" s="200">
        <f>'3.felh'!F35</f>
        <v>342000</v>
      </c>
      <c r="G62" s="200">
        <f>'3.felh'!G35</f>
        <v>0</v>
      </c>
      <c r="H62" s="2"/>
      <c r="I62" s="36"/>
      <c r="J62" s="39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23.25" customHeight="1" thickBot="1" x14ac:dyDescent="0.4">
      <c r="A63" s="266"/>
      <c r="B63" s="267" t="s">
        <v>391</v>
      </c>
      <c r="C63" s="711">
        <f>SUM(C8+C54)</f>
        <v>1898350</v>
      </c>
      <c r="D63" s="711">
        <f>SUM(D8+D54)</f>
        <v>2036386</v>
      </c>
      <c r="E63" s="711">
        <f>SUM(E8+E54)</f>
        <v>2501587</v>
      </c>
      <c r="F63" s="210">
        <f>SUM(F8+F54)</f>
        <v>2575691</v>
      </c>
      <c r="G63" s="57">
        <f>SUM(G8+G54)</f>
        <v>2078179</v>
      </c>
      <c r="H63" s="744">
        <f>F63-E63</f>
        <v>74104</v>
      </c>
      <c r="I63" s="37"/>
      <c r="J63" s="390"/>
      <c r="K63" s="2"/>
      <c r="L63" s="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20.25" customHeight="1" x14ac:dyDescent="0.25">
      <c r="A64" s="168" t="s">
        <v>369</v>
      </c>
      <c r="B64" s="284" t="s">
        <v>357</v>
      </c>
      <c r="C64" s="223">
        <f>SUM(C65+C70)</f>
        <v>1863198</v>
      </c>
      <c r="D64" s="223">
        <f>SUM(D65+D70)</f>
        <v>2001234</v>
      </c>
      <c r="E64" s="223">
        <f>SUM(E65+E70)</f>
        <v>2466435</v>
      </c>
      <c r="F64" s="223">
        <f>SUM(F65+F70)</f>
        <v>2540539</v>
      </c>
      <c r="G64" s="223">
        <f>SUM(G65+G70)</f>
        <v>1247450</v>
      </c>
      <c r="H64" s="8"/>
      <c r="I64" s="8"/>
      <c r="J64" s="39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t="18" customHeight="1" x14ac:dyDescent="0.25">
      <c r="A65" s="18" t="s">
        <v>205</v>
      </c>
      <c r="B65" s="227" t="s">
        <v>8</v>
      </c>
      <c r="C65" s="224">
        <f>SUM(C66:C68)</f>
        <v>1000160</v>
      </c>
      <c r="D65" s="224">
        <f>SUM(D66:D68)</f>
        <v>1017492</v>
      </c>
      <c r="E65" s="224">
        <f>SUM(E66:E68)</f>
        <v>1119649</v>
      </c>
      <c r="F65" s="224">
        <f>SUM(F66:F68)</f>
        <v>1193684</v>
      </c>
      <c r="G65" s="224">
        <f>SUM(G66:G68)</f>
        <v>856711</v>
      </c>
      <c r="H65" s="8"/>
      <c r="I65" s="36"/>
      <c r="J65" s="39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x14ac:dyDescent="0.2">
      <c r="A66" s="9"/>
      <c r="B66" s="29" t="s">
        <v>9</v>
      </c>
      <c r="C66" s="96">
        <f>SUM('8.Önk.'!BA100)</f>
        <v>744247</v>
      </c>
      <c r="D66" s="96">
        <f>SUM('8.Önk.'!BB100)</f>
        <v>772790</v>
      </c>
      <c r="E66" s="96">
        <f>SUM('8.Önk.'!BC100)</f>
        <v>819307</v>
      </c>
      <c r="F66" s="96">
        <f>SUM('8.Önk.'!BD100)</f>
        <v>832766</v>
      </c>
      <c r="G66" s="96">
        <f>SUM('8.Önk.'!BE100)</f>
        <v>626441</v>
      </c>
      <c r="H66" s="2"/>
      <c r="I66" s="37"/>
      <c r="J66" s="390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3.5" customHeight="1" thickBot="1" x14ac:dyDescent="0.25">
      <c r="A67" s="9"/>
      <c r="B67" s="25" t="s">
        <v>488</v>
      </c>
      <c r="C67" s="150">
        <f>SUM('9.Hivatal'!R75)</f>
        <v>225950</v>
      </c>
      <c r="D67" s="150">
        <f>SUM('9.Hivatal'!S75)</f>
        <v>233096</v>
      </c>
      <c r="E67" s="150">
        <f>SUM('9.Hivatal'!T75)</f>
        <v>233096</v>
      </c>
      <c r="F67" s="150">
        <f>SUM('9.Hivatal'!U75)</f>
        <v>236096</v>
      </c>
      <c r="G67" s="150">
        <f>SUM('9.Hivatal'!V75)</f>
        <v>230270</v>
      </c>
      <c r="H67" s="2"/>
      <c r="I67" s="36"/>
      <c r="J67" s="390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s="89" customFormat="1" ht="13.5" customHeight="1" thickBot="1" x14ac:dyDescent="0.25">
      <c r="A68" s="25"/>
      <c r="B68" s="258" t="s">
        <v>208</v>
      </c>
      <c r="C68" s="928">
        <f>SUM('2.működés'!C126)</f>
        <v>29963</v>
      </c>
      <c r="D68" s="929">
        <f>SUM('2.működés'!D126)</f>
        <v>11606</v>
      </c>
      <c r="E68" s="929">
        <f>SUM('2.működés'!E126)</f>
        <v>67246</v>
      </c>
      <c r="F68" s="701">
        <f>SUM('2.működés'!F126)</f>
        <v>124822</v>
      </c>
      <c r="G68" s="358">
        <f>SUM('2.működés'!G126)</f>
        <v>0</v>
      </c>
      <c r="H68" s="179"/>
      <c r="I68" s="178"/>
      <c r="J68" s="390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</row>
    <row r="69" spans="1:43" s="89" customFormat="1" ht="12.75" hidden="1" customHeight="1" thickBot="1" x14ac:dyDescent="0.25">
      <c r="A69" s="25"/>
      <c r="B69" s="25" t="s">
        <v>450</v>
      </c>
      <c r="C69" s="332"/>
      <c r="D69" s="332"/>
      <c r="E69" s="332"/>
      <c r="F69" s="332"/>
      <c r="G69" s="332"/>
      <c r="H69" s="179"/>
      <c r="I69" s="178"/>
      <c r="J69" s="390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</row>
    <row r="70" spans="1:43" s="89" customFormat="1" ht="18" customHeight="1" x14ac:dyDescent="0.25">
      <c r="A70" s="29" t="s">
        <v>206</v>
      </c>
      <c r="B70" s="227" t="s">
        <v>228</v>
      </c>
      <c r="C70" s="44">
        <f>SUM(C71:C73)</f>
        <v>863038</v>
      </c>
      <c r="D70" s="44">
        <f>SUM(D71:D73)</f>
        <v>983742</v>
      </c>
      <c r="E70" s="44">
        <f>SUM(E71:E73)</f>
        <v>1346786</v>
      </c>
      <c r="F70" s="44">
        <f>SUM(F71:F73)</f>
        <v>1346855</v>
      </c>
      <c r="G70" s="44">
        <f>SUM(G71:G73)</f>
        <v>390739</v>
      </c>
      <c r="H70" s="642"/>
      <c r="I70" s="178"/>
      <c r="J70" s="390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</row>
    <row r="71" spans="1:43" s="230" customFormat="1" ht="13.5" customHeight="1" x14ac:dyDescent="0.2">
      <c r="A71" s="25"/>
      <c r="B71" s="25" t="s">
        <v>350</v>
      </c>
      <c r="C71" s="16">
        <f>SUM('3.felh'!C39)</f>
        <v>221251</v>
      </c>
      <c r="D71" s="16">
        <f>SUM('3.felh'!D39)</f>
        <v>195969</v>
      </c>
      <c r="E71" s="16">
        <f>SUM('3.felh'!E39)</f>
        <v>576743</v>
      </c>
      <c r="F71" s="16">
        <f>SUM('3.felh'!F39)</f>
        <v>577785</v>
      </c>
      <c r="G71" s="16">
        <f>SUM('3.felh'!G39)</f>
        <v>133863</v>
      </c>
      <c r="H71" s="179"/>
      <c r="I71" s="642"/>
      <c r="J71" s="390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</row>
    <row r="72" spans="1:43" s="230" customFormat="1" ht="13.5" customHeight="1" x14ac:dyDescent="0.2">
      <c r="A72" s="25"/>
      <c r="B72" s="25" t="s">
        <v>351</v>
      </c>
      <c r="C72" s="16">
        <f>SUM('3.felh'!C63)</f>
        <v>587652</v>
      </c>
      <c r="D72" s="16">
        <f>SUM('3.felh'!D63)</f>
        <v>615464</v>
      </c>
      <c r="E72" s="16">
        <f>SUM('3.felh'!E63)</f>
        <v>679037</v>
      </c>
      <c r="F72" s="16">
        <f>SUM('3.felh'!F63)</f>
        <v>679427</v>
      </c>
      <c r="G72" s="16">
        <f>SUM('3.felh'!G63)</f>
        <v>251856</v>
      </c>
      <c r="H72" s="179"/>
      <c r="I72" s="179"/>
      <c r="J72" s="390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</row>
    <row r="73" spans="1:43" s="230" customFormat="1" ht="13.5" customHeight="1" x14ac:dyDescent="0.2">
      <c r="A73" s="25"/>
      <c r="B73" s="25" t="s">
        <v>352</v>
      </c>
      <c r="C73" s="16">
        <f>SUM(C74:C76)</f>
        <v>54135</v>
      </c>
      <c r="D73" s="16">
        <f>SUM(D74:D76)</f>
        <v>172309</v>
      </c>
      <c r="E73" s="16">
        <f>SUM(E74:E76)</f>
        <v>91006</v>
      </c>
      <c r="F73" s="16">
        <f>SUM(F74:F76)</f>
        <v>89643</v>
      </c>
      <c r="G73" s="16">
        <f>SUM(G74:G76)</f>
        <v>5020</v>
      </c>
      <c r="H73" s="179"/>
      <c r="I73" s="179"/>
      <c r="J73" s="390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</row>
    <row r="74" spans="1:43" s="230" customFormat="1" ht="13.5" customHeight="1" x14ac:dyDescent="0.2">
      <c r="A74" s="25"/>
      <c r="B74" s="25" t="s">
        <v>1221</v>
      </c>
      <c r="C74" s="16">
        <f>SUM('3.felh'!C81)</f>
        <v>0</v>
      </c>
      <c r="D74" s="16">
        <f>SUM('3.felh'!D81)</f>
        <v>1</v>
      </c>
      <c r="E74" s="16">
        <f>SUM('3.felh'!E81)</f>
        <v>1</v>
      </c>
      <c r="F74" s="16">
        <f>SUM('3.felh'!F81)</f>
        <v>21</v>
      </c>
      <c r="G74" s="200">
        <f>SUM('3.felh'!G81)</f>
        <v>20</v>
      </c>
      <c r="H74" s="179"/>
      <c r="I74" s="179"/>
      <c r="J74" s="390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  <c r="AQ74" s="179"/>
    </row>
    <row r="75" spans="1:43" s="230" customFormat="1" ht="13.5" customHeight="1" thickBot="1" x14ac:dyDescent="0.25">
      <c r="A75" s="25"/>
      <c r="B75" s="25" t="s">
        <v>1269</v>
      </c>
      <c r="C75" s="16">
        <v>0</v>
      </c>
      <c r="D75" s="16">
        <v>0</v>
      </c>
      <c r="E75" s="16">
        <f>SUM('3.felh'!E82)</f>
        <v>5000</v>
      </c>
      <c r="F75" s="16">
        <f>SUM('3.felh'!F82)</f>
        <v>5000</v>
      </c>
      <c r="G75" s="16">
        <f>SUM('3.felh'!G82)</f>
        <v>5000</v>
      </c>
      <c r="H75" s="179"/>
      <c r="I75" s="179"/>
      <c r="J75" s="390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</row>
    <row r="76" spans="1:43" s="230" customFormat="1" ht="13.5" customHeight="1" thickBot="1" x14ac:dyDescent="0.25">
      <c r="A76" s="25"/>
      <c r="B76" s="25" t="s">
        <v>1268</v>
      </c>
      <c r="C76" s="928">
        <f>SUM('3.felh'!C83)</f>
        <v>54135</v>
      </c>
      <c r="D76" s="928">
        <f>SUM('3.felh'!D83)</f>
        <v>172308</v>
      </c>
      <c r="E76" s="928">
        <f>SUM('3.felh'!E83)</f>
        <v>86005</v>
      </c>
      <c r="F76" s="928">
        <f>SUM('3.felh'!F83)</f>
        <v>84622</v>
      </c>
      <c r="G76" s="712">
        <f>SUM('3.felh'!G83)</f>
        <v>0</v>
      </c>
      <c r="H76" s="642"/>
      <c r="I76" s="179"/>
      <c r="J76" s="390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  <c r="AQ76" s="179"/>
    </row>
    <row r="77" spans="1:43" s="59" customFormat="1" ht="22.5" customHeight="1" x14ac:dyDescent="0.25">
      <c r="A77" s="18" t="s">
        <v>207</v>
      </c>
      <c r="B77" s="202" t="s">
        <v>368</v>
      </c>
      <c r="C77" s="225">
        <f>SUM(C78+C82+C83)</f>
        <v>35152</v>
      </c>
      <c r="D77" s="225">
        <f>SUM(D78+D82+D83)</f>
        <v>35152</v>
      </c>
      <c r="E77" s="225">
        <f>SUM(E78+E82+E83)</f>
        <v>35152</v>
      </c>
      <c r="F77" s="225">
        <f>SUM(F78+F82+F83)</f>
        <v>35152</v>
      </c>
      <c r="G77" s="225">
        <f>SUM(G78+G82+G83)</f>
        <v>35153</v>
      </c>
      <c r="H77" s="2"/>
      <c r="I77" s="2"/>
      <c r="J77" s="390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s="59" customFormat="1" ht="15" customHeight="1" x14ac:dyDescent="0.25">
      <c r="A78" s="18"/>
      <c r="B78" s="222" t="s">
        <v>396</v>
      </c>
      <c r="C78" s="185">
        <f>SUM(C79:C81)</f>
        <v>35152</v>
      </c>
      <c r="D78" s="185">
        <f>SUM(D79:D81)</f>
        <v>35152</v>
      </c>
      <c r="E78" s="185">
        <f>SUM(E79:E81)</f>
        <v>35152</v>
      </c>
      <c r="F78" s="185">
        <f>SUM(F79:F81)</f>
        <v>35152</v>
      </c>
      <c r="G78" s="185">
        <f>SUM(G79:G81)</f>
        <v>35153</v>
      </c>
      <c r="H78" s="2"/>
      <c r="I78" s="2"/>
      <c r="J78" s="39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s="59" customFormat="1" ht="12.75" customHeight="1" x14ac:dyDescent="0.2">
      <c r="A79" s="18" t="s">
        <v>403</v>
      </c>
      <c r="B79" s="9" t="s">
        <v>424</v>
      </c>
      <c r="C79" s="16">
        <f>SUM('2.működés'!C130)</f>
        <v>14996</v>
      </c>
      <c r="D79" s="16">
        <f>SUM('2.működés'!D130)</f>
        <v>14996</v>
      </c>
      <c r="E79" s="16">
        <f>SUM('2.működés'!E130)</f>
        <v>14996</v>
      </c>
      <c r="F79" s="16">
        <f>SUM('2.működés'!F130)</f>
        <v>14996</v>
      </c>
      <c r="G79" s="16">
        <f>SUM('2.működés'!G130)</f>
        <v>14997</v>
      </c>
      <c r="H79" s="2"/>
      <c r="I79" s="2"/>
      <c r="J79" s="390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s="59" customFormat="1" ht="15.75" hidden="1" x14ac:dyDescent="0.25">
      <c r="A80" s="18"/>
      <c r="B80" s="276" t="s">
        <v>397</v>
      </c>
      <c r="C80" s="52"/>
      <c r="D80" s="52"/>
      <c r="E80" s="52"/>
      <c r="F80" s="52"/>
      <c r="G80" s="52"/>
      <c r="H80" s="2"/>
      <c r="I80" s="2"/>
      <c r="J80" s="390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s="59" customFormat="1" ht="12.75" customHeight="1" x14ac:dyDescent="0.2">
      <c r="A81" s="18"/>
      <c r="B81" s="276" t="s">
        <v>950</v>
      </c>
      <c r="C81" s="17">
        <f>SUM('3.felh'!C88)</f>
        <v>20156</v>
      </c>
      <c r="D81" s="17">
        <f>SUM('3.felh'!D88)</f>
        <v>20156</v>
      </c>
      <c r="E81" s="17">
        <f>SUM('3.felh'!E88)</f>
        <v>20156</v>
      </c>
      <c r="F81" s="17">
        <f>SUM('3.felh'!F88)</f>
        <v>20156</v>
      </c>
      <c r="G81" s="17">
        <f>SUM('3.felh'!G88)</f>
        <v>20156</v>
      </c>
      <c r="H81" s="2"/>
      <c r="I81" s="2"/>
      <c r="J81" s="390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s="59" customFormat="1" ht="15" customHeight="1" x14ac:dyDescent="0.25">
      <c r="A82" s="18"/>
      <c r="B82" s="222" t="s">
        <v>398</v>
      </c>
      <c r="C82" s="52"/>
      <c r="D82" s="52"/>
      <c r="E82" s="52"/>
      <c r="F82" s="52"/>
      <c r="G82" s="52"/>
      <c r="H82" s="2"/>
      <c r="I82" s="2"/>
      <c r="J82" s="390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s="59" customFormat="1" ht="15" customHeight="1" thickBot="1" x14ac:dyDescent="0.3">
      <c r="A83" s="28"/>
      <c r="B83" s="219" t="s">
        <v>399</v>
      </c>
      <c r="C83" s="201"/>
      <c r="D83" s="201"/>
      <c r="E83" s="201"/>
      <c r="F83" s="201"/>
      <c r="G83" s="201"/>
      <c r="H83" s="2"/>
      <c r="I83" s="2"/>
      <c r="J83" s="390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21.75" customHeight="1" thickBot="1" x14ac:dyDescent="0.4">
      <c r="A84" s="329"/>
      <c r="B84" s="267" t="s">
        <v>55</v>
      </c>
      <c r="C84" s="711">
        <f>SUM(C64+C77)</f>
        <v>1898350</v>
      </c>
      <c r="D84" s="711">
        <f>SUM(D64+D77)</f>
        <v>2036386</v>
      </c>
      <c r="E84" s="711">
        <f>SUM(E64+E77)</f>
        <v>2501587</v>
      </c>
      <c r="F84" s="210">
        <f>SUM(F64+F77)</f>
        <v>2575691</v>
      </c>
      <c r="G84" s="57">
        <f>SUM(G64+G77)</f>
        <v>1282603</v>
      </c>
      <c r="H84" s="744">
        <f>F84-E84</f>
        <v>74104</v>
      </c>
      <c r="I84" s="8">
        <f>H84-H63</f>
        <v>0</v>
      </c>
      <c r="J84" s="390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4.25" hidden="1" customHeight="1" thickBot="1" x14ac:dyDescent="0.25">
      <c r="C85" s="8">
        <f>SUM(C63-C84)</f>
        <v>0</v>
      </c>
      <c r="D85" s="8"/>
      <c r="E85" s="8"/>
      <c r="F85" s="8"/>
      <c r="G85" s="8">
        <f>SUM(G63-G84)</f>
        <v>795576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15.75" hidden="1" customHeight="1" x14ac:dyDescent="0.2">
      <c r="B86" s="2" t="s">
        <v>499</v>
      </c>
      <c r="C86" s="8">
        <f>SUM(C68+C76)</f>
        <v>84098</v>
      </c>
      <c r="D86" s="8"/>
      <c r="E86" s="8"/>
      <c r="F86" s="8"/>
      <c r="G86" s="8">
        <f>SUM(G68+G76)</f>
        <v>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.75" hidden="1" customHeight="1" x14ac:dyDescent="0.2">
      <c r="C87" s="8">
        <f>SUM(C63-C84)</f>
        <v>0</v>
      </c>
      <c r="D87" s="8">
        <f>SUM(D63-D84)</f>
        <v>0</v>
      </c>
      <c r="E87" s="8">
        <f>SUM(E63-E84)</f>
        <v>0</v>
      </c>
      <c r="F87" s="8">
        <f>SUM(F63-F84)</f>
        <v>0</v>
      </c>
      <c r="G87" s="8">
        <f>SUM(G63-G84)</f>
        <v>795576</v>
      </c>
      <c r="H87" s="8"/>
      <c r="I87" s="2"/>
      <c r="J87" s="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27" hidden="1" customHeight="1" x14ac:dyDescent="0.2">
      <c r="B88" s="287" t="s">
        <v>941</v>
      </c>
      <c r="C88" s="8" t="e">
        <f>SUM(C8-C66-C67-C79-C81)+'8.Önk.'!C136+'8.Önk.'!#REF!</f>
        <v>#REF!</v>
      </c>
      <c r="D88" s="2"/>
      <c r="E88" s="188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5.75" customHeight="1" x14ac:dyDescent="0.2">
      <c r="C89" s="2"/>
      <c r="D89" s="2"/>
      <c r="E89" s="188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5.75" hidden="1" customHeight="1" x14ac:dyDescent="0.2">
      <c r="C90" s="8">
        <f>C63-C84</f>
        <v>0</v>
      </c>
      <c r="D90" s="8">
        <f>D63-D84</f>
        <v>0</v>
      </c>
      <c r="E90" s="8">
        <f>E63-E84</f>
        <v>0</v>
      </c>
      <c r="F90" s="8">
        <f>F63-F84</f>
        <v>0</v>
      </c>
      <c r="G90" s="8">
        <f>G63-G84</f>
        <v>795576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5.75" customHeight="1" x14ac:dyDescent="0.2">
      <c r="B91" s="2"/>
      <c r="C91" s="2"/>
      <c r="D91" s="8"/>
      <c r="E91" s="188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ht="15.75" customHeight="1" x14ac:dyDescent="0.2">
      <c r="B92" s="2"/>
      <c r="C92" s="2"/>
      <c r="D92" s="2"/>
      <c r="E92" s="188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t="15.75" customHeight="1" x14ac:dyDescent="0.2">
      <c r="B93" s="2"/>
      <c r="C93" s="2"/>
      <c r="D93" s="2"/>
      <c r="E93" s="18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customHeight="1" x14ac:dyDescent="0.2">
      <c r="B94" s="2"/>
      <c r="C94" s="2"/>
      <c r="D94" s="2"/>
      <c r="E94" s="18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5.75" customHeight="1" x14ac:dyDescent="0.2">
      <c r="B95" s="2"/>
      <c r="C95" s="2"/>
      <c r="D95" s="2"/>
      <c r="E95" s="188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5.75" customHeight="1" x14ac:dyDescent="0.2">
      <c r="B96" s="2"/>
      <c r="C96" s="2"/>
      <c r="D96" s="2"/>
      <c r="E96" s="188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2:43" ht="15.75" customHeight="1" x14ac:dyDescent="0.2">
      <c r="B97" s="2"/>
      <c r="C97" s="2"/>
      <c r="D97" s="2"/>
      <c r="E97" s="1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2:43" ht="15.75" customHeight="1" x14ac:dyDescent="0.2">
      <c r="B98" s="2"/>
      <c r="C98" s="2"/>
      <c r="D98" s="2"/>
      <c r="E98" s="18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2:43" ht="15.75" customHeight="1" x14ac:dyDescent="0.2">
      <c r="B99" s="2"/>
      <c r="C99" s="2"/>
      <c r="D99" s="2"/>
      <c r="E99" s="18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2:43" ht="15.75" customHeight="1" x14ac:dyDescent="0.2">
      <c r="B100" s="2"/>
      <c r="C100" s="2"/>
      <c r="D100" s="2"/>
      <c r="E100" s="1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2:43" ht="15.75" customHeight="1" x14ac:dyDescent="0.2">
      <c r="B101" s="2"/>
      <c r="C101" s="2"/>
      <c r="D101" s="2"/>
      <c r="E101" s="1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2:43" ht="15.75" customHeight="1" x14ac:dyDescent="0.2">
      <c r="B102" s="2"/>
      <c r="C102" s="2"/>
      <c r="D102" s="2"/>
      <c r="E102" s="1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2:43" ht="15.75" customHeight="1" x14ac:dyDescent="0.2">
      <c r="B103" s="2"/>
      <c r="C103" s="2"/>
      <c r="D103" s="2"/>
      <c r="E103" s="1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2:43" ht="15.75" customHeight="1" x14ac:dyDescent="0.2">
      <c r="B104" s="2"/>
      <c r="C104" s="2"/>
      <c r="D104" s="2"/>
      <c r="E104" s="1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2:43" ht="15.75" customHeight="1" x14ac:dyDescent="0.2">
      <c r="B105" s="2"/>
      <c r="C105" s="2"/>
      <c r="D105" s="2"/>
      <c r="E105" s="1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2:43" ht="15.75" customHeight="1" x14ac:dyDescent="0.2">
      <c r="B106" s="2"/>
      <c r="C106" s="2"/>
      <c r="D106" s="2"/>
      <c r="E106" s="1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2:43" ht="15.75" customHeight="1" x14ac:dyDescent="0.2">
      <c r="B107" s="2"/>
      <c r="C107" s="2"/>
      <c r="D107" s="2"/>
      <c r="E107" s="1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2:43" ht="15.75" customHeight="1" x14ac:dyDescent="0.2">
      <c r="B108" s="2"/>
      <c r="C108" s="2"/>
      <c r="D108" s="2"/>
      <c r="E108" s="1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2:43" ht="15.75" customHeight="1" x14ac:dyDescent="0.2">
      <c r="B109" s="2"/>
      <c r="C109" s="2"/>
      <c r="D109" s="2"/>
      <c r="E109" s="1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2:43" ht="15.75" customHeight="1" x14ac:dyDescent="0.2">
      <c r="B110" s="2"/>
      <c r="C110" s="2"/>
      <c r="D110" s="2"/>
      <c r="E110" s="1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2:43" ht="15.75" customHeight="1" x14ac:dyDescent="0.2">
      <c r="B111" s="2"/>
      <c r="C111" s="2"/>
      <c r="D111" s="2"/>
      <c r="E111" s="1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2:43" ht="15.75" customHeight="1" x14ac:dyDescent="0.2">
      <c r="B112" s="2"/>
      <c r="C112" s="2"/>
      <c r="D112" s="2"/>
      <c r="E112" s="18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2:43" ht="15.75" customHeight="1" x14ac:dyDescent="0.2">
      <c r="B113" s="2"/>
      <c r="C113" s="2"/>
      <c r="D113" s="2"/>
      <c r="E113" s="18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2:43" ht="15.75" customHeight="1" x14ac:dyDescent="0.2">
      <c r="B114" s="2"/>
      <c r="C114" s="2"/>
      <c r="D114" s="2"/>
      <c r="E114" s="1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2:43" ht="15.75" customHeight="1" x14ac:dyDescent="0.2">
      <c r="B115" s="2"/>
      <c r="C115" s="2"/>
      <c r="D115" s="2"/>
      <c r="E115" s="1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2:43" ht="15.75" customHeight="1" x14ac:dyDescent="0.2">
      <c r="B116" s="2"/>
      <c r="C116" s="2"/>
      <c r="D116" s="2"/>
      <c r="E116" s="1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2:43" ht="15.75" customHeight="1" x14ac:dyDescent="0.2">
      <c r="B117" s="2"/>
      <c r="C117" s="2"/>
      <c r="D117" s="2"/>
      <c r="E117" s="1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2:43" ht="15.75" customHeight="1" x14ac:dyDescent="0.2">
      <c r="B118" s="2"/>
      <c r="C118" s="2"/>
      <c r="D118" s="2"/>
      <c r="E118" s="1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2:43" ht="15.75" customHeight="1" x14ac:dyDescent="0.2">
      <c r="B119" s="2"/>
      <c r="C119" s="2"/>
      <c r="D119" s="2"/>
      <c r="E119" s="1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2:43" ht="15.75" customHeight="1" x14ac:dyDescent="0.2">
      <c r="B120" s="2"/>
      <c r="C120" s="2"/>
      <c r="D120" s="2"/>
      <c r="E120" s="1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2:43" ht="15.75" customHeight="1" x14ac:dyDescent="0.2">
      <c r="B121" s="2"/>
      <c r="C121" s="2"/>
      <c r="D121" s="2"/>
      <c r="E121" s="1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2:43" ht="15.75" customHeight="1" x14ac:dyDescent="0.2">
      <c r="B122" s="2"/>
      <c r="C122" s="2"/>
      <c r="D122" s="2"/>
      <c r="E122" s="1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2:43" ht="15.75" customHeight="1" x14ac:dyDescent="0.2">
      <c r="B123" s="2"/>
      <c r="C123" s="2"/>
      <c r="D123" s="2"/>
      <c r="E123" s="1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2:43" ht="15.75" customHeight="1" x14ac:dyDescent="0.2">
      <c r="B124" s="2"/>
      <c r="C124" s="2"/>
      <c r="D124" s="2"/>
      <c r="E124" s="1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2:43" ht="15.75" customHeight="1" x14ac:dyDescent="0.2">
      <c r="B125" s="2"/>
      <c r="C125" s="2"/>
      <c r="D125" s="2"/>
      <c r="E125" s="1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2:43" ht="15.75" customHeight="1" x14ac:dyDescent="0.2">
      <c r="B126" s="2"/>
      <c r="C126" s="2"/>
      <c r="D126" s="2"/>
      <c r="E126" s="18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2:43" ht="15.75" customHeight="1" x14ac:dyDescent="0.2">
      <c r="B127" s="2"/>
      <c r="C127" s="2"/>
      <c r="D127" s="2"/>
      <c r="E127" s="18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2:43" ht="15.75" customHeight="1" x14ac:dyDescent="0.2">
      <c r="B128" s="2"/>
      <c r="C128" s="2"/>
      <c r="D128" s="2"/>
      <c r="E128" s="1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2:43" ht="15.75" customHeight="1" x14ac:dyDescent="0.2">
      <c r="B129" s="2"/>
      <c r="C129" s="2"/>
      <c r="D129" s="2"/>
      <c r="E129" s="1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2:43" ht="15.75" customHeight="1" x14ac:dyDescent="0.2">
      <c r="B130" s="2"/>
      <c r="C130" s="2"/>
      <c r="D130" s="2"/>
      <c r="E130" s="1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2:43" ht="15.75" customHeight="1" x14ac:dyDescent="0.2">
      <c r="B131" s="2"/>
      <c r="C131" s="2"/>
      <c r="D131" s="2"/>
      <c r="E131" s="1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2:43" ht="15.75" customHeight="1" x14ac:dyDescent="0.2">
      <c r="B132" s="2"/>
      <c r="C132" s="2"/>
      <c r="D132" s="2"/>
      <c r="E132" s="1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2:43" ht="15.75" customHeight="1" x14ac:dyDescent="0.2">
      <c r="B133" s="2"/>
      <c r="C133" s="2"/>
      <c r="D133" s="2"/>
      <c r="E133" s="1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2:43" ht="15.75" customHeight="1" x14ac:dyDescent="0.2">
      <c r="B134" s="2"/>
      <c r="C134" s="2"/>
      <c r="D134" s="2"/>
      <c r="E134" s="1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2:43" ht="15.75" customHeight="1" x14ac:dyDescent="0.2">
      <c r="B135" s="2"/>
      <c r="C135" s="2"/>
      <c r="D135" s="2"/>
      <c r="E135" s="1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2:43" ht="15.75" customHeight="1" x14ac:dyDescent="0.2">
      <c r="B136" s="2"/>
      <c r="C136" s="2"/>
      <c r="D136" s="2"/>
      <c r="E136" s="1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2:43" ht="15.75" customHeight="1" x14ac:dyDescent="0.2">
      <c r="B137" s="2"/>
      <c r="C137" s="2"/>
      <c r="D137" s="2"/>
      <c r="E137" s="1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2:43" ht="15.75" customHeight="1" x14ac:dyDescent="0.2">
      <c r="B138" s="2"/>
      <c r="C138" s="2"/>
      <c r="D138" s="2"/>
      <c r="E138" s="1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2:43" ht="15.75" customHeight="1" x14ac:dyDescent="0.2">
      <c r="B139" s="2"/>
      <c r="C139" s="2"/>
      <c r="D139" s="2"/>
      <c r="E139" s="1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2:43" ht="15.75" customHeight="1" x14ac:dyDescent="0.2">
      <c r="B140" s="2"/>
      <c r="C140" s="2"/>
      <c r="D140" s="2"/>
      <c r="E140" s="18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2:43" ht="15.75" customHeight="1" x14ac:dyDescent="0.2">
      <c r="B141" s="2"/>
      <c r="C141" s="2"/>
      <c r="D141" s="2"/>
      <c r="E141" s="18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2:43" ht="15.75" customHeight="1" x14ac:dyDescent="0.2">
      <c r="B142" s="2"/>
      <c r="C142" s="2"/>
      <c r="D142" s="2"/>
      <c r="E142" s="1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2:43" ht="15.75" customHeight="1" x14ac:dyDescent="0.2">
      <c r="B143" s="2"/>
      <c r="C143" s="2"/>
      <c r="D143" s="2"/>
      <c r="E143" s="1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2:43" ht="15.75" customHeight="1" x14ac:dyDescent="0.2">
      <c r="B144" s="2"/>
      <c r="C144" s="2"/>
      <c r="D144" s="2"/>
      <c r="E144" s="1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2:43" ht="15.75" customHeight="1" x14ac:dyDescent="0.2">
      <c r="B145" s="2"/>
      <c r="C145" s="2"/>
      <c r="D145" s="2"/>
      <c r="E145" s="1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2:43" ht="15.75" customHeight="1" x14ac:dyDescent="0.2">
      <c r="B146" s="2"/>
      <c r="C146" s="2"/>
      <c r="D146" s="2"/>
      <c r="E146" s="18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2:43" ht="15.75" customHeight="1" x14ac:dyDescent="0.2">
      <c r="B147" s="2"/>
      <c r="C147" s="2"/>
      <c r="D147" s="2"/>
      <c r="E147" s="18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2:43" ht="15.75" customHeight="1" x14ac:dyDescent="0.2">
      <c r="B148" s="2"/>
      <c r="C148" s="2"/>
      <c r="D148" s="2"/>
      <c r="E148" s="18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2:43" ht="15.75" customHeight="1" x14ac:dyDescent="0.2">
      <c r="B149" s="2"/>
      <c r="C149" s="2"/>
      <c r="D149" s="2"/>
      <c r="E149" s="18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2:43" ht="15.75" customHeight="1" x14ac:dyDescent="0.2">
      <c r="B150" s="2"/>
      <c r="C150" s="2"/>
      <c r="D150" s="2"/>
      <c r="E150" s="18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2:43" ht="15.75" customHeight="1" x14ac:dyDescent="0.2">
      <c r="B151" s="2"/>
      <c r="C151" s="2"/>
      <c r="D151" s="2"/>
      <c r="E151" s="1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2:43" ht="15.75" customHeight="1" x14ac:dyDescent="0.2">
      <c r="B152" s="2"/>
      <c r="C152" s="2"/>
      <c r="D152" s="2"/>
      <c r="E152" s="1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2:43" ht="15.75" customHeight="1" x14ac:dyDescent="0.2">
      <c r="B153" s="2"/>
      <c r="C153" s="2"/>
      <c r="D153" s="2"/>
      <c r="E153" s="1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2:43" ht="15.75" customHeight="1" x14ac:dyDescent="0.2">
      <c r="B154" s="2"/>
      <c r="C154" s="2"/>
      <c r="D154" s="2"/>
      <c r="E154" s="18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2:43" ht="15.75" customHeight="1" x14ac:dyDescent="0.2">
      <c r="B155" s="2"/>
      <c r="C155" s="2"/>
      <c r="D155" s="2"/>
      <c r="E155" s="18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2:43" ht="15.75" customHeight="1" x14ac:dyDescent="0.2">
      <c r="B156" s="2"/>
      <c r="C156" s="2"/>
      <c r="D156" s="2"/>
      <c r="E156" s="1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2:43" ht="15.75" customHeight="1" x14ac:dyDescent="0.2">
      <c r="B157" s="2"/>
      <c r="C157" s="2"/>
      <c r="D157" s="2"/>
      <c r="E157" s="1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2:43" ht="15.75" customHeight="1" x14ac:dyDescent="0.2">
      <c r="B158" s="2"/>
      <c r="C158" s="2"/>
      <c r="D158" s="2"/>
      <c r="E158" s="1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2:43" ht="15.75" customHeight="1" x14ac:dyDescent="0.2">
      <c r="B159" s="2"/>
      <c r="C159" s="2"/>
      <c r="D159" s="2"/>
      <c r="E159" s="1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2:43" ht="15.75" customHeight="1" x14ac:dyDescent="0.2">
      <c r="B160" s="2"/>
      <c r="C160" s="2"/>
      <c r="D160" s="2"/>
      <c r="E160" s="18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2:43" ht="15.75" customHeight="1" x14ac:dyDescent="0.2">
      <c r="B161" s="2"/>
      <c r="C161" s="2"/>
      <c r="D161" s="2"/>
      <c r="E161" s="18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2:43" ht="15.75" customHeight="1" x14ac:dyDescent="0.2">
      <c r="B162" s="2"/>
      <c r="C162" s="2"/>
      <c r="D162" s="2"/>
      <c r="E162" s="18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2:43" ht="15.75" customHeight="1" x14ac:dyDescent="0.2">
      <c r="B163" s="2"/>
      <c r="C163" s="2"/>
      <c r="D163" s="2"/>
      <c r="E163" s="18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2:43" ht="15.75" customHeight="1" x14ac:dyDescent="0.2">
      <c r="B164" s="2"/>
      <c r="C164" s="2"/>
      <c r="D164" s="2"/>
      <c r="E164" s="18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2:43" ht="15.75" customHeight="1" x14ac:dyDescent="0.2">
      <c r="B165" s="2"/>
      <c r="C165" s="2"/>
      <c r="D165" s="2"/>
      <c r="E165" s="1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2:43" ht="15.75" customHeight="1" x14ac:dyDescent="0.2">
      <c r="B166" s="2"/>
      <c r="C166" s="2"/>
      <c r="D166" s="2"/>
      <c r="E166" s="1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2:43" ht="15.75" customHeight="1" x14ac:dyDescent="0.2">
      <c r="B167" s="2"/>
      <c r="C167" s="2"/>
      <c r="D167" s="2"/>
      <c r="E167" s="1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2:43" ht="15.75" customHeight="1" x14ac:dyDescent="0.2">
      <c r="B168" s="2"/>
      <c r="C168" s="2"/>
      <c r="D168" s="2"/>
      <c r="E168" s="18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2:43" ht="15.75" customHeight="1" x14ac:dyDescent="0.2">
      <c r="B169" s="2"/>
      <c r="C169" s="2"/>
      <c r="D169" s="2"/>
      <c r="E169" s="18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2:43" ht="15.75" customHeight="1" x14ac:dyDescent="0.2">
      <c r="B170" s="2"/>
      <c r="C170" s="37"/>
      <c r="D170" s="37"/>
      <c r="E170" s="327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2:43" ht="15.75" customHeight="1" x14ac:dyDescent="0.2">
      <c r="B171" s="2"/>
      <c r="C171" s="37"/>
      <c r="D171" s="37"/>
      <c r="E171" s="327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2:43" ht="15.75" customHeight="1" x14ac:dyDescent="0.2">
      <c r="B172" s="2"/>
      <c r="C172" s="37"/>
      <c r="D172" s="37"/>
      <c r="E172" s="327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2:43" ht="15.75" customHeight="1" x14ac:dyDescent="0.2">
      <c r="B173" s="2"/>
      <c r="C173" s="37"/>
      <c r="D173" s="37"/>
      <c r="E173" s="327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2:43" ht="15.75" customHeight="1" x14ac:dyDescent="0.2">
      <c r="B174" s="2"/>
      <c r="C174" s="37"/>
      <c r="D174" s="37"/>
      <c r="E174" s="327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2:43" ht="15.75" customHeight="1" x14ac:dyDescent="0.2">
      <c r="B175" s="2"/>
      <c r="C175" s="37"/>
      <c r="D175" s="37"/>
      <c r="E175" s="327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2:43" ht="15.75" customHeight="1" x14ac:dyDescent="0.2">
      <c r="B176" s="2"/>
      <c r="C176" s="37"/>
      <c r="D176" s="37"/>
      <c r="E176" s="327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2:43" ht="15.75" customHeight="1" x14ac:dyDescent="0.2">
      <c r="B177" s="2"/>
      <c r="C177" s="37"/>
      <c r="D177" s="37"/>
      <c r="E177" s="327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2:43" ht="15.75" customHeight="1" x14ac:dyDescent="0.2">
      <c r="B178" s="2"/>
      <c r="C178" s="37"/>
      <c r="D178" s="37"/>
      <c r="E178" s="327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2:43" ht="15.75" customHeight="1" x14ac:dyDescent="0.2">
      <c r="B179" s="2"/>
      <c r="C179" s="37"/>
      <c r="D179" s="37"/>
      <c r="E179" s="327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2:43" ht="15.75" customHeight="1" x14ac:dyDescent="0.2">
      <c r="B180" s="2"/>
      <c r="C180" s="37"/>
      <c r="D180" s="37"/>
      <c r="E180" s="327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2:43" ht="15.75" customHeight="1" x14ac:dyDescent="0.2">
      <c r="B181" s="2"/>
      <c r="C181" s="37"/>
      <c r="D181" s="37"/>
      <c r="E181" s="327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2:43" ht="15.75" customHeight="1" x14ac:dyDescent="0.2">
      <c r="B182" s="2"/>
      <c r="C182" s="37"/>
      <c r="D182" s="37"/>
      <c r="E182" s="327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2:43" ht="15.75" customHeight="1" x14ac:dyDescent="0.2">
      <c r="B183" s="2"/>
      <c r="C183" s="37"/>
      <c r="D183" s="37"/>
      <c r="E183" s="327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2:43" ht="15.75" customHeight="1" x14ac:dyDescent="0.2">
      <c r="B184" s="2"/>
      <c r="C184" s="37"/>
      <c r="D184" s="37"/>
      <c r="E184" s="327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2:43" ht="15.75" customHeight="1" x14ac:dyDescent="0.2">
      <c r="B185" s="2"/>
      <c r="C185" s="37"/>
      <c r="D185" s="37"/>
      <c r="E185" s="327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2:43" ht="15.75" customHeight="1" x14ac:dyDescent="0.2">
      <c r="B186" s="2"/>
      <c r="C186" s="37"/>
      <c r="D186" s="37"/>
      <c r="E186" s="327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2:43" ht="15.75" customHeight="1" x14ac:dyDescent="0.2">
      <c r="B187" s="2"/>
      <c r="C187" s="37"/>
      <c r="D187" s="37"/>
      <c r="E187" s="327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2:43" ht="15.75" customHeight="1" x14ac:dyDescent="0.2">
      <c r="B188" s="2"/>
      <c r="C188" s="37"/>
      <c r="D188" s="37"/>
      <c r="E188" s="327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2:43" ht="15.75" customHeight="1" x14ac:dyDescent="0.2">
      <c r="B189" s="2"/>
      <c r="C189" s="37"/>
      <c r="D189" s="37"/>
      <c r="E189" s="327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2:43" ht="15.75" customHeight="1" x14ac:dyDescent="0.2">
      <c r="B190" s="2"/>
      <c r="C190" s="37"/>
      <c r="D190" s="37"/>
      <c r="E190" s="327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2:43" ht="15.75" customHeight="1" x14ac:dyDescent="0.2">
      <c r="B191" s="2"/>
      <c r="C191" s="37"/>
      <c r="D191" s="37"/>
      <c r="E191" s="327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2:43" ht="15.75" customHeight="1" x14ac:dyDescent="0.2">
      <c r="B192" s="2"/>
      <c r="C192" s="37"/>
      <c r="D192" s="37"/>
      <c r="E192" s="327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2:43" ht="15.75" customHeight="1" x14ac:dyDescent="0.2">
      <c r="B193" s="2"/>
      <c r="C193" s="37"/>
      <c r="D193" s="37"/>
      <c r="E193" s="327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2:43" ht="15.75" customHeight="1" x14ac:dyDescent="0.2">
      <c r="B194" s="2"/>
      <c r="C194" s="37"/>
      <c r="D194" s="37"/>
      <c r="E194" s="327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2:43" ht="15.75" customHeight="1" x14ac:dyDescent="0.2">
      <c r="B195" s="2"/>
      <c r="C195" s="37"/>
      <c r="D195" s="37"/>
      <c r="E195" s="327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2:43" ht="15.75" customHeight="1" x14ac:dyDescent="0.2">
      <c r="B196" s="2"/>
      <c r="C196" s="37"/>
      <c r="D196" s="37"/>
      <c r="E196" s="327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2:43" ht="15.75" customHeight="1" x14ac:dyDescent="0.2">
      <c r="B197" s="2"/>
      <c r="C197" s="37"/>
      <c r="D197" s="37"/>
      <c r="E197" s="327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2:43" ht="15.75" customHeight="1" x14ac:dyDescent="0.2">
      <c r="B198" s="2"/>
      <c r="C198" s="37"/>
      <c r="D198" s="37"/>
      <c r="E198" s="327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2:43" ht="15.75" customHeight="1" x14ac:dyDescent="0.2">
      <c r="B199" s="2"/>
      <c r="C199" s="37"/>
      <c r="D199" s="37"/>
      <c r="E199" s="327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2:43" ht="15.75" customHeight="1" x14ac:dyDescent="0.2">
      <c r="B200" s="2"/>
      <c r="C200" s="37"/>
      <c r="D200" s="37"/>
      <c r="E200" s="327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2:43" ht="15.75" customHeight="1" x14ac:dyDescent="0.2">
      <c r="B201" s="2"/>
      <c r="C201" s="37"/>
      <c r="D201" s="37"/>
      <c r="E201" s="327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2:43" ht="15.75" customHeight="1" x14ac:dyDescent="0.2">
      <c r="B202" s="2"/>
      <c r="C202" s="37"/>
      <c r="D202" s="37"/>
      <c r="E202" s="327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2:43" ht="15.75" customHeight="1" x14ac:dyDescent="0.2">
      <c r="B203" s="2"/>
      <c r="C203" s="37"/>
      <c r="D203" s="37"/>
      <c r="E203" s="327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2:43" ht="15.75" customHeight="1" x14ac:dyDescent="0.2">
      <c r="B204" s="2"/>
      <c r="C204" s="37"/>
      <c r="D204" s="37"/>
      <c r="E204" s="327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2:43" ht="15.75" customHeight="1" x14ac:dyDescent="0.2">
      <c r="B205" s="2"/>
      <c r="C205" s="37"/>
      <c r="D205" s="37"/>
      <c r="E205" s="327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2:43" ht="15.75" customHeight="1" x14ac:dyDescent="0.2">
      <c r="B206" s="2"/>
      <c r="C206" s="37"/>
      <c r="D206" s="37"/>
      <c r="E206" s="327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2:43" ht="15.75" customHeight="1" x14ac:dyDescent="0.2">
      <c r="B207" s="2"/>
      <c r="C207" s="37"/>
      <c r="D207" s="37"/>
      <c r="E207" s="327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2:43" ht="15.75" customHeight="1" x14ac:dyDescent="0.2">
      <c r="B208" s="2"/>
      <c r="C208" s="37"/>
      <c r="D208" s="37"/>
      <c r="E208" s="327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2:43" ht="15.75" customHeight="1" x14ac:dyDescent="0.2">
      <c r="B209" s="2"/>
      <c r="C209" s="37"/>
      <c r="D209" s="37"/>
      <c r="E209" s="327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2:43" ht="15.75" customHeight="1" x14ac:dyDescent="0.2">
      <c r="B210" s="2"/>
      <c r="C210" s="37"/>
      <c r="D210" s="37"/>
      <c r="E210" s="327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2:43" ht="15.75" customHeight="1" x14ac:dyDescent="0.2">
      <c r="B211" s="2"/>
      <c r="C211" s="37"/>
      <c r="D211" s="37"/>
      <c r="E211" s="327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2:43" ht="15.75" customHeight="1" x14ac:dyDescent="0.2">
      <c r="B212" s="2"/>
      <c r="C212" s="37"/>
      <c r="D212" s="37"/>
      <c r="E212" s="327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2:43" ht="15.75" customHeight="1" x14ac:dyDescent="0.2">
      <c r="B213" s="2"/>
      <c r="C213" s="37"/>
      <c r="D213" s="37"/>
      <c r="E213" s="327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2:43" ht="15.75" customHeight="1" x14ac:dyDescent="0.2">
      <c r="B214" s="2"/>
      <c r="C214" s="37"/>
      <c r="D214" s="37"/>
      <c r="E214" s="327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2:43" ht="15.75" customHeight="1" x14ac:dyDescent="0.2">
      <c r="B215" s="2"/>
      <c r="C215" s="37"/>
      <c r="D215" s="37"/>
      <c r="E215" s="327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2:43" ht="15.75" customHeight="1" x14ac:dyDescent="0.2">
      <c r="B216" s="2"/>
      <c r="C216" s="37"/>
      <c r="D216" s="37"/>
      <c r="E216" s="327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2:43" ht="15.75" customHeight="1" x14ac:dyDescent="0.2">
      <c r="B217" s="2"/>
      <c r="C217" s="37"/>
      <c r="D217" s="37"/>
      <c r="E217" s="327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2:43" ht="15.75" customHeight="1" x14ac:dyDescent="0.2">
      <c r="B218" s="2"/>
      <c r="C218" s="37"/>
      <c r="D218" s="37"/>
      <c r="E218" s="327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2:43" ht="15.75" customHeight="1" x14ac:dyDescent="0.2">
      <c r="B219" s="2"/>
      <c r="C219" s="37"/>
      <c r="D219" s="37"/>
      <c r="E219" s="327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2:43" ht="15.75" customHeight="1" x14ac:dyDescent="0.2">
      <c r="B220" s="2"/>
      <c r="C220" s="37"/>
      <c r="D220" s="37"/>
      <c r="E220" s="327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2:43" ht="15.75" customHeight="1" x14ac:dyDescent="0.2">
      <c r="B221" s="2"/>
      <c r="C221" s="37"/>
      <c r="D221" s="37"/>
      <c r="E221" s="327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2:43" ht="15.75" customHeight="1" x14ac:dyDescent="0.2">
      <c r="B222" s="2"/>
      <c r="C222" s="37"/>
      <c r="D222" s="37"/>
      <c r="E222" s="327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2:43" ht="15.75" customHeight="1" x14ac:dyDescent="0.2">
      <c r="B223" s="2"/>
      <c r="C223" s="37"/>
      <c r="D223" s="37"/>
      <c r="E223" s="327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2:43" ht="15.75" customHeight="1" x14ac:dyDescent="0.2">
      <c r="B224" s="2"/>
      <c r="C224" s="37"/>
      <c r="D224" s="37"/>
      <c r="E224" s="327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2:43" ht="15.75" customHeight="1" x14ac:dyDescent="0.2">
      <c r="B225" s="2"/>
      <c r="C225" s="37"/>
      <c r="D225" s="37"/>
      <c r="E225" s="327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2:43" ht="15.75" customHeight="1" x14ac:dyDescent="0.2">
      <c r="B226" s="2"/>
      <c r="C226" s="37"/>
      <c r="D226" s="37"/>
      <c r="E226" s="327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2:43" ht="15.75" customHeight="1" x14ac:dyDescent="0.2">
      <c r="B227" s="2"/>
      <c r="C227" s="37"/>
      <c r="D227" s="37"/>
      <c r="E227" s="327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2:43" ht="15.75" customHeight="1" x14ac:dyDescent="0.2">
      <c r="B228" s="2"/>
      <c r="C228" s="37"/>
      <c r="D228" s="37"/>
      <c r="E228" s="327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2:43" ht="15.75" customHeight="1" x14ac:dyDescent="0.2">
      <c r="B229" s="2"/>
      <c r="C229" s="37"/>
      <c r="D229" s="37"/>
      <c r="E229" s="327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2:43" ht="15.75" customHeight="1" x14ac:dyDescent="0.2">
      <c r="B230" s="2"/>
      <c r="C230" s="37"/>
      <c r="D230" s="37"/>
      <c r="E230" s="327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2:43" ht="15.75" customHeight="1" x14ac:dyDescent="0.2">
      <c r="B231" s="2"/>
      <c r="C231" s="37"/>
      <c r="D231" s="37"/>
      <c r="E231" s="327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2:43" ht="15.75" customHeight="1" x14ac:dyDescent="0.2">
      <c r="B232" s="2"/>
      <c r="C232" s="37"/>
      <c r="D232" s="37"/>
      <c r="E232" s="327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2:43" ht="15.75" customHeight="1" x14ac:dyDescent="0.2">
      <c r="B233" s="2"/>
      <c r="C233" s="37"/>
      <c r="D233" s="37"/>
      <c r="E233" s="327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2:43" ht="15.75" customHeight="1" x14ac:dyDescent="0.2">
      <c r="B234" s="2"/>
      <c r="C234" s="37"/>
      <c r="D234" s="37"/>
      <c r="E234" s="327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2:43" ht="15.75" customHeight="1" x14ac:dyDescent="0.2">
      <c r="B235" s="2"/>
      <c r="C235" s="37"/>
      <c r="D235" s="37"/>
      <c r="E235" s="327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2:43" ht="15.75" customHeight="1" x14ac:dyDescent="0.2">
      <c r="B236" s="2"/>
      <c r="C236" s="37"/>
      <c r="D236" s="37"/>
      <c r="E236" s="327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2:43" ht="15.75" customHeight="1" x14ac:dyDescent="0.2">
      <c r="B237" s="2"/>
      <c r="C237" s="37"/>
      <c r="D237" s="37"/>
      <c r="E237" s="327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2:43" ht="15.75" customHeight="1" x14ac:dyDescent="0.2">
      <c r="B238" s="2"/>
      <c r="C238" s="37"/>
      <c r="D238" s="37"/>
      <c r="E238" s="327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2:43" ht="15.75" customHeight="1" x14ac:dyDescent="0.2">
      <c r="B239" s="2"/>
      <c r="C239" s="37"/>
      <c r="D239" s="37"/>
      <c r="E239" s="327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2:43" ht="15.75" customHeight="1" x14ac:dyDescent="0.2">
      <c r="B240" s="2"/>
      <c r="C240" s="37"/>
      <c r="D240" s="37"/>
      <c r="E240" s="327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2:43" ht="15.75" customHeight="1" x14ac:dyDescent="0.2">
      <c r="B241" s="2"/>
      <c r="C241" s="37"/>
      <c r="D241" s="37"/>
      <c r="E241" s="327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2:43" ht="15.75" customHeight="1" x14ac:dyDescent="0.2">
      <c r="B242" s="2"/>
      <c r="C242" s="37"/>
      <c r="D242" s="37"/>
      <c r="E242" s="327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2:43" ht="15.75" customHeight="1" x14ac:dyDescent="0.2">
      <c r="B243" s="2"/>
      <c r="C243" s="37"/>
      <c r="D243" s="37"/>
      <c r="E243" s="327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2:43" ht="15.75" customHeight="1" x14ac:dyDescent="0.2">
      <c r="B244" s="2"/>
      <c r="C244" s="37"/>
      <c r="D244" s="37"/>
      <c r="E244" s="327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2:43" ht="15.75" customHeight="1" x14ac:dyDescent="0.2">
      <c r="B245" s="2"/>
      <c r="C245" s="37"/>
      <c r="D245" s="37"/>
      <c r="E245" s="327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2:43" ht="15.75" customHeight="1" x14ac:dyDescent="0.2">
      <c r="B246" s="2"/>
      <c r="C246" s="37"/>
      <c r="D246" s="37"/>
      <c r="E246" s="327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2:43" ht="15.75" customHeight="1" x14ac:dyDescent="0.2">
      <c r="B247" s="2"/>
      <c r="C247" s="37"/>
      <c r="D247" s="37"/>
      <c r="E247" s="327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2:43" ht="15.75" customHeight="1" x14ac:dyDescent="0.2">
      <c r="B248" s="2"/>
      <c r="C248" s="37"/>
      <c r="D248" s="37"/>
      <c r="E248" s="327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2:43" ht="15.75" customHeight="1" x14ac:dyDescent="0.2">
      <c r="B249" s="2"/>
      <c r="C249" s="37"/>
      <c r="D249" s="37"/>
      <c r="E249" s="327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2:43" ht="15.75" customHeight="1" x14ac:dyDescent="0.2">
      <c r="B250" s="2"/>
      <c r="C250" s="37"/>
      <c r="D250" s="37"/>
      <c r="E250" s="327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2:43" ht="15.75" customHeight="1" x14ac:dyDescent="0.2">
      <c r="B251" s="2"/>
      <c r="C251" s="37"/>
      <c r="D251" s="37"/>
      <c r="E251" s="327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2:43" ht="15.75" customHeight="1" x14ac:dyDescent="0.2">
      <c r="B252" s="2"/>
      <c r="C252" s="37"/>
      <c r="D252" s="37"/>
      <c r="E252" s="327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2:43" ht="15.75" customHeight="1" x14ac:dyDescent="0.2">
      <c r="B253" s="2"/>
      <c r="C253" s="37"/>
      <c r="D253" s="37"/>
      <c r="E253" s="327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2:43" ht="15.75" customHeight="1" x14ac:dyDescent="0.2">
      <c r="B254" s="2"/>
      <c r="C254" s="37"/>
      <c r="D254" s="37"/>
      <c r="E254" s="327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2:43" ht="15.75" customHeight="1" x14ac:dyDescent="0.2">
      <c r="B255" s="2"/>
      <c r="C255" s="37"/>
      <c r="D255" s="37"/>
      <c r="E255" s="327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2:43" ht="15.75" customHeight="1" x14ac:dyDescent="0.2">
      <c r="B256" s="2"/>
      <c r="C256" s="37"/>
      <c r="D256" s="37"/>
      <c r="E256" s="327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2:43" ht="15.75" customHeight="1" x14ac:dyDescent="0.2">
      <c r="B257" s="2"/>
      <c r="C257" s="37"/>
      <c r="D257" s="37"/>
      <c r="E257" s="327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2:43" ht="15.75" customHeight="1" x14ac:dyDescent="0.2">
      <c r="B258" s="2"/>
      <c r="C258" s="37"/>
      <c r="D258" s="37"/>
      <c r="E258" s="327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2:43" ht="15.75" customHeight="1" x14ac:dyDescent="0.2">
      <c r="B259" s="2"/>
      <c r="C259" s="37"/>
      <c r="D259" s="37"/>
      <c r="E259" s="327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2:43" ht="15.75" customHeight="1" x14ac:dyDescent="0.2">
      <c r="B260" s="2"/>
      <c r="C260" s="37"/>
      <c r="D260" s="37"/>
      <c r="E260" s="327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2:43" ht="15.75" customHeight="1" x14ac:dyDescent="0.2">
      <c r="B261" s="2"/>
      <c r="C261" s="37"/>
      <c r="D261" s="37"/>
      <c r="E261" s="327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2:43" ht="15.75" customHeight="1" x14ac:dyDescent="0.2">
      <c r="B262" s="2"/>
      <c r="C262" s="37"/>
      <c r="D262" s="37"/>
      <c r="E262" s="327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2:43" ht="15.75" customHeight="1" x14ac:dyDescent="0.2">
      <c r="B263" s="2"/>
      <c r="C263" s="37"/>
      <c r="D263" s="37"/>
      <c r="E263" s="327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2:43" ht="15.75" customHeight="1" x14ac:dyDescent="0.2">
      <c r="B264" s="2"/>
      <c r="C264" s="37"/>
      <c r="D264" s="37"/>
      <c r="E264" s="327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2:43" ht="15.75" customHeight="1" x14ac:dyDescent="0.2">
      <c r="B265" s="2"/>
      <c r="C265" s="37"/>
      <c r="D265" s="37"/>
      <c r="E265" s="327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2:43" ht="15.75" customHeight="1" x14ac:dyDescent="0.2">
      <c r="B266" s="2"/>
      <c r="C266" s="37"/>
      <c r="D266" s="37"/>
      <c r="E266" s="327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2:43" ht="15.75" customHeight="1" x14ac:dyDescent="0.2">
      <c r="B267" s="2"/>
      <c r="C267" s="37"/>
      <c r="D267" s="37"/>
      <c r="E267" s="327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2:43" ht="15.75" customHeight="1" x14ac:dyDescent="0.2">
      <c r="B268" s="2"/>
      <c r="C268" s="37"/>
      <c r="D268" s="37"/>
      <c r="E268" s="327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2:43" ht="15.75" customHeight="1" x14ac:dyDescent="0.2">
      <c r="B269" s="2"/>
      <c r="C269" s="37"/>
      <c r="D269" s="37"/>
      <c r="E269" s="327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2:43" ht="15.75" customHeight="1" x14ac:dyDescent="0.2">
      <c r="B270" s="2"/>
      <c r="C270" s="37"/>
      <c r="D270" s="37"/>
      <c r="E270" s="327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2:43" ht="15.75" customHeight="1" x14ac:dyDescent="0.2">
      <c r="B271" s="2"/>
      <c r="C271" s="37"/>
      <c r="D271" s="37"/>
      <c r="E271" s="327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2:43" ht="15.75" customHeight="1" x14ac:dyDescent="0.2">
      <c r="B272" s="2"/>
      <c r="C272" s="37"/>
      <c r="D272" s="37"/>
      <c r="E272" s="327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2:43" ht="15.75" customHeight="1" x14ac:dyDescent="0.2">
      <c r="B273" s="2"/>
      <c r="C273" s="37"/>
      <c r="D273" s="37"/>
      <c r="E273" s="327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2:43" ht="15.75" customHeight="1" x14ac:dyDescent="0.2">
      <c r="B274" s="2"/>
      <c r="C274" s="37"/>
      <c r="D274" s="37"/>
      <c r="E274" s="327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2:43" ht="15.75" customHeight="1" x14ac:dyDescent="0.2">
      <c r="B275" s="2"/>
      <c r="C275" s="37"/>
      <c r="D275" s="37"/>
      <c r="E275" s="327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2:43" ht="15.75" customHeight="1" x14ac:dyDescent="0.2">
      <c r="B276" s="2"/>
      <c r="C276" s="37"/>
      <c r="D276" s="37"/>
      <c r="E276" s="327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2:43" ht="15.75" customHeight="1" x14ac:dyDescent="0.2">
      <c r="B277" s="2"/>
      <c r="C277" s="37"/>
      <c r="D277" s="37"/>
      <c r="E277" s="327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2:43" ht="15.75" customHeight="1" x14ac:dyDescent="0.2">
      <c r="B278" s="2"/>
      <c r="C278" s="37"/>
      <c r="D278" s="37"/>
      <c r="E278" s="327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2:43" ht="15.75" customHeight="1" x14ac:dyDescent="0.2">
      <c r="B279" s="2"/>
      <c r="C279" s="37"/>
      <c r="D279" s="37"/>
      <c r="E279" s="327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2:43" ht="15.75" customHeight="1" x14ac:dyDescent="0.2">
      <c r="B280" s="2"/>
      <c r="C280" s="37"/>
      <c r="D280" s="37"/>
      <c r="E280" s="327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2:43" ht="15.75" customHeight="1" x14ac:dyDescent="0.2">
      <c r="B281" s="2"/>
      <c r="C281" s="37"/>
      <c r="D281" s="37"/>
      <c r="E281" s="327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2:43" ht="15.75" customHeight="1" x14ac:dyDescent="0.2">
      <c r="B282" s="2"/>
      <c r="C282" s="37"/>
      <c r="D282" s="37"/>
      <c r="E282" s="327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2:43" ht="15.75" customHeight="1" x14ac:dyDescent="0.2">
      <c r="B283" s="2"/>
      <c r="C283" s="37"/>
      <c r="D283" s="37"/>
      <c r="E283" s="327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2:43" ht="15.75" customHeight="1" x14ac:dyDescent="0.2">
      <c r="B284" s="2"/>
      <c r="C284" s="37"/>
      <c r="D284" s="37"/>
      <c r="E284" s="327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2:43" ht="15.75" customHeight="1" x14ac:dyDescent="0.2">
      <c r="B285" s="2"/>
      <c r="C285" s="37"/>
      <c r="D285" s="37"/>
      <c r="E285" s="327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2:43" ht="15.75" customHeight="1" x14ac:dyDescent="0.2">
      <c r="B286" s="2"/>
      <c r="C286" s="37"/>
      <c r="D286" s="37"/>
      <c r="E286" s="327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2:43" ht="15.75" customHeight="1" x14ac:dyDescent="0.2">
      <c r="B287" s="2"/>
      <c r="C287" s="37"/>
      <c r="D287" s="37"/>
      <c r="E287" s="327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2:43" ht="15.75" customHeight="1" x14ac:dyDescent="0.2">
      <c r="B288" s="2"/>
      <c r="C288" s="37"/>
      <c r="D288" s="37"/>
      <c r="E288" s="327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2:43" ht="15.75" customHeight="1" x14ac:dyDescent="0.2">
      <c r="B289" s="2"/>
      <c r="C289" s="37"/>
      <c r="D289" s="37"/>
      <c r="E289" s="327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2:43" ht="15.75" customHeight="1" x14ac:dyDescent="0.2">
      <c r="B290" s="2"/>
      <c r="C290" s="37"/>
      <c r="D290" s="37"/>
      <c r="E290" s="327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2:43" ht="15.75" customHeight="1" x14ac:dyDescent="0.2">
      <c r="B291" s="2"/>
      <c r="C291" s="37"/>
      <c r="D291" s="37"/>
      <c r="E291" s="327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2:43" ht="15.75" customHeight="1" x14ac:dyDescent="0.2">
      <c r="B292" s="2"/>
      <c r="C292" s="37"/>
      <c r="D292" s="37"/>
      <c r="E292" s="327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2:43" ht="15.75" customHeight="1" x14ac:dyDescent="0.2">
      <c r="B293" s="2"/>
      <c r="C293" s="37"/>
      <c r="D293" s="37"/>
      <c r="E293" s="327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2:43" ht="15.75" customHeight="1" x14ac:dyDescent="0.2">
      <c r="B294" s="2"/>
      <c r="C294" s="37"/>
      <c r="D294" s="37"/>
      <c r="E294" s="327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2:43" ht="15.75" customHeight="1" x14ac:dyDescent="0.2">
      <c r="B295" s="2"/>
      <c r="C295" s="37"/>
      <c r="D295" s="37"/>
      <c r="E295" s="327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2:43" ht="15.75" customHeight="1" x14ac:dyDescent="0.2">
      <c r="B296" s="2"/>
      <c r="C296" s="37"/>
      <c r="D296" s="37"/>
      <c r="E296" s="327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2:43" ht="15.75" customHeight="1" x14ac:dyDescent="0.2">
      <c r="B297" s="2"/>
      <c r="C297" s="37"/>
      <c r="D297" s="37"/>
      <c r="E297" s="327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2:43" ht="15.75" customHeight="1" x14ac:dyDescent="0.2">
      <c r="B298" s="2"/>
      <c r="C298" s="37"/>
      <c r="D298" s="37"/>
      <c r="E298" s="327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2:43" ht="15.75" customHeight="1" x14ac:dyDescent="0.2">
      <c r="B299" s="2"/>
      <c r="C299" s="37"/>
      <c r="D299" s="37"/>
      <c r="E299" s="327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2:43" ht="15.75" customHeight="1" x14ac:dyDescent="0.2">
      <c r="B300" s="2"/>
      <c r="C300" s="37"/>
      <c r="D300" s="37"/>
      <c r="E300" s="327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2:43" ht="15.75" customHeight="1" x14ac:dyDescent="0.2">
      <c r="B301" s="2"/>
      <c r="C301" s="37"/>
      <c r="D301" s="37"/>
      <c r="E301" s="327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2:43" ht="15.75" customHeight="1" x14ac:dyDescent="0.2">
      <c r="B302" s="2"/>
      <c r="C302" s="37"/>
      <c r="D302" s="37"/>
      <c r="E302" s="327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2:43" ht="15.75" customHeight="1" x14ac:dyDescent="0.2">
      <c r="B303" s="2"/>
      <c r="C303" s="37"/>
      <c r="D303" s="37"/>
      <c r="E303" s="327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2:43" ht="15.75" customHeight="1" x14ac:dyDescent="0.2">
      <c r="B304" s="2"/>
      <c r="C304" s="37"/>
      <c r="D304" s="37"/>
      <c r="E304" s="327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2:43" ht="15.75" customHeight="1" x14ac:dyDescent="0.2">
      <c r="B305" s="2"/>
      <c r="C305" s="37"/>
      <c r="D305" s="37"/>
      <c r="E305" s="327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2:43" ht="15.75" customHeight="1" x14ac:dyDescent="0.2">
      <c r="B306" s="2"/>
      <c r="C306" s="37"/>
      <c r="D306" s="37"/>
      <c r="E306" s="327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2:43" ht="15.75" customHeight="1" x14ac:dyDescent="0.2">
      <c r="B307" s="2"/>
      <c r="C307" s="37"/>
      <c r="D307" s="37"/>
      <c r="E307" s="327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2:43" ht="15.75" customHeight="1" x14ac:dyDescent="0.2">
      <c r="B308" s="2"/>
      <c r="C308" s="37"/>
      <c r="D308" s="37"/>
      <c r="E308" s="327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2:43" ht="15.75" customHeight="1" x14ac:dyDescent="0.2">
      <c r="B309" s="2"/>
      <c r="C309" s="37"/>
      <c r="D309" s="37"/>
      <c r="E309" s="327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2:43" ht="15.75" customHeight="1" x14ac:dyDescent="0.2">
      <c r="B310" s="2"/>
      <c r="C310" s="37"/>
      <c r="D310" s="37"/>
      <c r="E310" s="327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2:43" ht="15.75" customHeight="1" x14ac:dyDescent="0.2">
      <c r="B311" s="2"/>
      <c r="C311" s="37"/>
      <c r="D311" s="37"/>
      <c r="E311" s="327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2:43" ht="15.75" customHeight="1" x14ac:dyDescent="0.2">
      <c r="B312" s="2"/>
      <c r="C312" s="37"/>
      <c r="D312" s="37"/>
      <c r="E312" s="327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2:43" ht="15.75" customHeight="1" x14ac:dyDescent="0.2">
      <c r="B313" s="2"/>
      <c r="C313" s="37"/>
      <c r="D313" s="37"/>
      <c r="E313" s="327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2:43" ht="15.75" customHeight="1" x14ac:dyDescent="0.2">
      <c r="B314" s="2"/>
      <c r="C314" s="37"/>
      <c r="D314" s="37"/>
      <c r="E314" s="327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2:43" ht="15.75" customHeight="1" x14ac:dyDescent="0.2">
      <c r="B315" s="2"/>
      <c r="C315" s="37"/>
      <c r="D315" s="37"/>
      <c r="E315" s="327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2:43" ht="15.75" customHeight="1" x14ac:dyDescent="0.2">
      <c r="B316" s="2"/>
      <c r="C316" s="37"/>
      <c r="D316" s="37"/>
      <c r="E316" s="327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2:43" ht="15.75" customHeight="1" x14ac:dyDescent="0.2">
      <c r="B317" s="2"/>
      <c r="C317" s="37"/>
      <c r="D317" s="37"/>
      <c r="E317" s="327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2:43" ht="15.75" customHeight="1" x14ac:dyDescent="0.2">
      <c r="B318" s="2"/>
      <c r="C318" s="37"/>
      <c r="D318" s="37"/>
      <c r="E318" s="327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2:43" ht="15.75" customHeight="1" x14ac:dyDescent="0.2">
      <c r="B319" s="2"/>
      <c r="C319" s="37"/>
      <c r="D319" s="37"/>
      <c r="E319" s="327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2:43" ht="15.75" customHeight="1" x14ac:dyDescent="0.2">
      <c r="B320" s="2"/>
      <c r="C320" s="37"/>
      <c r="D320" s="37"/>
      <c r="E320" s="327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2:43" ht="15.75" customHeight="1" x14ac:dyDescent="0.2">
      <c r="B321" s="2"/>
      <c r="C321" s="37"/>
      <c r="D321" s="37"/>
      <c r="E321" s="327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2:43" ht="15.75" customHeight="1" x14ac:dyDescent="0.2">
      <c r="B322" s="2"/>
      <c r="C322" s="37"/>
      <c r="D322" s="37"/>
      <c r="E322" s="327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2:43" ht="15.75" customHeight="1" x14ac:dyDescent="0.2">
      <c r="B323" s="2"/>
      <c r="C323" s="37"/>
      <c r="D323" s="37"/>
      <c r="E323" s="327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2:43" ht="15.75" customHeight="1" x14ac:dyDescent="0.2">
      <c r="B324" s="2"/>
      <c r="C324" s="37"/>
      <c r="D324" s="37"/>
      <c r="E324" s="327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2:43" ht="15.75" customHeight="1" x14ac:dyDescent="0.2">
      <c r="B325" s="2"/>
      <c r="C325" s="37"/>
      <c r="D325" s="37"/>
      <c r="E325" s="327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2:43" ht="15.75" customHeight="1" x14ac:dyDescent="0.2">
      <c r="B326" s="2"/>
      <c r="C326" s="37"/>
      <c r="D326" s="37"/>
      <c r="E326" s="327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2:43" ht="15.75" customHeight="1" x14ac:dyDescent="0.2">
      <c r="B327" s="2"/>
      <c r="C327" s="37"/>
      <c r="D327" s="37"/>
      <c r="E327" s="327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2:43" ht="15.75" customHeight="1" x14ac:dyDescent="0.2">
      <c r="B328" s="2"/>
      <c r="C328" s="37"/>
      <c r="D328" s="37"/>
      <c r="E328" s="327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2:43" ht="15.75" customHeight="1" x14ac:dyDescent="0.2">
      <c r="B329" s="2"/>
      <c r="C329" s="37"/>
      <c r="D329" s="37"/>
      <c r="E329" s="327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2:43" ht="15.75" customHeight="1" x14ac:dyDescent="0.2">
      <c r="B330" s="2"/>
      <c r="C330" s="37"/>
      <c r="D330" s="37"/>
      <c r="E330" s="327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2:43" ht="15.75" customHeight="1" x14ac:dyDescent="0.2">
      <c r="B331" s="2"/>
      <c r="C331" s="37"/>
      <c r="D331" s="37"/>
      <c r="E331" s="327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2:43" ht="15.75" customHeight="1" x14ac:dyDescent="0.2">
      <c r="B332" s="2"/>
      <c r="C332" s="37"/>
      <c r="D332" s="37"/>
      <c r="E332" s="327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2:43" ht="15.75" customHeight="1" x14ac:dyDescent="0.2">
      <c r="B333" s="2"/>
      <c r="C333" s="37"/>
      <c r="D333" s="37"/>
      <c r="E333" s="327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2:43" ht="15.75" customHeight="1" x14ac:dyDescent="0.2">
      <c r="B334" s="2"/>
      <c r="C334" s="37"/>
      <c r="D334" s="37"/>
      <c r="E334" s="327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2:43" ht="15.75" customHeight="1" x14ac:dyDescent="0.2">
      <c r="B335" s="2"/>
      <c r="C335" s="37"/>
      <c r="D335" s="37"/>
      <c r="E335" s="327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2:43" ht="15.75" customHeight="1" x14ac:dyDescent="0.2">
      <c r="B336" s="2"/>
      <c r="C336" s="37"/>
      <c r="D336" s="37"/>
      <c r="E336" s="327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2:43" ht="15.75" customHeight="1" x14ac:dyDescent="0.2">
      <c r="B337" s="2"/>
      <c r="C337" s="37"/>
      <c r="D337" s="37"/>
      <c r="E337" s="327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2:43" ht="15.75" customHeight="1" x14ac:dyDescent="0.2">
      <c r="B338" s="2"/>
      <c r="C338" s="37"/>
      <c r="D338" s="37"/>
      <c r="E338" s="327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2:43" ht="15.75" customHeight="1" x14ac:dyDescent="0.2">
      <c r="B339" s="2"/>
      <c r="C339" s="37"/>
      <c r="D339" s="37"/>
      <c r="E339" s="327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2:43" ht="15.75" customHeight="1" x14ac:dyDescent="0.2">
      <c r="B340" s="2"/>
      <c r="C340" s="37"/>
      <c r="D340" s="37"/>
      <c r="E340" s="327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2:43" ht="15.75" customHeight="1" x14ac:dyDescent="0.2">
      <c r="B341" s="2"/>
      <c r="C341" s="37"/>
      <c r="D341" s="37"/>
      <c r="E341" s="327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2:43" ht="15.75" customHeight="1" x14ac:dyDescent="0.2">
      <c r="B342" s="2"/>
      <c r="C342" s="37"/>
      <c r="D342" s="37"/>
      <c r="E342" s="327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2:43" ht="15.75" customHeight="1" x14ac:dyDescent="0.2">
      <c r="B343" s="2"/>
      <c r="C343" s="37"/>
      <c r="D343" s="37"/>
      <c r="E343" s="327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2:43" ht="15.75" customHeight="1" x14ac:dyDescent="0.2">
      <c r="B344" s="2"/>
      <c r="C344" s="37"/>
      <c r="D344" s="37"/>
      <c r="E344" s="327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2:43" ht="15.75" customHeight="1" x14ac:dyDescent="0.2">
      <c r="B345" s="2"/>
      <c r="C345" s="37"/>
      <c r="D345" s="37"/>
      <c r="E345" s="327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2:43" ht="15.75" customHeight="1" x14ac:dyDescent="0.2">
      <c r="B346" s="2"/>
      <c r="C346" s="37"/>
      <c r="D346" s="37"/>
      <c r="E346" s="327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2:43" ht="15.75" customHeight="1" x14ac:dyDescent="0.2">
      <c r="B347" s="2"/>
      <c r="C347" s="37"/>
      <c r="D347" s="37"/>
      <c r="E347" s="327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2:43" ht="15.75" customHeight="1" x14ac:dyDescent="0.2">
      <c r="B348" s="2"/>
      <c r="C348" s="37"/>
      <c r="D348" s="37"/>
      <c r="E348" s="327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2:43" ht="15.75" customHeight="1" x14ac:dyDescent="0.2">
      <c r="B349" s="2"/>
      <c r="C349" s="37"/>
      <c r="D349" s="37"/>
      <c r="E349" s="327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2:43" ht="15.75" customHeight="1" x14ac:dyDescent="0.2">
      <c r="B350" s="2"/>
      <c r="C350" s="37"/>
      <c r="D350" s="37"/>
      <c r="E350" s="327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2:43" ht="15.75" customHeight="1" x14ac:dyDescent="0.2">
      <c r="B351" s="2"/>
      <c r="C351" s="37"/>
      <c r="D351" s="37"/>
      <c r="E351" s="327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2:43" ht="15.75" customHeight="1" x14ac:dyDescent="0.2">
      <c r="B352" s="2"/>
      <c r="C352" s="37"/>
      <c r="D352" s="37"/>
      <c r="E352" s="327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2:43" ht="15.75" customHeight="1" x14ac:dyDescent="0.2">
      <c r="B353" s="2"/>
      <c r="C353" s="37"/>
      <c r="D353" s="37"/>
      <c r="E353" s="327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2:43" ht="15.75" customHeight="1" x14ac:dyDescent="0.2">
      <c r="B354" s="2"/>
      <c r="C354" s="37"/>
      <c r="D354" s="37"/>
      <c r="E354" s="327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2:43" ht="15.75" customHeight="1" x14ac:dyDescent="0.2">
      <c r="B355" s="2"/>
      <c r="C355" s="37"/>
      <c r="D355" s="37"/>
      <c r="E355" s="327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2:43" ht="15.75" customHeight="1" x14ac:dyDescent="0.2">
      <c r="B356" s="2"/>
      <c r="C356" s="37"/>
      <c r="D356" s="37"/>
      <c r="E356" s="327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2:43" ht="15.75" customHeight="1" x14ac:dyDescent="0.2">
      <c r="B357" s="2"/>
      <c r="C357" s="37"/>
      <c r="D357" s="37"/>
      <c r="E357" s="327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2:43" ht="15.75" customHeight="1" x14ac:dyDescent="0.2">
      <c r="B358" s="2"/>
      <c r="C358" s="37"/>
      <c r="D358" s="37"/>
      <c r="E358" s="327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2:43" ht="15.75" customHeight="1" x14ac:dyDescent="0.2">
      <c r="B359" s="2"/>
      <c r="C359" s="37"/>
      <c r="D359" s="37"/>
      <c r="E359" s="327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2:43" ht="15.75" customHeight="1" x14ac:dyDescent="0.2">
      <c r="B360" s="2"/>
      <c r="C360" s="37"/>
      <c r="D360" s="37"/>
      <c r="E360" s="327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2:43" ht="15.75" customHeight="1" x14ac:dyDescent="0.2">
      <c r="B361" s="2"/>
      <c r="C361" s="37"/>
      <c r="D361" s="37"/>
      <c r="E361" s="327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2:43" ht="15.75" customHeight="1" x14ac:dyDescent="0.2">
      <c r="B362" s="2"/>
      <c r="C362" s="37"/>
      <c r="D362" s="37"/>
      <c r="E362" s="327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2:43" ht="15.75" customHeight="1" x14ac:dyDescent="0.2">
      <c r="B363" s="2"/>
      <c r="C363" s="37"/>
      <c r="D363" s="37"/>
      <c r="E363" s="327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2:43" ht="15.75" customHeight="1" x14ac:dyDescent="0.2">
      <c r="B364" s="2"/>
      <c r="C364" s="37"/>
      <c r="D364" s="37"/>
      <c r="E364" s="327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2:43" ht="15.75" customHeight="1" x14ac:dyDescent="0.2">
      <c r="B365" s="2"/>
      <c r="C365" s="37"/>
      <c r="D365" s="37"/>
      <c r="E365" s="327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2:43" ht="15.75" customHeight="1" x14ac:dyDescent="0.2">
      <c r="B366" s="2"/>
      <c r="C366" s="37"/>
      <c r="D366" s="37"/>
      <c r="E366" s="327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2:43" ht="15.75" customHeight="1" x14ac:dyDescent="0.2">
      <c r="B367" s="2"/>
      <c r="C367" s="37"/>
      <c r="D367" s="37"/>
      <c r="E367" s="327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2:43" ht="15.75" customHeight="1" x14ac:dyDescent="0.2">
      <c r="B368" s="2"/>
      <c r="C368" s="37"/>
      <c r="D368" s="37"/>
      <c r="E368" s="327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2:43" ht="15.75" customHeight="1" x14ac:dyDescent="0.2">
      <c r="B369" s="2"/>
      <c r="C369" s="37"/>
      <c r="D369" s="37"/>
      <c r="E369" s="327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2:43" ht="15.75" customHeight="1" x14ac:dyDescent="0.2">
      <c r="B370" s="2"/>
      <c r="C370" s="37"/>
      <c r="D370" s="37"/>
      <c r="E370" s="327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2:43" ht="15.75" customHeight="1" x14ac:dyDescent="0.2">
      <c r="B371" s="2"/>
      <c r="C371" s="37"/>
      <c r="D371" s="37"/>
      <c r="E371" s="327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2:43" ht="15.75" customHeight="1" x14ac:dyDescent="0.2">
      <c r="B372" s="2"/>
      <c r="C372" s="37"/>
      <c r="D372" s="37"/>
      <c r="E372" s="327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2:43" ht="15.75" customHeight="1" x14ac:dyDescent="0.2">
      <c r="B373" s="2"/>
      <c r="C373" s="37"/>
      <c r="D373" s="37"/>
      <c r="E373" s="327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2:43" ht="15.75" customHeight="1" x14ac:dyDescent="0.2">
      <c r="B374" s="2"/>
      <c r="C374" s="37"/>
      <c r="D374" s="37"/>
      <c r="E374" s="327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2:43" ht="15.75" customHeight="1" x14ac:dyDescent="0.2">
      <c r="B375" s="2"/>
      <c r="C375" s="37"/>
      <c r="D375" s="37"/>
      <c r="E375" s="327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2:43" ht="15.75" customHeight="1" x14ac:dyDescent="0.2">
      <c r="B376" s="2"/>
      <c r="C376" s="37"/>
      <c r="D376" s="37"/>
      <c r="E376" s="327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2:43" ht="15.75" customHeight="1" x14ac:dyDescent="0.2">
      <c r="B377" s="2"/>
      <c r="C377" s="37"/>
      <c r="D377" s="37"/>
      <c r="E377" s="327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2:43" ht="15.75" customHeight="1" x14ac:dyDescent="0.2">
      <c r="B378" s="2"/>
      <c r="C378" s="37"/>
      <c r="D378" s="37"/>
      <c r="E378" s="327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2:43" ht="15.75" customHeight="1" x14ac:dyDescent="0.2">
      <c r="B379" s="2"/>
      <c r="C379" s="37"/>
      <c r="D379" s="37"/>
      <c r="E379" s="327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2:43" ht="15.75" customHeight="1" x14ac:dyDescent="0.2">
      <c r="B380" s="2"/>
      <c r="C380" s="37"/>
      <c r="D380" s="37"/>
      <c r="E380" s="327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2:43" ht="15.75" customHeight="1" x14ac:dyDescent="0.2">
      <c r="B381" s="2"/>
      <c r="C381" s="37"/>
      <c r="D381" s="37"/>
      <c r="E381" s="327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2:43" ht="15.75" customHeight="1" x14ac:dyDescent="0.2">
      <c r="B382" s="2"/>
      <c r="C382" s="37"/>
      <c r="D382" s="37"/>
      <c r="E382" s="327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2:43" ht="15.75" customHeight="1" x14ac:dyDescent="0.2">
      <c r="B383" s="2"/>
      <c r="C383" s="37"/>
      <c r="D383" s="37"/>
      <c r="E383" s="327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2:43" ht="15.75" customHeight="1" x14ac:dyDescent="0.2">
      <c r="B384" s="2"/>
      <c r="C384" s="37"/>
      <c r="D384" s="37"/>
      <c r="E384" s="327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2:43" ht="15.75" customHeight="1" x14ac:dyDescent="0.2">
      <c r="B385" s="2"/>
      <c r="C385" s="37"/>
      <c r="D385" s="37"/>
      <c r="E385" s="327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2:43" ht="15.75" customHeight="1" x14ac:dyDescent="0.2">
      <c r="B386" s="2"/>
      <c r="C386" s="37"/>
      <c r="D386" s="37"/>
      <c r="E386" s="327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2:43" ht="15.75" customHeight="1" x14ac:dyDescent="0.2">
      <c r="B387" s="2"/>
      <c r="C387" s="37"/>
      <c r="D387" s="37"/>
      <c r="E387" s="327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2:43" ht="15.75" customHeight="1" x14ac:dyDescent="0.2">
      <c r="B388" s="2"/>
      <c r="C388" s="37"/>
      <c r="D388" s="37"/>
      <c r="E388" s="327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2:43" ht="15.75" customHeight="1" x14ac:dyDescent="0.2">
      <c r="B389" s="2"/>
      <c r="C389" s="37"/>
      <c r="D389" s="37"/>
      <c r="E389" s="327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2:43" ht="15.75" customHeight="1" x14ac:dyDescent="0.2">
      <c r="B390" s="2"/>
      <c r="C390" s="37"/>
      <c r="D390" s="37"/>
      <c r="E390" s="327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2:43" ht="15.75" customHeight="1" x14ac:dyDescent="0.2">
      <c r="B391" s="2"/>
      <c r="C391" s="37"/>
      <c r="D391" s="37"/>
      <c r="E391" s="327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2:43" ht="15.75" customHeight="1" x14ac:dyDescent="0.2">
      <c r="B392" s="2"/>
      <c r="C392" s="37"/>
      <c r="D392" s="37"/>
      <c r="E392" s="327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2:43" ht="15.75" customHeight="1" x14ac:dyDescent="0.2">
      <c r="B393" s="2"/>
      <c r="C393" s="37"/>
      <c r="D393" s="37"/>
      <c r="E393" s="327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2:43" ht="15.75" customHeight="1" x14ac:dyDescent="0.2">
      <c r="B394" s="2"/>
      <c r="C394" s="37"/>
      <c r="D394" s="37"/>
      <c r="E394" s="327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2:43" ht="15.75" customHeight="1" x14ac:dyDescent="0.2">
      <c r="B395" s="2"/>
      <c r="C395" s="37"/>
      <c r="D395" s="37"/>
      <c r="E395" s="327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2:43" ht="15.75" customHeight="1" x14ac:dyDescent="0.2">
      <c r="B396" s="2"/>
      <c r="C396" s="37"/>
      <c r="D396" s="37"/>
      <c r="E396" s="327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2:43" ht="15.75" customHeight="1" x14ac:dyDescent="0.2">
      <c r="B397" s="2"/>
      <c r="C397" s="37"/>
      <c r="D397" s="37"/>
      <c r="E397" s="327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2:43" ht="15.75" customHeight="1" x14ac:dyDescent="0.2">
      <c r="B398" s="2"/>
      <c r="C398" s="37"/>
      <c r="D398" s="37"/>
      <c r="E398" s="327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2:43" ht="15.75" customHeight="1" x14ac:dyDescent="0.2">
      <c r="B399" s="2"/>
      <c r="C399" s="37"/>
      <c r="D399" s="37"/>
      <c r="E399" s="327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2:43" ht="15.75" customHeight="1" x14ac:dyDescent="0.2">
      <c r="B400" s="2"/>
      <c r="C400" s="37"/>
      <c r="D400" s="37"/>
      <c r="E400" s="327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2:43" ht="15.75" customHeight="1" x14ac:dyDescent="0.2">
      <c r="B401" s="2"/>
      <c r="C401" s="37"/>
      <c r="D401" s="37"/>
      <c r="E401" s="327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2:43" ht="15.75" customHeight="1" x14ac:dyDescent="0.2">
      <c r="B402" s="2"/>
      <c r="C402" s="37"/>
      <c r="D402" s="37"/>
      <c r="E402" s="327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2:43" ht="15.75" customHeight="1" x14ac:dyDescent="0.2">
      <c r="B403" s="2"/>
      <c r="C403" s="37"/>
      <c r="D403" s="37"/>
      <c r="E403" s="327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2:43" ht="15.75" customHeight="1" x14ac:dyDescent="0.2">
      <c r="B404" s="2"/>
      <c r="C404" s="37"/>
      <c r="D404" s="37"/>
      <c r="E404" s="327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2:43" ht="15.75" customHeight="1" x14ac:dyDescent="0.2">
      <c r="B405" s="2"/>
      <c r="C405" s="37"/>
      <c r="D405" s="37"/>
      <c r="E405" s="327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2:43" ht="15.75" customHeight="1" x14ac:dyDescent="0.2">
      <c r="B406" s="2"/>
      <c r="C406" s="37"/>
      <c r="D406" s="37"/>
      <c r="E406" s="327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2:43" ht="15.75" customHeight="1" x14ac:dyDescent="0.2">
      <c r="B407" s="2"/>
      <c r="C407" s="37"/>
      <c r="D407" s="37"/>
      <c r="E407" s="327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2:43" ht="15.75" customHeight="1" x14ac:dyDescent="0.2">
      <c r="B408" s="2"/>
      <c r="C408" s="37"/>
      <c r="D408" s="37"/>
      <c r="E408" s="327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2:43" ht="15.75" customHeight="1" x14ac:dyDescent="0.2">
      <c r="B409" s="2"/>
      <c r="C409" s="37"/>
      <c r="D409" s="37"/>
      <c r="E409" s="327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2:43" ht="15.75" customHeight="1" x14ac:dyDescent="0.2">
      <c r="B410" s="2"/>
      <c r="C410" s="37"/>
      <c r="D410" s="37"/>
      <c r="E410" s="327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2:43" ht="15.75" customHeight="1" x14ac:dyDescent="0.2">
      <c r="B411" s="2"/>
      <c r="C411" s="37"/>
      <c r="D411" s="37"/>
      <c r="E411" s="327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2:43" ht="15.75" customHeight="1" x14ac:dyDescent="0.2">
      <c r="B412" s="2"/>
      <c r="C412" s="37"/>
      <c r="D412" s="37"/>
      <c r="E412" s="327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2:43" ht="15.75" customHeight="1" x14ac:dyDescent="0.2">
      <c r="B413" s="2"/>
      <c r="C413" s="37"/>
      <c r="D413" s="37"/>
      <c r="E413" s="327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2:43" ht="15.75" customHeight="1" x14ac:dyDescent="0.2">
      <c r="B414" s="2"/>
      <c r="C414" s="37"/>
      <c r="D414" s="37"/>
      <c r="E414" s="327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2:43" ht="15.75" customHeight="1" x14ac:dyDescent="0.2">
      <c r="B415" s="2"/>
      <c r="C415" s="37"/>
      <c r="D415" s="37"/>
      <c r="E415" s="327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2:43" ht="15.75" customHeight="1" x14ac:dyDescent="0.2">
      <c r="B416" s="2"/>
      <c r="C416" s="37"/>
      <c r="D416" s="37"/>
      <c r="E416" s="327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2:43" ht="15.75" customHeight="1" x14ac:dyDescent="0.2">
      <c r="B417" s="2"/>
      <c r="C417" s="37"/>
      <c r="D417" s="37"/>
      <c r="E417" s="327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2:43" ht="15.75" customHeight="1" x14ac:dyDescent="0.2">
      <c r="B418" s="2"/>
      <c r="C418" s="37"/>
      <c r="D418" s="37"/>
      <c r="E418" s="327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2:43" ht="15.75" customHeight="1" x14ac:dyDescent="0.2">
      <c r="B419" s="2"/>
      <c r="C419" s="37"/>
      <c r="D419" s="37"/>
      <c r="E419" s="327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2:43" ht="15.75" customHeight="1" x14ac:dyDescent="0.2">
      <c r="B420" s="2"/>
      <c r="C420" s="37"/>
      <c r="D420" s="37"/>
      <c r="E420" s="327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2:43" ht="15.75" customHeight="1" x14ac:dyDescent="0.2">
      <c r="B421" s="2"/>
      <c r="C421" s="37"/>
      <c r="D421" s="37"/>
      <c r="E421" s="327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2:43" ht="15.75" customHeight="1" x14ac:dyDescent="0.2">
      <c r="B422" s="2"/>
      <c r="C422" s="37"/>
      <c r="D422" s="37"/>
      <c r="E422" s="327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2:43" ht="15.75" customHeight="1" x14ac:dyDescent="0.2">
      <c r="B423" s="2"/>
      <c r="C423" s="37"/>
      <c r="D423" s="37"/>
      <c r="E423" s="327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2:43" ht="15.75" customHeight="1" x14ac:dyDescent="0.2">
      <c r="B424" s="2"/>
      <c r="C424" s="37"/>
      <c r="D424" s="37"/>
      <c r="E424" s="327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2:43" ht="15.75" customHeight="1" x14ac:dyDescent="0.2">
      <c r="B425" s="2"/>
      <c r="C425" s="37"/>
      <c r="D425" s="37"/>
      <c r="E425" s="327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2:43" ht="15.75" customHeight="1" x14ac:dyDescent="0.2">
      <c r="B426" s="2"/>
      <c r="C426" s="37"/>
      <c r="D426" s="37"/>
      <c r="E426" s="327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2:43" ht="15.75" customHeight="1" x14ac:dyDescent="0.2">
      <c r="B427" s="2"/>
      <c r="C427" s="37"/>
      <c r="D427" s="37"/>
      <c r="E427" s="327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2:43" ht="15.75" customHeight="1" x14ac:dyDescent="0.2">
      <c r="B428" s="2"/>
      <c r="C428" s="37"/>
      <c r="D428" s="37"/>
      <c r="E428" s="327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2:43" ht="15.75" customHeight="1" x14ac:dyDescent="0.2">
      <c r="B429" s="2"/>
      <c r="C429" s="37"/>
      <c r="D429" s="37"/>
      <c r="E429" s="327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2:43" ht="15.75" customHeight="1" x14ac:dyDescent="0.2">
      <c r="B430" s="2"/>
      <c r="C430" s="37"/>
      <c r="D430" s="37"/>
      <c r="E430" s="327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2:43" ht="15.75" customHeight="1" x14ac:dyDescent="0.2">
      <c r="B431" s="2"/>
      <c r="C431" s="37"/>
      <c r="D431" s="37"/>
      <c r="E431" s="327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2:43" ht="15.75" customHeight="1" x14ac:dyDescent="0.2">
      <c r="B432" s="2"/>
      <c r="C432" s="37"/>
      <c r="D432" s="37"/>
      <c r="E432" s="327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2:43" ht="15.75" customHeight="1" x14ac:dyDescent="0.2">
      <c r="B433" s="2"/>
      <c r="C433" s="37"/>
      <c r="D433" s="37"/>
      <c r="E433" s="327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2:43" ht="15.75" customHeight="1" x14ac:dyDescent="0.2">
      <c r="B434" s="2"/>
      <c r="C434" s="37"/>
      <c r="D434" s="37"/>
      <c r="E434" s="327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2:43" ht="15.75" customHeight="1" x14ac:dyDescent="0.2">
      <c r="B435" s="2"/>
      <c r="C435" s="37"/>
      <c r="D435" s="37"/>
      <c r="E435" s="327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2:43" ht="15.75" customHeight="1" x14ac:dyDescent="0.2">
      <c r="B436" s="2"/>
      <c r="C436" s="37"/>
      <c r="D436" s="37"/>
      <c r="E436" s="327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2:43" ht="15.75" customHeight="1" x14ac:dyDescent="0.2">
      <c r="B437" s="2"/>
      <c r="C437" s="37"/>
      <c r="D437" s="37"/>
      <c r="E437" s="327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2:43" ht="15.75" customHeight="1" x14ac:dyDescent="0.2">
      <c r="B438" s="2"/>
      <c r="C438" s="37"/>
      <c r="D438" s="37"/>
      <c r="E438" s="327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2:43" ht="15.75" customHeight="1" x14ac:dyDescent="0.2">
      <c r="B439" s="2"/>
      <c r="C439" s="37"/>
      <c r="D439" s="37"/>
      <c r="E439" s="327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2:43" ht="15.75" customHeight="1" x14ac:dyDescent="0.2">
      <c r="B440" s="2"/>
      <c r="C440" s="37"/>
      <c r="D440" s="37"/>
      <c r="E440" s="327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2:43" ht="15.75" customHeight="1" x14ac:dyDescent="0.2">
      <c r="B441" s="2"/>
      <c r="C441" s="37"/>
      <c r="D441" s="37"/>
      <c r="E441" s="327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2:43" ht="15.75" customHeight="1" x14ac:dyDescent="0.2">
      <c r="B442" s="2"/>
      <c r="C442" s="37"/>
      <c r="D442" s="37"/>
      <c r="E442" s="327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2:43" ht="15.75" customHeight="1" x14ac:dyDescent="0.2">
      <c r="B443" s="2"/>
      <c r="C443" s="37"/>
      <c r="D443" s="37"/>
      <c r="E443" s="327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2:43" ht="15.75" customHeight="1" x14ac:dyDescent="0.2">
      <c r="B444" s="2"/>
      <c r="C444" s="37"/>
      <c r="D444" s="37"/>
      <c r="E444" s="327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2:43" ht="15.75" customHeight="1" x14ac:dyDescent="0.2">
      <c r="B445" s="2"/>
      <c r="C445" s="37"/>
      <c r="D445" s="37"/>
      <c r="E445" s="327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2:43" ht="15.75" customHeight="1" x14ac:dyDescent="0.2">
      <c r="B446" s="2"/>
      <c r="C446" s="37"/>
      <c r="D446" s="37"/>
      <c r="E446" s="327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2:43" ht="15.75" customHeight="1" x14ac:dyDescent="0.2">
      <c r="B447" s="2"/>
      <c r="C447" s="37"/>
      <c r="D447" s="37"/>
      <c r="E447" s="327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2:43" ht="15.75" customHeight="1" x14ac:dyDescent="0.2">
      <c r="B448" s="2"/>
      <c r="C448" s="37"/>
      <c r="D448" s="37"/>
      <c r="E448" s="327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2:43" ht="15.75" customHeight="1" x14ac:dyDescent="0.2">
      <c r="B449" s="2"/>
      <c r="C449" s="37"/>
      <c r="D449" s="37"/>
      <c r="E449" s="327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2:43" ht="15.75" customHeight="1" x14ac:dyDescent="0.2">
      <c r="B450" s="2"/>
      <c r="C450" s="37"/>
      <c r="D450" s="37"/>
      <c r="E450" s="327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2:43" ht="15.75" customHeight="1" x14ac:dyDescent="0.2">
      <c r="B451" s="2"/>
      <c r="C451" s="37"/>
      <c r="D451" s="37"/>
      <c r="E451" s="327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2:43" ht="15.75" customHeight="1" x14ac:dyDescent="0.2">
      <c r="B452" s="2"/>
      <c r="C452" s="37"/>
      <c r="D452" s="37"/>
      <c r="E452" s="327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2:43" ht="15.75" customHeight="1" x14ac:dyDescent="0.2">
      <c r="B453" s="2"/>
      <c r="C453" s="37"/>
      <c r="D453" s="37"/>
      <c r="E453" s="327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2:43" ht="15.75" customHeight="1" x14ac:dyDescent="0.2">
      <c r="B454" s="2"/>
      <c r="C454" s="37"/>
      <c r="D454" s="37"/>
      <c r="E454" s="327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2:43" ht="15.75" customHeight="1" x14ac:dyDescent="0.2">
      <c r="B455" s="2"/>
      <c r="C455" s="37"/>
      <c r="D455" s="37"/>
      <c r="E455" s="327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2:43" ht="15.75" customHeight="1" x14ac:dyDescent="0.2">
      <c r="B456" s="2"/>
      <c r="C456" s="37"/>
      <c r="D456" s="37"/>
      <c r="E456" s="327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2:43" ht="15.75" customHeight="1" x14ac:dyDescent="0.2">
      <c r="B457" s="2"/>
      <c r="C457" s="37"/>
      <c r="D457" s="37"/>
      <c r="E457" s="327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2:43" ht="15.75" customHeight="1" x14ac:dyDescent="0.2">
      <c r="B458" s="2"/>
      <c r="C458" s="37"/>
      <c r="D458" s="37"/>
      <c r="E458" s="327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2:43" ht="15.75" customHeight="1" x14ac:dyDescent="0.2">
      <c r="B459" s="2"/>
      <c r="C459" s="37"/>
      <c r="D459" s="37"/>
      <c r="E459" s="327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2:43" ht="15.75" customHeight="1" x14ac:dyDescent="0.2">
      <c r="B460" s="2"/>
      <c r="C460" s="37"/>
      <c r="D460" s="37"/>
      <c r="E460" s="327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2:43" ht="15.75" customHeight="1" x14ac:dyDescent="0.2">
      <c r="B461" s="2"/>
      <c r="C461" s="37"/>
      <c r="D461" s="37"/>
      <c r="E461" s="327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2:43" ht="15.75" customHeight="1" x14ac:dyDescent="0.2">
      <c r="B462" s="2"/>
      <c r="C462" s="37"/>
      <c r="D462" s="37"/>
      <c r="E462" s="327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2:43" ht="15.75" customHeight="1" x14ac:dyDescent="0.2">
      <c r="B463" s="2"/>
      <c r="C463" s="37"/>
      <c r="D463" s="37"/>
      <c r="E463" s="327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2:43" ht="15.75" customHeight="1" x14ac:dyDescent="0.2">
      <c r="B464" s="2"/>
      <c r="C464" s="37"/>
      <c r="D464" s="37"/>
      <c r="E464" s="327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2:43" ht="15.75" customHeight="1" x14ac:dyDescent="0.2">
      <c r="B465" s="2"/>
      <c r="C465" s="37"/>
      <c r="D465" s="37"/>
      <c r="E465" s="327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2:43" ht="15.75" customHeight="1" x14ac:dyDescent="0.2">
      <c r="B466" s="2"/>
      <c r="C466" s="37"/>
      <c r="D466" s="37"/>
      <c r="E466" s="327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2:43" ht="15.75" customHeight="1" x14ac:dyDescent="0.2">
      <c r="B467" s="2"/>
      <c r="C467" s="37"/>
      <c r="D467" s="37"/>
      <c r="E467" s="327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2:43" ht="15.75" customHeight="1" x14ac:dyDescent="0.2">
      <c r="B468" s="2"/>
      <c r="C468" s="37"/>
      <c r="D468" s="37"/>
      <c r="E468" s="327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2:43" ht="15.75" customHeight="1" x14ac:dyDescent="0.2">
      <c r="B469" s="2"/>
      <c r="C469" s="37"/>
      <c r="D469" s="37"/>
      <c r="E469" s="327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2:43" ht="15.75" customHeight="1" x14ac:dyDescent="0.2">
      <c r="B470" s="2"/>
      <c r="C470" s="37"/>
      <c r="D470" s="37"/>
      <c r="E470" s="327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2:43" ht="15.75" customHeight="1" x14ac:dyDescent="0.2">
      <c r="B471" s="2"/>
      <c r="C471" s="37"/>
      <c r="D471" s="37"/>
      <c r="E471" s="327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2:43" ht="15.75" customHeight="1" x14ac:dyDescent="0.2">
      <c r="B472" s="2"/>
      <c r="C472" s="37"/>
      <c r="D472" s="37"/>
      <c r="E472" s="327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2:43" ht="15.75" customHeight="1" x14ac:dyDescent="0.2">
      <c r="B473" s="2"/>
      <c r="C473" s="37"/>
      <c r="D473" s="37"/>
      <c r="E473" s="327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2:43" ht="15.75" customHeight="1" x14ac:dyDescent="0.2">
      <c r="B474" s="2"/>
      <c r="C474" s="37"/>
      <c r="D474" s="37"/>
      <c r="E474" s="327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2:43" ht="15.75" customHeight="1" x14ac:dyDescent="0.2">
      <c r="B475" s="2"/>
      <c r="C475" s="37"/>
      <c r="D475" s="37"/>
      <c r="E475" s="327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2:43" ht="15.75" customHeight="1" x14ac:dyDescent="0.2">
      <c r="B476" s="2"/>
      <c r="C476" s="37"/>
      <c r="D476" s="37"/>
      <c r="E476" s="327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2:43" ht="15.75" customHeight="1" x14ac:dyDescent="0.2">
      <c r="B477" s="2"/>
      <c r="C477" s="37"/>
      <c r="D477" s="37"/>
      <c r="E477" s="327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2:43" ht="15.75" customHeight="1" x14ac:dyDescent="0.2">
      <c r="B478" s="2"/>
      <c r="C478" s="37"/>
      <c r="D478" s="37"/>
      <c r="E478" s="327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2:43" ht="15.75" customHeight="1" x14ac:dyDescent="0.2">
      <c r="B479" s="2"/>
      <c r="C479" s="37"/>
      <c r="D479" s="37"/>
      <c r="E479" s="327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2:43" ht="15.75" customHeight="1" x14ac:dyDescent="0.2">
      <c r="B480" s="2"/>
      <c r="C480" s="37"/>
      <c r="D480" s="37"/>
      <c r="E480" s="327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2:43" ht="15.75" customHeight="1" x14ac:dyDescent="0.2">
      <c r="B481" s="2"/>
      <c r="C481" s="37"/>
      <c r="D481" s="37"/>
      <c r="E481" s="327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2:43" ht="15.75" customHeight="1" x14ac:dyDescent="0.2">
      <c r="B482" s="2"/>
      <c r="C482" s="37"/>
      <c r="D482" s="37"/>
      <c r="E482" s="327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2:43" ht="15.75" customHeight="1" x14ac:dyDescent="0.2">
      <c r="B483" s="2"/>
      <c r="C483" s="37"/>
      <c r="D483" s="37"/>
      <c r="E483" s="327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2:43" ht="15.75" customHeight="1" x14ac:dyDescent="0.2">
      <c r="B484" s="2"/>
      <c r="C484" s="37"/>
      <c r="D484" s="37"/>
      <c r="E484" s="327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2:43" ht="15.75" customHeight="1" x14ac:dyDescent="0.2">
      <c r="B485" s="2"/>
      <c r="C485" s="37"/>
      <c r="D485" s="37"/>
      <c r="E485" s="327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2:43" ht="15.75" customHeight="1" x14ac:dyDescent="0.2">
      <c r="B486" s="2"/>
      <c r="C486" s="37"/>
      <c r="D486" s="37"/>
      <c r="E486" s="327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2:43" ht="15.75" customHeight="1" x14ac:dyDescent="0.2">
      <c r="B487" s="2"/>
      <c r="C487" s="37"/>
      <c r="D487" s="37"/>
      <c r="E487" s="327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2:43" ht="15.75" customHeight="1" x14ac:dyDescent="0.2">
      <c r="B488" s="2"/>
      <c r="C488" s="37"/>
      <c r="D488" s="37"/>
      <c r="E488" s="327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2:43" ht="15.75" customHeight="1" x14ac:dyDescent="0.2">
      <c r="B489" s="2"/>
      <c r="C489" s="37"/>
      <c r="D489" s="37"/>
      <c r="E489" s="327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2:43" ht="15.75" customHeight="1" x14ac:dyDescent="0.2">
      <c r="B490" s="2"/>
      <c r="C490" s="37"/>
      <c r="D490" s="37"/>
      <c r="E490" s="327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2:43" ht="15.75" customHeight="1" x14ac:dyDescent="0.2">
      <c r="B491" s="2"/>
      <c r="C491" s="37"/>
      <c r="D491" s="37"/>
      <c r="E491" s="327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2:43" ht="15.75" customHeight="1" x14ac:dyDescent="0.2">
      <c r="B492" s="2"/>
      <c r="C492" s="37"/>
      <c r="D492" s="37"/>
      <c r="E492" s="327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2:43" ht="15.75" customHeight="1" x14ac:dyDescent="0.2">
      <c r="B493" s="2"/>
      <c r="C493" s="37"/>
      <c r="D493" s="37"/>
      <c r="E493" s="327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2:43" ht="15.75" customHeight="1" x14ac:dyDescent="0.2">
      <c r="B494" s="2"/>
      <c r="C494" s="37"/>
      <c r="D494" s="37"/>
      <c r="E494" s="327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2:43" ht="15.75" customHeight="1" x14ac:dyDescent="0.2">
      <c r="B495" s="2"/>
      <c r="C495" s="37"/>
      <c r="D495" s="37"/>
      <c r="E495" s="327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2:43" ht="15.75" customHeight="1" x14ac:dyDescent="0.2">
      <c r="B496" s="2"/>
      <c r="C496" s="37"/>
      <c r="D496" s="37"/>
      <c r="E496" s="327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2:43" ht="15.75" customHeight="1" x14ac:dyDescent="0.2">
      <c r="B497" s="2"/>
      <c r="C497" s="37"/>
      <c r="D497" s="37"/>
      <c r="E497" s="327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2:43" ht="15.75" customHeight="1" x14ac:dyDescent="0.2">
      <c r="B498" s="2"/>
      <c r="C498" s="37"/>
      <c r="D498" s="37"/>
      <c r="E498" s="327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2:43" ht="15.75" customHeight="1" x14ac:dyDescent="0.2">
      <c r="B499" s="2"/>
      <c r="C499" s="37"/>
      <c r="D499" s="37"/>
      <c r="E499" s="327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2:43" ht="15.75" customHeight="1" x14ac:dyDescent="0.2">
      <c r="B500" s="2"/>
      <c r="C500" s="37"/>
      <c r="D500" s="37"/>
      <c r="E500" s="327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2:43" ht="15.75" customHeight="1" x14ac:dyDescent="0.2">
      <c r="B501" s="2"/>
      <c r="C501" s="37"/>
      <c r="D501" s="37"/>
      <c r="E501" s="327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2:43" ht="15.75" customHeight="1" x14ac:dyDescent="0.2">
      <c r="B502" s="2"/>
      <c r="C502" s="37"/>
      <c r="D502" s="37"/>
      <c r="E502" s="327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2:43" ht="15.75" customHeight="1" x14ac:dyDescent="0.2">
      <c r="B503" s="2"/>
      <c r="C503" s="37"/>
      <c r="D503" s="37"/>
      <c r="E503" s="327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2:43" ht="15.75" customHeight="1" x14ac:dyDescent="0.2">
      <c r="B504" s="2"/>
      <c r="C504" s="37"/>
      <c r="D504" s="37"/>
      <c r="E504" s="327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2:43" ht="15.75" customHeight="1" x14ac:dyDescent="0.2">
      <c r="B505" s="2"/>
      <c r="C505" s="37"/>
      <c r="D505" s="37"/>
      <c r="E505" s="327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2:43" ht="15.75" customHeight="1" x14ac:dyDescent="0.2">
      <c r="B506" s="2"/>
      <c r="C506" s="37"/>
      <c r="D506" s="37"/>
      <c r="E506" s="327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2:43" ht="15.75" customHeight="1" x14ac:dyDescent="0.2">
      <c r="B507" s="2"/>
      <c r="C507" s="37"/>
      <c r="D507" s="37"/>
      <c r="E507" s="327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2:43" ht="15.75" customHeight="1" x14ac:dyDescent="0.2">
      <c r="B508" s="2"/>
      <c r="C508" s="37"/>
      <c r="D508" s="37"/>
      <c r="E508" s="327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2:43" ht="15.75" customHeight="1" x14ac:dyDescent="0.2">
      <c r="B509" s="2"/>
      <c r="C509" s="37"/>
      <c r="D509" s="37"/>
      <c r="E509" s="327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2:43" ht="15.75" customHeight="1" x14ac:dyDescent="0.2">
      <c r="B510" s="2"/>
      <c r="C510" s="37"/>
      <c r="D510" s="37"/>
      <c r="E510" s="327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2:43" ht="15.75" customHeight="1" x14ac:dyDescent="0.2">
      <c r="B511" s="2"/>
      <c r="C511" s="37"/>
      <c r="D511" s="37"/>
      <c r="E511" s="327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2:43" ht="15.75" customHeight="1" x14ac:dyDescent="0.2">
      <c r="B512" s="2"/>
      <c r="C512" s="37"/>
      <c r="D512" s="37"/>
      <c r="E512" s="327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2:43" ht="15.75" customHeight="1" x14ac:dyDescent="0.2">
      <c r="B513" s="2"/>
      <c r="C513" s="37"/>
      <c r="D513" s="37"/>
      <c r="E513" s="327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2:43" ht="15.75" customHeight="1" x14ac:dyDescent="0.2">
      <c r="B514" s="2"/>
      <c r="C514" s="37"/>
      <c r="D514" s="37"/>
      <c r="E514" s="327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2:43" ht="15.75" customHeight="1" x14ac:dyDescent="0.2">
      <c r="B515" s="2"/>
      <c r="C515" s="37"/>
      <c r="D515" s="37"/>
      <c r="E515" s="327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2:43" ht="15.75" customHeight="1" x14ac:dyDescent="0.2">
      <c r="B516" s="2"/>
      <c r="C516" s="37"/>
      <c r="D516" s="37"/>
      <c r="E516" s="327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2:43" ht="15.75" customHeight="1" x14ac:dyDescent="0.2">
      <c r="B517" s="2"/>
      <c r="C517" s="37"/>
      <c r="D517" s="37"/>
      <c r="E517" s="327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2:43" ht="15.75" customHeight="1" x14ac:dyDescent="0.2">
      <c r="B518" s="2"/>
      <c r="C518" s="37"/>
      <c r="D518" s="37"/>
      <c r="E518" s="327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2:43" ht="15.75" customHeight="1" x14ac:dyDescent="0.2">
      <c r="B519" s="2"/>
      <c r="C519" s="37"/>
      <c r="D519" s="37"/>
      <c r="E519" s="327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2:43" ht="15.75" customHeight="1" x14ac:dyDescent="0.2">
      <c r="B520" s="2"/>
      <c r="C520" s="37"/>
      <c r="D520" s="37"/>
      <c r="E520" s="327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2:43" ht="15.75" customHeight="1" x14ac:dyDescent="0.2">
      <c r="B521" s="2"/>
      <c r="C521" s="37"/>
      <c r="D521" s="37"/>
      <c r="E521" s="327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2:43" ht="15.75" customHeight="1" x14ac:dyDescent="0.2">
      <c r="B522" s="2"/>
      <c r="C522" s="37"/>
      <c r="D522" s="37"/>
      <c r="E522" s="327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2:43" ht="15.75" customHeight="1" x14ac:dyDescent="0.2">
      <c r="B523" s="2"/>
      <c r="C523" s="37"/>
      <c r="D523" s="37"/>
      <c r="E523" s="327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2:43" ht="15.75" customHeight="1" x14ac:dyDescent="0.2">
      <c r="B524" s="2"/>
      <c r="C524" s="37"/>
      <c r="D524" s="37"/>
      <c r="E524" s="327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2:43" ht="15.75" customHeight="1" x14ac:dyDescent="0.2">
      <c r="B525" s="2"/>
      <c r="C525" s="37"/>
      <c r="D525" s="37"/>
      <c r="E525" s="327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2:43" ht="15.75" customHeight="1" x14ac:dyDescent="0.2">
      <c r="B526" s="2"/>
      <c r="C526" s="37"/>
      <c r="D526" s="37"/>
      <c r="E526" s="327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2:43" ht="15.75" customHeight="1" x14ac:dyDescent="0.2">
      <c r="B527" s="2"/>
      <c r="C527" s="37"/>
      <c r="D527" s="37"/>
      <c r="E527" s="327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2:43" ht="15.75" customHeight="1" x14ac:dyDescent="0.2">
      <c r="B528" s="2"/>
      <c r="C528" s="37"/>
      <c r="D528" s="37"/>
      <c r="E528" s="327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2:43" ht="15.75" customHeight="1" x14ac:dyDescent="0.2">
      <c r="B529" s="2"/>
      <c r="C529" s="37"/>
      <c r="D529" s="37"/>
      <c r="E529" s="327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2:43" ht="15.75" customHeight="1" x14ac:dyDescent="0.2">
      <c r="B530" s="2"/>
      <c r="C530" s="37"/>
      <c r="D530" s="37"/>
      <c r="E530" s="327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2:43" ht="15.75" customHeight="1" x14ac:dyDescent="0.2">
      <c r="B531" s="2"/>
      <c r="C531" s="37"/>
      <c r="D531" s="37"/>
      <c r="E531" s="327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2:43" ht="15.75" customHeight="1" x14ac:dyDescent="0.2">
      <c r="B532" s="2"/>
      <c r="C532" s="37"/>
      <c r="D532" s="37"/>
      <c r="E532" s="327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2:43" ht="15.75" customHeight="1" x14ac:dyDescent="0.2">
      <c r="B533" s="2"/>
      <c r="C533" s="37"/>
      <c r="D533" s="37"/>
      <c r="E533" s="327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2:43" ht="15.75" customHeight="1" x14ac:dyDescent="0.2">
      <c r="B534" s="2"/>
      <c r="C534" s="37"/>
      <c r="D534" s="37"/>
      <c r="E534" s="327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2:43" ht="15.75" customHeight="1" x14ac:dyDescent="0.2">
      <c r="B535" s="2"/>
      <c r="C535" s="37"/>
      <c r="D535" s="37"/>
      <c r="E535" s="327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2:43" ht="15.75" customHeight="1" x14ac:dyDescent="0.2">
      <c r="B536" s="2"/>
      <c r="C536" s="37"/>
      <c r="D536" s="37"/>
      <c r="E536" s="327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2:43" ht="15.75" customHeight="1" x14ac:dyDescent="0.2">
      <c r="B537" s="2"/>
      <c r="C537" s="37"/>
      <c r="D537" s="37"/>
      <c r="E537" s="327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2:43" ht="15.75" customHeight="1" x14ac:dyDescent="0.2">
      <c r="B538" s="2"/>
      <c r="C538" s="37"/>
      <c r="D538" s="37"/>
      <c r="E538" s="327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2:43" ht="15.75" customHeight="1" x14ac:dyDescent="0.2">
      <c r="B539" s="2"/>
      <c r="C539" s="37"/>
      <c r="D539" s="37"/>
      <c r="E539" s="327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2:43" ht="15.75" customHeight="1" x14ac:dyDescent="0.2">
      <c r="B540" s="2"/>
      <c r="C540" s="37"/>
      <c r="D540" s="37"/>
      <c r="E540" s="327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2:43" ht="15.75" customHeight="1" x14ac:dyDescent="0.2">
      <c r="B541" s="2"/>
      <c r="C541" s="37"/>
      <c r="D541" s="37"/>
      <c r="E541" s="327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2:43" ht="15.75" customHeight="1" x14ac:dyDescent="0.2">
      <c r="B542" s="2"/>
      <c r="C542" s="37"/>
      <c r="D542" s="37"/>
      <c r="E542" s="327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2:43" ht="15.75" customHeight="1" x14ac:dyDescent="0.2">
      <c r="B543" s="2"/>
      <c r="C543" s="37"/>
      <c r="D543" s="37"/>
      <c r="E543" s="327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2:43" ht="15.75" customHeight="1" x14ac:dyDescent="0.2">
      <c r="B544" s="2"/>
      <c r="C544" s="37"/>
      <c r="D544" s="37"/>
      <c r="E544" s="327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2:43" ht="15.75" customHeight="1" x14ac:dyDescent="0.2">
      <c r="B545" s="2"/>
      <c r="C545" s="37"/>
      <c r="D545" s="37"/>
      <c r="E545" s="327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2:43" ht="15.75" customHeight="1" x14ac:dyDescent="0.2">
      <c r="B546" s="2"/>
      <c r="C546" s="37"/>
      <c r="D546" s="37"/>
      <c r="E546" s="327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2:43" ht="15.75" customHeight="1" x14ac:dyDescent="0.2">
      <c r="B547" s="2"/>
      <c r="C547" s="37"/>
      <c r="D547" s="37"/>
      <c r="E547" s="327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2:43" ht="15.75" customHeight="1" x14ac:dyDescent="0.2">
      <c r="B548" s="2"/>
      <c r="C548" s="37"/>
      <c r="D548" s="37"/>
      <c r="E548" s="327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2:43" ht="15.75" customHeight="1" x14ac:dyDescent="0.2">
      <c r="B549" s="2"/>
      <c r="C549" s="37"/>
      <c r="D549" s="37"/>
      <c r="E549" s="327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2:43" ht="15.75" customHeight="1" x14ac:dyDescent="0.2">
      <c r="B550" s="2"/>
      <c r="C550" s="37"/>
      <c r="D550" s="37"/>
      <c r="E550" s="327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2:43" ht="15.75" customHeight="1" x14ac:dyDescent="0.2">
      <c r="B551" s="2"/>
      <c r="C551" s="37"/>
      <c r="D551" s="37"/>
      <c r="E551" s="327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2:43" ht="15.75" customHeight="1" x14ac:dyDescent="0.2">
      <c r="B552" s="2"/>
      <c r="C552" s="37"/>
      <c r="D552" s="37"/>
      <c r="E552" s="327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2:43" ht="15.75" customHeight="1" x14ac:dyDescent="0.2">
      <c r="B553" s="2"/>
      <c r="C553" s="37"/>
      <c r="D553" s="37"/>
      <c r="E553" s="327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2:43" ht="15.75" customHeight="1" x14ac:dyDescent="0.2">
      <c r="B554" s="2"/>
      <c r="C554" s="37"/>
      <c r="D554" s="37"/>
      <c r="E554" s="327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2:43" ht="15.75" customHeight="1" x14ac:dyDescent="0.2">
      <c r="B555" s="2"/>
      <c r="C555" s="37"/>
      <c r="D555" s="37"/>
      <c r="E555" s="327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2:43" ht="15.75" customHeight="1" x14ac:dyDescent="0.2">
      <c r="B556" s="2"/>
      <c r="C556" s="37"/>
      <c r="D556" s="37"/>
      <c r="E556" s="327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2:43" ht="15.75" customHeight="1" x14ac:dyDescent="0.2">
      <c r="B557" s="2"/>
      <c r="C557" s="37"/>
      <c r="D557" s="37"/>
      <c r="E557" s="327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2:43" ht="15.75" customHeight="1" x14ac:dyDescent="0.2">
      <c r="B558" s="2"/>
      <c r="C558" s="37"/>
      <c r="D558" s="37"/>
      <c r="E558" s="327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2:43" ht="15.75" customHeight="1" x14ac:dyDescent="0.2">
      <c r="B559" s="2"/>
      <c r="C559" s="37"/>
      <c r="D559" s="37"/>
      <c r="E559" s="327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2:43" ht="15.75" customHeight="1" x14ac:dyDescent="0.2">
      <c r="B560" s="2"/>
      <c r="C560" s="37"/>
      <c r="D560" s="37"/>
      <c r="E560" s="327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2:43" ht="15.75" customHeight="1" x14ac:dyDescent="0.2">
      <c r="B561" s="2"/>
      <c r="C561" s="37"/>
      <c r="D561" s="37"/>
      <c r="E561" s="327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2:43" ht="15.75" customHeight="1" x14ac:dyDescent="0.2">
      <c r="B562" s="2"/>
      <c r="C562" s="37"/>
      <c r="D562" s="37"/>
      <c r="E562" s="327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2:43" ht="15.75" customHeight="1" x14ac:dyDescent="0.2">
      <c r="B563" s="2"/>
      <c r="C563" s="37"/>
      <c r="D563" s="37"/>
      <c r="E563" s="327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2:43" ht="15.75" customHeight="1" x14ac:dyDescent="0.2">
      <c r="B564" s="2"/>
      <c r="C564" s="37"/>
      <c r="D564" s="37"/>
      <c r="E564" s="327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2:43" ht="15.75" customHeight="1" x14ac:dyDescent="0.2">
      <c r="B565" s="2"/>
      <c r="C565" s="37"/>
      <c r="D565" s="37"/>
      <c r="E565" s="327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2:43" ht="15.75" customHeight="1" x14ac:dyDescent="0.2">
      <c r="B566" s="2"/>
      <c r="C566" s="37"/>
      <c r="D566" s="37"/>
      <c r="E566" s="327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2:43" ht="15.75" customHeight="1" x14ac:dyDescent="0.2">
      <c r="B567" s="2"/>
      <c r="C567" s="37"/>
      <c r="D567" s="37"/>
      <c r="E567" s="327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2:43" ht="15.75" customHeight="1" x14ac:dyDescent="0.2">
      <c r="B568" s="2"/>
      <c r="C568" s="37"/>
      <c r="D568" s="37"/>
      <c r="E568" s="327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2:43" ht="15.75" customHeight="1" x14ac:dyDescent="0.2">
      <c r="B569" s="2"/>
      <c r="C569" s="37"/>
      <c r="D569" s="37"/>
      <c r="E569" s="327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2:43" ht="15.75" customHeight="1" x14ac:dyDescent="0.2">
      <c r="B570" s="2"/>
      <c r="C570" s="37"/>
      <c r="D570" s="37"/>
      <c r="E570" s="327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2:43" ht="15.75" customHeight="1" x14ac:dyDescent="0.2">
      <c r="B571" s="2"/>
      <c r="C571" s="37"/>
      <c r="D571" s="37"/>
      <c r="E571" s="327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2:43" ht="15.75" customHeight="1" x14ac:dyDescent="0.2">
      <c r="B572" s="2"/>
      <c r="C572" s="37"/>
      <c r="D572" s="37"/>
      <c r="E572" s="327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2:43" ht="15.75" customHeight="1" x14ac:dyDescent="0.2">
      <c r="B573" s="2"/>
      <c r="C573" s="37"/>
      <c r="D573" s="37"/>
      <c r="E573" s="327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2:43" ht="15.75" customHeight="1" x14ac:dyDescent="0.2">
      <c r="B574" s="2"/>
      <c r="C574" s="37"/>
      <c r="D574" s="37"/>
      <c r="E574" s="327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2:43" ht="15.75" customHeight="1" x14ac:dyDescent="0.2">
      <c r="B575" s="2"/>
      <c r="C575" s="37"/>
      <c r="D575" s="37"/>
      <c r="E575" s="327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2:43" ht="15.75" customHeight="1" x14ac:dyDescent="0.2">
      <c r="B576" s="2"/>
      <c r="C576" s="37"/>
      <c r="D576" s="37"/>
      <c r="E576" s="327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2:43" ht="15.75" customHeight="1" x14ac:dyDescent="0.2">
      <c r="B577" s="2"/>
      <c r="C577" s="37"/>
      <c r="D577" s="37"/>
      <c r="E577" s="327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2:43" ht="15.75" customHeight="1" x14ac:dyDescent="0.2">
      <c r="B578" s="2"/>
      <c r="C578" s="37"/>
      <c r="D578" s="37"/>
      <c r="E578" s="327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2:43" ht="15.75" customHeight="1" x14ac:dyDescent="0.2">
      <c r="B579" s="2"/>
      <c r="C579" s="37"/>
      <c r="D579" s="37"/>
      <c r="E579" s="327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2:43" ht="15.75" customHeight="1" x14ac:dyDescent="0.2">
      <c r="B580" s="2"/>
      <c r="C580" s="37"/>
      <c r="D580" s="37"/>
      <c r="E580" s="327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2:43" ht="15.75" customHeight="1" x14ac:dyDescent="0.2">
      <c r="B581" s="2"/>
      <c r="C581" s="37"/>
      <c r="D581" s="37"/>
      <c r="E581" s="327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2:43" ht="15.75" customHeight="1" x14ac:dyDescent="0.2">
      <c r="B582" s="2"/>
      <c r="C582" s="37"/>
      <c r="D582" s="37"/>
      <c r="E582" s="327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2:43" ht="15.75" customHeight="1" x14ac:dyDescent="0.2">
      <c r="B583" s="2"/>
      <c r="C583" s="37"/>
      <c r="D583" s="37"/>
      <c r="E583" s="327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2:43" ht="15.75" customHeight="1" x14ac:dyDescent="0.2">
      <c r="B584" s="2"/>
      <c r="C584" s="37"/>
      <c r="D584" s="37"/>
      <c r="E584" s="327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2:43" ht="15.75" customHeight="1" x14ac:dyDescent="0.2">
      <c r="B585" s="2"/>
      <c r="C585" s="37"/>
      <c r="D585" s="37"/>
      <c r="E585" s="327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2:43" ht="15.75" customHeight="1" x14ac:dyDescent="0.2">
      <c r="B586" s="2"/>
      <c r="C586" s="37"/>
      <c r="D586" s="37"/>
      <c r="E586" s="327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2:43" ht="15.75" customHeight="1" x14ac:dyDescent="0.2">
      <c r="B587" s="2"/>
      <c r="C587" s="37"/>
      <c r="D587" s="37"/>
      <c r="E587" s="327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2:43" ht="15.75" customHeight="1" x14ac:dyDescent="0.2">
      <c r="B588" s="2"/>
      <c r="C588" s="37"/>
      <c r="D588" s="37"/>
      <c r="E588" s="327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2:43" ht="15.75" customHeight="1" x14ac:dyDescent="0.2">
      <c r="B589" s="2"/>
      <c r="C589" s="37"/>
      <c r="D589" s="37"/>
      <c r="E589" s="327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2:43" ht="15.75" customHeight="1" x14ac:dyDescent="0.2">
      <c r="B590" s="2"/>
      <c r="C590" s="37"/>
      <c r="D590" s="37"/>
      <c r="E590" s="327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2:43" ht="15.75" customHeight="1" x14ac:dyDescent="0.2">
      <c r="B591" s="2"/>
      <c r="C591" s="37"/>
      <c r="D591" s="37"/>
      <c r="E591" s="327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2:43" ht="15.75" customHeight="1" x14ac:dyDescent="0.2">
      <c r="B592" s="2"/>
      <c r="C592" s="37"/>
      <c r="D592" s="37"/>
      <c r="E592" s="327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2:43" ht="15.75" customHeight="1" x14ac:dyDescent="0.2">
      <c r="B593" s="2"/>
      <c r="C593" s="37"/>
      <c r="D593" s="37"/>
      <c r="E593" s="327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2:43" ht="15.75" customHeight="1" x14ac:dyDescent="0.2">
      <c r="B594" s="2"/>
      <c r="C594" s="37"/>
      <c r="D594" s="37"/>
      <c r="E594" s="327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2:43" ht="15.75" customHeight="1" x14ac:dyDescent="0.2">
      <c r="B595" s="2"/>
      <c r="C595" s="37"/>
      <c r="D595" s="37"/>
      <c r="E595" s="327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2:43" ht="15.75" customHeight="1" x14ac:dyDescent="0.2">
      <c r="B596" s="2"/>
      <c r="C596" s="37"/>
      <c r="D596" s="37"/>
      <c r="E596" s="327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2:43" ht="15.75" customHeight="1" x14ac:dyDescent="0.2">
      <c r="B597" s="2"/>
      <c r="C597" s="37"/>
      <c r="D597" s="37"/>
      <c r="E597" s="327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2:43" ht="15.75" customHeight="1" x14ac:dyDescent="0.2">
      <c r="B598" s="2"/>
      <c r="C598" s="37"/>
      <c r="D598" s="37"/>
      <c r="E598" s="327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2:43" ht="15.75" customHeight="1" x14ac:dyDescent="0.2">
      <c r="B599" s="2"/>
      <c r="C599" s="37"/>
      <c r="D599" s="37"/>
      <c r="E599" s="327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2:43" ht="15.75" customHeight="1" x14ac:dyDescent="0.2">
      <c r="B600" s="2"/>
      <c r="C600" s="37"/>
      <c r="D600" s="37"/>
      <c r="E600" s="327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2:43" ht="15.75" customHeight="1" x14ac:dyDescent="0.2">
      <c r="B601" s="2"/>
      <c r="C601" s="37"/>
      <c r="D601" s="37"/>
      <c r="E601" s="327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2:43" ht="15.75" customHeight="1" x14ac:dyDescent="0.2">
      <c r="B602" s="2"/>
      <c r="C602" s="37"/>
      <c r="D602" s="37"/>
      <c r="E602" s="327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2:43" ht="15.75" customHeight="1" x14ac:dyDescent="0.2">
      <c r="B603" s="2"/>
      <c r="C603" s="37"/>
      <c r="D603" s="37"/>
      <c r="E603" s="327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2:43" ht="15.75" customHeight="1" x14ac:dyDescent="0.2">
      <c r="B604" s="2"/>
      <c r="C604" s="37"/>
      <c r="D604" s="37"/>
      <c r="E604" s="327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2:43" ht="15.75" customHeight="1" x14ac:dyDescent="0.2">
      <c r="B605" s="2"/>
      <c r="C605" s="37"/>
      <c r="D605" s="37"/>
      <c r="E605" s="327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2:43" ht="15.75" customHeight="1" x14ac:dyDescent="0.2">
      <c r="B606" s="2"/>
      <c r="C606" s="37"/>
      <c r="D606" s="37"/>
      <c r="E606" s="327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2:43" ht="15.75" customHeight="1" x14ac:dyDescent="0.2">
      <c r="B607" s="2"/>
      <c r="C607" s="37"/>
      <c r="D607" s="37"/>
      <c r="E607" s="327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2:43" ht="15.75" customHeight="1" x14ac:dyDescent="0.2">
      <c r="B608" s="2"/>
      <c r="C608" s="37"/>
      <c r="D608" s="37"/>
      <c r="E608" s="327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2:43" ht="15.75" customHeight="1" x14ac:dyDescent="0.2">
      <c r="B609" s="2"/>
      <c r="C609" s="37"/>
      <c r="D609" s="37"/>
      <c r="E609" s="327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2:43" ht="15.75" customHeight="1" x14ac:dyDescent="0.2">
      <c r="B610" s="2"/>
      <c r="C610" s="37"/>
      <c r="D610" s="37"/>
      <c r="E610" s="327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2:43" ht="15.75" customHeight="1" x14ac:dyDescent="0.2">
      <c r="B611" s="2"/>
      <c r="C611" s="37"/>
      <c r="D611" s="37"/>
      <c r="E611" s="327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2:43" ht="15.75" customHeight="1" x14ac:dyDescent="0.2">
      <c r="B612" s="2"/>
      <c r="C612" s="37"/>
      <c r="D612" s="37"/>
      <c r="E612" s="327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2:43" ht="15.75" customHeight="1" x14ac:dyDescent="0.2">
      <c r="B613" s="2"/>
      <c r="C613" s="37"/>
      <c r="D613" s="37"/>
      <c r="E613" s="327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2:43" ht="15.75" customHeight="1" x14ac:dyDescent="0.2">
      <c r="B614" s="2"/>
      <c r="C614" s="37"/>
      <c r="D614" s="37"/>
      <c r="E614" s="327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2:43" ht="15.75" customHeight="1" x14ac:dyDescent="0.2">
      <c r="B615" s="2"/>
      <c r="C615" s="37"/>
      <c r="D615" s="37"/>
      <c r="E615" s="327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2:43" ht="15.75" customHeight="1" x14ac:dyDescent="0.2">
      <c r="B616" s="2"/>
      <c r="C616" s="37"/>
      <c r="D616" s="37"/>
      <c r="E616" s="327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2:43" ht="15.75" customHeight="1" x14ac:dyDescent="0.2">
      <c r="B617" s="2"/>
      <c r="C617" s="37"/>
      <c r="D617" s="37"/>
      <c r="E617" s="327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2:43" ht="15.75" customHeight="1" x14ac:dyDescent="0.2">
      <c r="B618" s="2"/>
      <c r="C618" s="37"/>
      <c r="D618" s="37"/>
      <c r="E618" s="327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2:43" ht="15.75" customHeight="1" x14ac:dyDescent="0.2">
      <c r="B619" s="2"/>
      <c r="C619" s="37"/>
      <c r="D619" s="37"/>
      <c r="E619" s="327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2:43" ht="15.75" customHeight="1" x14ac:dyDescent="0.2">
      <c r="B620" s="2"/>
      <c r="C620" s="37"/>
      <c r="D620" s="37"/>
      <c r="E620" s="327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2:43" ht="15.75" customHeight="1" x14ac:dyDescent="0.2">
      <c r="B621" s="2"/>
      <c r="C621" s="37"/>
      <c r="D621" s="37"/>
      <c r="E621" s="327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2:43" ht="15.75" customHeight="1" x14ac:dyDescent="0.2">
      <c r="B622" s="2"/>
      <c r="C622" s="37"/>
      <c r="D622" s="37"/>
      <c r="E622" s="327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2:43" ht="15.75" customHeight="1" x14ac:dyDescent="0.2">
      <c r="B623" s="2"/>
      <c r="C623" s="37"/>
      <c r="D623" s="37"/>
      <c r="E623" s="327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2:43" ht="15.75" customHeight="1" x14ac:dyDescent="0.2">
      <c r="B624" s="2"/>
      <c r="C624" s="37"/>
      <c r="D624" s="37"/>
      <c r="E624" s="327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2:43" ht="15.75" customHeight="1" x14ac:dyDescent="0.2">
      <c r="B625" s="2"/>
      <c r="C625" s="37"/>
      <c r="D625" s="37"/>
      <c r="E625" s="327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2:43" ht="15.75" customHeight="1" x14ac:dyDescent="0.2">
      <c r="B626" s="2"/>
      <c r="C626" s="37"/>
      <c r="D626" s="37"/>
      <c r="E626" s="327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2:43" ht="15.75" customHeight="1" x14ac:dyDescent="0.2">
      <c r="B627" s="2"/>
      <c r="C627" s="37"/>
      <c r="D627" s="37"/>
      <c r="E627" s="327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2:43" ht="15.75" customHeight="1" x14ac:dyDescent="0.2">
      <c r="B628" s="2"/>
      <c r="C628" s="37"/>
      <c r="D628" s="37"/>
      <c r="E628" s="327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2:43" ht="15.75" customHeight="1" x14ac:dyDescent="0.2">
      <c r="B629" s="2"/>
      <c r="C629" s="37"/>
      <c r="D629" s="37"/>
      <c r="E629" s="327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2:43" ht="15.75" customHeight="1" x14ac:dyDescent="0.2">
      <c r="B630" s="2"/>
      <c r="C630" s="37"/>
      <c r="D630" s="37"/>
      <c r="E630" s="327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2:43" ht="15.75" customHeight="1" x14ac:dyDescent="0.2">
      <c r="B631" s="2"/>
      <c r="C631" s="37"/>
      <c r="D631" s="37"/>
      <c r="E631" s="327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2:43" ht="15.75" customHeight="1" x14ac:dyDescent="0.2">
      <c r="B632" s="2"/>
      <c r="C632" s="37"/>
      <c r="D632" s="37"/>
      <c r="E632" s="327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2:43" ht="15.75" customHeight="1" x14ac:dyDescent="0.2">
      <c r="B633" s="2"/>
      <c r="C633" s="37"/>
      <c r="D633" s="37"/>
      <c r="E633" s="327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2:43" ht="15.75" customHeight="1" x14ac:dyDescent="0.2">
      <c r="B634" s="2"/>
      <c r="C634" s="37"/>
      <c r="D634" s="37"/>
      <c r="E634" s="327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2:43" ht="15.75" customHeight="1" x14ac:dyDescent="0.2">
      <c r="B635" s="2"/>
      <c r="C635" s="37"/>
      <c r="D635" s="37"/>
      <c r="E635" s="327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</row>
    <row r="636" spans="2:43" ht="15.75" customHeight="1" x14ac:dyDescent="0.2">
      <c r="B636" s="2"/>
      <c r="C636" s="37"/>
      <c r="D636" s="37"/>
      <c r="E636" s="327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</row>
    <row r="637" spans="2:43" ht="15.75" customHeight="1" x14ac:dyDescent="0.2">
      <c r="B637" s="2"/>
      <c r="C637" s="37"/>
      <c r="D637" s="37"/>
      <c r="E637" s="327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</row>
    <row r="638" spans="2:43" ht="15.75" customHeight="1" x14ac:dyDescent="0.2">
      <c r="B638" s="2"/>
      <c r="C638" s="37"/>
      <c r="D638" s="37"/>
      <c r="E638" s="327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</row>
    <row r="639" spans="2:43" ht="15.75" customHeight="1" x14ac:dyDescent="0.2">
      <c r="B639" s="2"/>
      <c r="C639" s="37"/>
      <c r="D639" s="37"/>
      <c r="E639" s="327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</row>
    <row r="640" spans="2:43" ht="15.75" customHeight="1" x14ac:dyDescent="0.2">
      <c r="B640" s="2"/>
      <c r="C640" s="37"/>
      <c r="D640" s="37"/>
      <c r="E640" s="327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</row>
    <row r="641" spans="2:43" ht="15.75" customHeight="1" x14ac:dyDescent="0.2">
      <c r="B641" s="2"/>
      <c r="C641" s="37"/>
      <c r="D641" s="37"/>
      <c r="E641" s="327"/>
      <c r="F641" s="37"/>
      <c r="G641" s="3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</row>
    <row r="642" spans="2:43" ht="15.75" customHeight="1" x14ac:dyDescent="0.2">
      <c r="B642" s="2"/>
      <c r="C642" s="37"/>
      <c r="D642" s="37"/>
      <c r="E642" s="327"/>
      <c r="F642" s="37"/>
      <c r="G642" s="3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</row>
    <row r="643" spans="2:43" ht="15.75" customHeight="1" x14ac:dyDescent="0.2"/>
    <row r="644" spans="2:43" ht="15.75" customHeight="1" x14ac:dyDescent="0.2"/>
    <row r="645" spans="2:43" ht="15.75" customHeight="1" x14ac:dyDescent="0.2"/>
    <row r="646" spans="2:43" ht="15.75" customHeight="1" x14ac:dyDescent="0.2"/>
    <row r="647" spans="2:43" ht="15.75" customHeight="1" x14ac:dyDescent="0.2"/>
    <row r="648" spans="2:43" ht="15.75" customHeight="1" x14ac:dyDescent="0.2"/>
    <row r="649" spans="2:43" ht="15.75" customHeight="1" x14ac:dyDescent="0.2"/>
    <row r="650" spans="2:43" ht="15.75" customHeight="1" x14ac:dyDescent="0.2"/>
    <row r="651" spans="2:43" ht="15.75" customHeight="1" x14ac:dyDescent="0.2"/>
    <row r="652" spans="2:43" ht="15.75" customHeight="1" x14ac:dyDescent="0.2"/>
    <row r="653" spans="2:43" ht="15.75" customHeight="1" x14ac:dyDescent="0.2"/>
    <row r="654" spans="2:43" ht="15.75" customHeight="1" x14ac:dyDescent="0.2"/>
    <row r="655" spans="2:43" ht="15.75" customHeight="1" x14ac:dyDescent="0.2"/>
    <row r="656" spans="2:43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</sheetData>
  <mergeCells count="2">
    <mergeCell ref="A4:G4"/>
    <mergeCell ref="A5:G5"/>
  </mergeCells>
  <phoneticPr fontId="11" type="noConversion"/>
  <pageMargins left="0.55000000000000004" right="0.15748031496062992" top="0.15748031496062992" bottom="0.15748031496062992" header="0.15748031496062992" footer="0.1574803149606299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745"/>
  <sheetViews>
    <sheetView topLeftCell="A16" zoomScaleNormal="100" workbookViewId="0">
      <selection activeCell="D63" sqref="D63"/>
    </sheetView>
  </sheetViews>
  <sheetFormatPr defaultRowHeight="12.75" x14ac:dyDescent="0.2"/>
  <cols>
    <col min="1" max="1" width="6.28515625" style="2" customWidth="1"/>
    <col min="2" max="2" width="71.28515625" customWidth="1"/>
    <col min="3" max="3" width="14.28515625" style="45" hidden="1" customWidth="1"/>
    <col min="4" max="7" width="13.7109375" style="45" customWidth="1"/>
  </cols>
  <sheetData>
    <row r="1" spans="1:21" ht="15" customHeight="1" x14ac:dyDescent="0.3">
      <c r="A1" s="65"/>
      <c r="B1" s="211"/>
      <c r="E1" s="212"/>
      <c r="F1" s="212"/>
      <c r="G1" s="212" t="s">
        <v>377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3">
      <c r="A2" s="65"/>
      <c r="B2" s="211"/>
      <c r="E2" s="212"/>
      <c r="F2" s="212"/>
      <c r="G2" s="212" t="str">
        <f>'1.Bev-kiad.'!F2</f>
        <v>a 7/2022.(V.27.)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3">
      <c r="A3" s="65"/>
      <c r="B3" s="211"/>
      <c r="E3" s="212"/>
      <c r="F3" s="212"/>
      <c r="G3" s="212" t="s">
        <v>1322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9.5" x14ac:dyDescent="0.35">
      <c r="A4" s="932" t="s">
        <v>27</v>
      </c>
      <c r="B4" s="932"/>
      <c r="C4" s="932"/>
      <c r="D4" s="940"/>
      <c r="E4" s="940"/>
      <c r="F4" s="940"/>
      <c r="G4" s="94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9.5" x14ac:dyDescent="0.35">
      <c r="A5" s="932" t="s">
        <v>1191</v>
      </c>
      <c r="B5" s="932"/>
      <c r="C5" s="932"/>
      <c r="D5" s="940"/>
      <c r="E5" s="940"/>
      <c r="F5" s="940"/>
      <c r="G5" s="94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3.5" thickBot="1" x14ac:dyDescent="0.25">
      <c r="A6" s="65"/>
      <c r="B6" s="65"/>
      <c r="E6" s="212"/>
      <c r="F6" s="212"/>
      <c r="G6" s="212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53.25" customHeight="1" thickBot="1" x14ac:dyDescent="0.25">
      <c r="A7" s="268" t="s">
        <v>119</v>
      </c>
      <c r="B7" s="54" t="s">
        <v>392</v>
      </c>
      <c r="C7" s="54" t="s">
        <v>382</v>
      </c>
      <c r="D7" s="54" t="s">
        <v>760</v>
      </c>
      <c r="E7" s="54" t="s">
        <v>921</v>
      </c>
      <c r="F7" s="54" t="s">
        <v>957</v>
      </c>
      <c r="G7" s="54" t="s">
        <v>1190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2.5" customHeight="1" x14ac:dyDescent="0.2">
      <c r="A8" s="168" t="s">
        <v>370</v>
      </c>
      <c r="B8" s="278" t="s">
        <v>355</v>
      </c>
      <c r="C8" s="203" t="e">
        <f>SUM(C9:C50)</f>
        <v>#REF!</v>
      </c>
      <c r="D8" s="203">
        <f>SUM(D9:D50)</f>
        <v>898450</v>
      </c>
      <c r="E8" s="203">
        <f>SUM(E9:E50)</f>
        <v>924000</v>
      </c>
      <c r="F8" s="203">
        <f>SUM(F9:F50)</f>
        <v>927000</v>
      </c>
      <c r="G8" s="203">
        <f>SUM(G9:G50)</f>
        <v>933000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25">
      <c r="A9" s="18" t="s">
        <v>121</v>
      </c>
      <c r="B9" s="30" t="s">
        <v>222</v>
      </c>
      <c r="C9" s="46" t="e">
        <f>SUM('2.működés'!#REF!)</f>
        <v>#REF!</v>
      </c>
      <c r="D9" s="46">
        <f>SUM('1.Bev-kiad.'!C9)</f>
        <v>457088</v>
      </c>
      <c r="E9" s="46">
        <v>490000</v>
      </c>
      <c r="F9" s="46">
        <v>490000</v>
      </c>
      <c r="G9" s="46">
        <v>490000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.5" hidden="1" customHeight="1" x14ac:dyDescent="0.2">
      <c r="A10" s="9" t="s">
        <v>122</v>
      </c>
      <c r="B10" s="9" t="s">
        <v>130</v>
      </c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.5" hidden="1" customHeight="1" x14ac:dyDescent="0.2">
      <c r="A11" s="9" t="s">
        <v>171</v>
      </c>
      <c r="B11" s="9" t="s">
        <v>172</v>
      </c>
      <c r="C11" s="6"/>
      <c r="D11" s="6"/>
      <c r="E11" s="6"/>
      <c r="F11" s="6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.5" hidden="1" customHeight="1" x14ac:dyDescent="0.2">
      <c r="A12" s="9" t="s">
        <v>123</v>
      </c>
      <c r="B12" s="9" t="s">
        <v>127</v>
      </c>
      <c r="C12" s="7"/>
      <c r="D12" s="7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.5" hidden="1" customHeight="1" x14ac:dyDescent="0.2">
      <c r="A13" s="9" t="s">
        <v>124</v>
      </c>
      <c r="B13" s="9" t="s">
        <v>128</v>
      </c>
      <c r="C13" s="13"/>
      <c r="D13" s="13"/>
      <c r="E13" s="13"/>
      <c r="F13" s="13"/>
      <c r="G13" s="1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.5" hidden="1" customHeight="1" x14ac:dyDescent="0.2">
      <c r="A14" s="9" t="s">
        <v>125</v>
      </c>
      <c r="B14" s="9" t="s">
        <v>129</v>
      </c>
      <c r="C14" s="17"/>
      <c r="D14" s="17"/>
      <c r="E14" s="17"/>
      <c r="F14" s="17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hidden="1" customHeight="1" x14ac:dyDescent="0.2">
      <c r="A15" s="9" t="s">
        <v>126</v>
      </c>
      <c r="B15" s="9" t="s">
        <v>131</v>
      </c>
      <c r="C15" s="17"/>
      <c r="D15" s="17"/>
      <c r="E15" s="17"/>
      <c r="F15" s="17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customHeight="1" x14ac:dyDescent="0.25">
      <c r="A16" s="18" t="s">
        <v>132</v>
      </c>
      <c r="B16" s="30" t="s">
        <v>223</v>
      </c>
      <c r="C16" s="51" t="e">
        <f>SUM('3.felh'!#REF!)</f>
        <v>#REF!</v>
      </c>
      <c r="D16" s="51">
        <f>SUM('1.Bev-kiad.'!C16)</f>
        <v>23534</v>
      </c>
      <c r="E16" s="51">
        <v>24000</v>
      </c>
      <c r="F16" s="51">
        <v>25000</v>
      </c>
      <c r="G16" s="51">
        <v>25000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hidden="1" customHeight="1" x14ac:dyDescent="0.2">
      <c r="A17" s="9" t="s">
        <v>133</v>
      </c>
      <c r="B17" s="9" t="s">
        <v>140</v>
      </c>
      <c r="C17" s="6"/>
      <c r="D17" s="6"/>
      <c r="E17" s="6"/>
      <c r="F17" s="6"/>
      <c r="G17" s="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hidden="1" customHeight="1" x14ac:dyDescent="0.2">
      <c r="A18" s="9" t="s">
        <v>173</v>
      </c>
      <c r="B18" s="9" t="s">
        <v>174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hidden="1" customHeight="1" x14ac:dyDescent="0.2">
      <c r="A19" s="9" t="s">
        <v>134</v>
      </c>
      <c r="B19" s="9" t="s">
        <v>137</v>
      </c>
      <c r="C19" s="17"/>
      <c r="D19" s="17"/>
      <c r="E19" s="17"/>
      <c r="F19" s="17"/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hidden="1" customHeight="1" x14ac:dyDescent="0.2">
      <c r="A20" s="9" t="s">
        <v>135</v>
      </c>
      <c r="B20" s="9" t="s">
        <v>138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hidden="1" customHeight="1" x14ac:dyDescent="0.2">
      <c r="A21" s="9" t="s">
        <v>136</v>
      </c>
      <c r="B21" s="9" t="s">
        <v>139</v>
      </c>
      <c r="C21" s="17"/>
      <c r="D21" s="17"/>
      <c r="E21" s="17"/>
      <c r="F21" s="17"/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8" customHeight="1" x14ac:dyDescent="0.25">
      <c r="A22" s="18" t="s">
        <v>141</v>
      </c>
      <c r="B22" s="30" t="s">
        <v>104</v>
      </c>
      <c r="C22" s="51" t="e">
        <f>SUM('2.működés'!#REF!)</f>
        <v>#REF!</v>
      </c>
      <c r="D22" s="51">
        <f>SUM('1.Bev-kiad.'!C22)</f>
        <v>312000</v>
      </c>
      <c r="E22" s="204">
        <v>352000</v>
      </c>
      <c r="F22" s="204">
        <v>352000</v>
      </c>
      <c r="G22" s="204">
        <v>352000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hidden="1" customHeight="1" x14ac:dyDescent="0.2">
      <c r="A23" s="9" t="s">
        <v>142</v>
      </c>
      <c r="B23" s="9" t="s">
        <v>148</v>
      </c>
      <c r="C23" s="17"/>
      <c r="D23" s="17"/>
      <c r="E23" s="17"/>
      <c r="F23" s="17"/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hidden="1" customHeight="1" x14ac:dyDescent="0.2">
      <c r="A24" s="9" t="s">
        <v>143</v>
      </c>
      <c r="B24" s="9" t="s">
        <v>149</v>
      </c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hidden="1" customHeight="1" x14ac:dyDescent="0.2">
      <c r="A25" s="9" t="s">
        <v>144</v>
      </c>
      <c r="B25" s="26" t="s">
        <v>150</v>
      </c>
      <c r="C25" s="58"/>
      <c r="D25" s="58"/>
      <c r="E25" s="58"/>
      <c r="F25" s="58"/>
      <c r="G25" s="5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hidden="1" customHeight="1" x14ac:dyDescent="0.2">
      <c r="A26" s="9" t="s">
        <v>145</v>
      </c>
      <c r="B26" s="9" t="s">
        <v>177</v>
      </c>
      <c r="C26" s="47"/>
      <c r="D26" s="47"/>
      <c r="E26" s="47"/>
      <c r="F26" s="47"/>
      <c r="G26" s="4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59" customFormat="1" ht="12.75" hidden="1" customHeight="1" x14ac:dyDescent="0.2">
      <c r="A27" s="9" t="s">
        <v>146</v>
      </c>
      <c r="B27" s="9" t="s">
        <v>178</v>
      </c>
      <c r="C27" s="17"/>
      <c r="D27" s="17"/>
      <c r="E27" s="17"/>
      <c r="F27" s="17"/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59" customFormat="1" ht="12.75" hidden="1" customHeight="1" x14ac:dyDescent="0.2">
      <c r="A28" s="9" t="s">
        <v>147</v>
      </c>
      <c r="B28" s="9" t="s">
        <v>151</v>
      </c>
      <c r="C28" s="17"/>
      <c r="D28" s="17"/>
      <c r="E28" s="17"/>
      <c r="F28" s="17"/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59" customFormat="1" ht="18" customHeight="1" x14ac:dyDescent="0.25">
      <c r="A29" s="18" t="s">
        <v>152</v>
      </c>
      <c r="B29" s="30" t="s">
        <v>224</v>
      </c>
      <c r="C29" s="51" t="e">
        <f>SUM('2.működés'!#REF!)</f>
        <v>#REF!</v>
      </c>
      <c r="D29" s="51">
        <f>SUM('1.Bev-kiad.'!C29)</f>
        <v>38528</v>
      </c>
      <c r="E29" s="51">
        <v>40000</v>
      </c>
      <c r="F29" s="51">
        <v>40000</v>
      </c>
      <c r="G29" s="51">
        <v>43000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3.5" hidden="1" customHeight="1" x14ac:dyDescent="0.2">
      <c r="A30" s="9" t="s">
        <v>155</v>
      </c>
      <c r="B30" s="9" t="s">
        <v>153</v>
      </c>
      <c r="C30" s="17"/>
      <c r="D30" s="17"/>
      <c r="E30" s="17"/>
      <c r="F30" s="17"/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59" customFormat="1" ht="13.5" hidden="1" customHeight="1" x14ac:dyDescent="0.2">
      <c r="A31" s="9" t="s">
        <v>156</v>
      </c>
      <c r="B31" s="9" t="s">
        <v>154</v>
      </c>
      <c r="C31" s="17"/>
      <c r="D31" s="17"/>
      <c r="E31" s="17"/>
      <c r="F31" s="17"/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59" customFormat="1" ht="13.5" hidden="1" customHeight="1" x14ac:dyDescent="0.2">
      <c r="A32" s="9" t="s">
        <v>157</v>
      </c>
      <c r="B32" s="9" t="s">
        <v>160</v>
      </c>
      <c r="C32" s="13"/>
      <c r="D32" s="13"/>
      <c r="E32" s="13"/>
      <c r="F32" s="13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5" hidden="1" customHeight="1" x14ac:dyDescent="0.2">
      <c r="A33" s="9" t="s">
        <v>158</v>
      </c>
      <c r="B33" s="26" t="s">
        <v>161</v>
      </c>
      <c r="C33" s="9"/>
      <c r="D33" s="9"/>
      <c r="E33" s="9"/>
      <c r="F33" s="9"/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hidden="1" customHeight="1" x14ac:dyDescent="0.2">
      <c r="A34" s="9" t="s">
        <v>159</v>
      </c>
      <c r="B34" s="26" t="s">
        <v>162</v>
      </c>
      <c r="C34" s="9"/>
      <c r="D34" s="9"/>
      <c r="E34" s="9"/>
      <c r="F34" s="9"/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hidden="1" customHeight="1" x14ac:dyDescent="0.2">
      <c r="A35" s="9" t="s">
        <v>163</v>
      </c>
      <c r="B35" s="26" t="s">
        <v>164</v>
      </c>
      <c r="C35" s="9"/>
      <c r="D35" s="9"/>
      <c r="E35" s="9"/>
      <c r="F35" s="9"/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hidden="1" customHeight="1" x14ac:dyDescent="0.2">
      <c r="A36" s="9" t="s">
        <v>165</v>
      </c>
      <c r="B36" s="26" t="s">
        <v>166</v>
      </c>
      <c r="C36" s="9"/>
      <c r="D36" s="9"/>
      <c r="E36" s="9"/>
      <c r="F36" s="9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hidden="1" customHeight="1" x14ac:dyDescent="0.2">
      <c r="A37" s="9" t="s">
        <v>167</v>
      </c>
      <c r="B37" s="26" t="s">
        <v>168</v>
      </c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hidden="1" customHeight="1" x14ac:dyDescent="0.2">
      <c r="A38" s="9" t="s">
        <v>169</v>
      </c>
      <c r="B38" s="26" t="s">
        <v>170</v>
      </c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hidden="1" customHeight="1" x14ac:dyDescent="0.2">
      <c r="A39" s="9" t="s">
        <v>175</v>
      </c>
      <c r="B39" s="26" t="s">
        <v>176</v>
      </c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7.25" customHeight="1" x14ac:dyDescent="0.25">
      <c r="A40" s="18" t="s">
        <v>179</v>
      </c>
      <c r="B40" s="30" t="s">
        <v>225</v>
      </c>
      <c r="C40" s="51" t="e">
        <f>SUM('3.felh'!#REF!)</f>
        <v>#REF!</v>
      </c>
      <c r="D40" s="51">
        <f>SUM('1.Bev-kiad.'!C40)</f>
        <v>40000</v>
      </c>
      <c r="E40" s="51">
        <v>0</v>
      </c>
      <c r="F40" s="51">
        <v>0</v>
      </c>
      <c r="G40" s="51"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hidden="1" customHeight="1" x14ac:dyDescent="0.2">
      <c r="A41" s="9" t="s">
        <v>180</v>
      </c>
      <c r="B41" s="26" t="s">
        <v>185</v>
      </c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hidden="1" customHeight="1" x14ac:dyDescent="0.2">
      <c r="A42" s="9" t="s">
        <v>181</v>
      </c>
      <c r="B42" s="26" t="s">
        <v>186</v>
      </c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hidden="1" customHeight="1" x14ac:dyDescent="0.2">
      <c r="A43" s="9" t="s">
        <v>182</v>
      </c>
      <c r="B43" s="26" t="s">
        <v>187</v>
      </c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hidden="1" customHeight="1" x14ac:dyDescent="0.2">
      <c r="A44" s="9" t="s">
        <v>183</v>
      </c>
      <c r="B44" s="26" t="s">
        <v>188</v>
      </c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hidden="1" customHeight="1" x14ac:dyDescent="0.2">
      <c r="A45" s="9" t="s">
        <v>184</v>
      </c>
      <c r="B45" s="26" t="s">
        <v>189</v>
      </c>
      <c r="C45" s="9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8" customHeight="1" x14ac:dyDescent="0.25">
      <c r="A46" s="18" t="s">
        <v>190</v>
      </c>
      <c r="B46" s="30" t="s">
        <v>226</v>
      </c>
      <c r="C46" s="51" t="e">
        <f>SUM('2.működés'!#REF!)</f>
        <v>#REF!</v>
      </c>
      <c r="D46" s="51">
        <f>SUM('1.Bev-kiad.'!C46)</f>
        <v>17000</v>
      </c>
      <c r="E46" s="51">
        <v>18000</v>
      </c>
      <c r="F46" s="51">
        <v>20000</v>
      </c>
      <c r="G46" s="51">
        <v>23000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hidden="1" customHeight="1" x14ac:dyDescent="0.2">
      <c r="A47" s="9" t="s">
        <v>196</v>
      </c>
      <c r="B47" s="26" t="s">
        <v>193</v>
      </c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hidden="1" customHeight="1" x14ac:dyDescent="0.2">
      <c r="A48" s="9" t="s">
        <v>197</v>
      </c>
      <c r="B48" s="26" t="s">
        <v>194</v>
      </c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hidden="1" customHeight="1" x14ac:dyDescent="0.2">
      <c r="A49" s="9" t="s">
        <v>198</v>
      </c>
      <c r="B49" s="26" t="s">
        <v>195</v>
      </c>
      <c r="C49" s="9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8" customHeight="1" x14ac:dyDescent="0.25">
      <c r="A50" s="18" t="s">
        <v>191</v>
      </c>
      <c r="B50" s="30" t="s">
        <v>227</v>
      </c>
      <c r="C50" s="51" t="e">
        <f>SUM('3.felh'!#REF!)</f>
        <v>#REF!</v>
      </c>
      <c r="D50" s="51">
        <f>SUM('3.felh'!D26)</f>
        <v>10300</v>
      </c>
      <c r="E50" s="51"/>
      <c r="F50" s="51"/>
      <c r="G50" s="5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3.5" hidden="1" customHeight="1" x14ac:dyDescent="0.25">
      <c r="A51" s="9" t="s">
        <v>199</v>
      </c>
      <c r="B51" s="26" t="s">
        <v>202</v>
      </c>
      <c r="C51" s="51"/>
      <c r="D51" s="51"/>
      <c r="E51" s="51"/>
      <c r="F51" s="51"/>
      <c r="G51" s="5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3.5" hidden="1" customHeight="1" x14ac:dyDescent="0.25">
      <c r="A52" s="9" t="s">
        <v>200</v>
      </c>
      <c r="B52" s="26" t="s">
        <v>203</v>
      </c>
      <c r="C52" s="51"/>
      <c r="D52" s="51"/>
      <c r="E52" s="51"/>
      <c r="F52" s="51"/>
      <c r="G52" s="5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3.5" hidden="1" customHeight="1" thickBot="1" x14ac:dyDescent="0.3">
      <c r="A53" s="9" t="s">
        <v>201</v>
      </c>
      <c r="B53" s="26" t="s">
        <v>204</v>
      </c>
      <c r="C53" s="51"/>
      <c r="D53" s="51"/>
      <c r="E53" s="51"/>
      <c r="F53" s="51"/>
      <c r="G53" s="5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2.5" customHeight="1" x14ac:dyDescent="0.2">
      <c r="A54" s="32" t="s">
        <v>192</v>
      </c>
      <c r="B54" s="202" t="s">
        <v>367</v>
      </c>
      <c r="C54" s="241" t="e">
        <f>SUM(C55+C60)</f>
        <v>#REF!</v>
      </c>
      <c r="D54" s="241">
        <f>SUM(D55+D60)</f>
        <v>999900</v>
      </c>
      <c r="E54" s="241">
        <f>SUM(E55+E60)</f>
        <v>250000</v>
      </c>
      <c r="F54" s="241">
        <f>SUM(F55+F60)</f>
        <v>270000</v>
      </c>
      <c r="G54" s="241">
        <f>SUM(G55+G60)</f>
        <v>275916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3.5" customHeight="1" x14ac:dyDescent="0.25">
      <c r="A55" s="32"/>
      <c r="B55" s="30" t="s">
        <v>451</v>
      </c>
      <c r="C55" s="51" t="e">
        <f>SUM(C56)+C59</f>
        <v>#REF!</v>
      </c>
      <c r="D55" s="51">
        <f>SUM(D56)+D59</f>
        <v>999900</v>
      </c>
      <c r="E55" s="51">
        <f>SUM(E56)+E59</f>
        <v>250000</v>
      </c>
      <c r="F55" s="51">
        <f>SUM(F56)+F59</f>
        <v>270000</v>
      </c>
      <c r="G55" s="51">
        <f>SUM(G56)+G59</f>
        <v>275916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3.5" customHeight="1" x14ac:dyDescent="0.2">
      <c r="A56" s="9"/>
      <c r="B56" s="39" t="s">
        <v>452</v>
      </c>
      <c r="C56" s="15" t="e">
        <f>SUM(C57:C58)</f>
        <v>#REF!</v>
      </c>
      <c r="D56" s="15">
        <f>SUM(D57:D58)</f>
        <v>999900</v>
      </c>
      <c r="E56" s="15">
        <f>SUM(E57:E58)</f>
        <v>250000</v>
      </c>
      <c r="F56" s="15">
        <f>SUM(F57:F58)</f>
        <v>270000</v>
      </c>
      <c r="G56" s="15">
        <f>SUM(G57:G58)</f>
        <v>260000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3.5" customHeight="1" x14ac:dyDescent="0.2">
      <c r="A57" s="9"/>
      <c r="B57" s="39" t="s">
        <v>440</v>
      </c>
      <c r="C57" s="16" t="e">
        <f>SUM('2.működés'!#REF!)</f>
        <v>#REF!</v>
      </c>
      <c r="D57" s="16">
        <f>SUM('1.Bev-kiad.'!C57)</f>
        <v>270035</v>
      </c>
      <c r="E57" s="16">
        <v>180000</v>
      </c>
      <c r="F57" s="16">
        <v>190000</v>
      </c>
      <c r="G57" s="16">
        <v>180000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3.5" customHeight="1" x14ac:dyDescent="0.2">
      <c r="A58" s="9"/>
      <c r="B58" s="39" t="s">
        <v>441</v>
      </c>
      <c r="C58" s="16" t="e">
        <f>'3.felh'!#REF!</f>
        <v>#REF!</v>
      </c>
      <c r="D58" s="16">
        <f>SUM('1.Bev-kiad.'!C58)</f>
        <v>729865</v>
      </c>
      <c r="E58" s="16">
        <v>70000</v>
      </c>
      <c r="F58" s="16">
        <v>80000</v>
      </c>
      <c r="G58" s="16">
        <v>80000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3.5" customHeight="1" x14ac:dyDescent="0.2">
      <c r="A59" s="9"/>
      <c r="B59" s="39" t="s">
        <v>523</v>
      </c>
      <c r="C59" s="16" t="e">
        <f>'2.működés'!#REF!</f>
        <v>#REF!</v>
      </c>
      <c r="D59" s="16">
        <f>'2.működés'!C109</f>
        <v>0</v>
      </c>
      <c r="E59" s="16">
        <f>'2.működés'!D109</f>
        <v>0</v>
      </c>
      <c r="F59" s="16">
        <f>'2.működés'!E109</f>
        <v>0</v>
      </c>
      <c r="G59" s="16">
        <f>'2.működés'!F109</f>
        <v>15916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3.5" customHeight="1" x14ac:dyDescent="0.25">
      <c r="A60" s="9"/>
      <c r="B60" s="30" t="s">
        <v>449</v>
      </c>
      <c r="C60" s="51" t="e">
        <f>SUM(C61:C62)</f>
        <v>#REF!</v>
      </c>
      <c r="D60" s="51">
        <f>SUM(D61:D62)</f>
        <v>0</v>
      </c>
      <c r="E60" s="51">
        <f>SUM(E61:E62)</f>
        <v>0</v>
      </c>
      <c r="F60" s="51">
        <f>SUM(F61:F62)</f>
        <v>0</v>
      </c>
      <c r="G60" s="51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3.5" customHeight="1" x14ac:dyDescent="0.2">
      <c r="A61" s="9"/>
      <c r="B61" s="9" t="s">
        <v>249</v>
      </c>
      <c r="C61" s="17"/>
      <c r="D61" s="17"/>
      <c r="E61" s="17"/>
      <c r="F61" s="17"/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3.5" customHeight="1" thickBot="1" x14ac:dyDescent="0.25">
      <c r="A62" s="14"/>
      <c r="B62" s="192" t="s">
        <v>250</v>
      </c>
      <c r="C62" s="200" t="e">
        <f>'3.felh'!#REF!</f>
        <v>#REF!</v>
      </c>
      <c r="D62" s="200">
        <f>'3.felh'!C35</f>
        <v>0</v>
      </c>
      <c r="E62" s="200"/>
      <c r="F62" s="200"/>
      <c r="G62" s="20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23.25" customHeight="1" thickBot="1" x14ac:dyDescent="0.4">
      <c r="A63" s="266"/>
      <c r="B63" s="267" t="s">
        <v>391</v>
      </c>
      <c r="C63" s="210" t="e">
        <f>SUM(C8+C54)</f>
        <v>#REF!</v>
      </c>
      <c r="D63" s="210">
        <f>SUM(D8+D54)</f>
        <v>1898350</v>
      </c>
      <c r="E63" s="210">
        <f>SUM(E8+E54)</f>
        <v>1174000</v>
      </c>
      <c r="F63" s="210">
        <f>SUM(F8+F54)</f>
        <v>1197000</v>
      </c>
      <c r="G63" s="210">
        <f>SUM(G8+G54)</f>
        <v>1208916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20.25" customHeight="1" x14ac:dyDescent="0.25">
      <c r="A64" s="168" t="s">
        <v>369</v>
      </c>
      <c r="B64" s="284" t="s">
        <v>357</v>
      </c>
      <c r="C64" s="223" t="e">
        <f>SUM(C65+C70)</f>
        <v>#REF!</v>
      </c>
      <c r="D64" s="223">
        <f>SUM(D65+D70)</f>
        <v>1863198</v>
      </c>
      <c r="E64" s="223">
        <f>SUM(E65+E70)</f>
        <v>1101844</v>
      </c>
      <c r="F64" s="223">
        <f>SUM(F65+F70)</f>
        <v>1124844</v>
      </c>
      <c r="G64" s="223">
        <f>SUM(G65+G70)</f>
        <v>1120844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8" customHeight="1" x14ac:dyDescent="0.25">
      <c r="A65" s="18" t="s">
        <v>205</v>
      </c>
      <c r="B65" s="227" t="s">
        <v>8</v>
      </c>
      <c r="C65" s="224" t="e">
        <f>SUM(C66:C68)</f>
        <v>#REF!</v>
      </c>
      <c r="D65" s="224">
        <f>SUM(D66:D68)</f>
        <v>1000160</v>
      </c>
      <c r="E65" s="224">
        <f>SUM(E66:E68)</f>
        <v>865800</v>
      </c>
      <c r="F65" s="224">
        <f>SUM(F66:F68)</f>
        <v>897800</v>
      </c>
      <c r="G65" s="224">
        <f>SUM(G66:G68)</f>
        <v>908800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2">
      <c r="A66" s="9"/>
      <c r="B66" s="29" t="s">
        <v>9</v>
      </c>
      <c r="C66" s="96" t="e">
        <f>SUM('8.Önk.'!#REF!)</f>
        <v>#REF!</v>
      </c>
      <c r="D66" s="96">
        <f>SUM('1.Bev-kiad.'!C66)</f>
        <v>744247</v>
      </c>
      <c r="E66" s="96">
        <v>600000</v>
      </c>
      <c r="F66" s="96">
        <v>610000</v>
      </c>
      <c r="G66" s="96">
        <v>620000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3.5" customHeight="1" thickBot="1" x14ac:dyDescent="0.25">
      <c r="A67" s="9"/>
      <c r="B67" s="25" t="s">
        <v>488</v>
      </c>
      <c r="C67" s="150" t="e">
        <f>SUM('9.Hivatal'!#REF!)</f>
        <v>#REF!</v>
      </c>
      <c r="D67" s="150">
        <f>SUM('1.Bev-kiad.'!C67)</f>
        <v>225950</v>
      </c>
      <c r="E67" s="150">
        <v>225000</v>
      </c>
      <c r="F67" s="150">
        <v>230000</v>
      </c>
      <c r="G67" s="150">
        <v>235000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89" customFormat="1" ht="13.5" customHeight="1" thickBot="1" x14ac:dyDescent="0.25">
      <c r="A68" s="25"/>
      <c r="B68" s="258" t="s">
        <v>208</v>
      </c>
      <c r="C68" s="359" t="e">
        <f>SUM('2.működés'!#REF!)</f>
        <v>#REF!</v>
      </c>
      <c r="D68" s="701">
        <f>SUM('1.Bev-kiad.'!C68)</f>
        <v>29963</v>
      </c>
      <c r="E68" s="701">
        <f>(38800+2000)</f>
        <v>40800</v>
      </c>
      <c r="F68" s="701">
        <f>(55800+2000)</f>
        <v>57800</v>
      </c>
      <c r="G68" s="701">
        <f>(51800+2000)</f>
        <v>53800</v>
      </c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</row>
    <row r="69" spans="1:21" s="89" customFormat="1" ht="12.75" hidden="1" customHeight="1" x14ac:dyDescent="0.2">
      <c r="A69" s="25"/>
      <c r="B69" s="25" t="s">
        <v>450</v>
      </c>
      <c r="C69" s="332"/>
      <c r="D69" s="332"/>
      <c r="E69" s="332"/>
      <c r="F69" s="332"/>
      <c r="G69" s="332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</row>
    <row r="70" spans="1:21" s="89" customFormat="1" ht="18" customHeight="1" x14ac:dyDescent="0.25">
      <c r="A70" s="29" t="s">
        <v>206</v>
      </c>
      <c r="B70" s="227" t="s">
        <v>228</v>
      </c>
      <c r="C70" s="44" t="e">
        <f>SUM(C71:C73)</f>
        <v>#REF!</v>
      </c>
      <c r="D70" s="44">
        <f>SUM(D71:D73)</f>
        <v>863038</v>
      </c>
      <c r="E70" s="44">
        <f>SUM(E71:E73)</f>
        <v>236044</v>
      </c>
      <c r="F70" s="44">
        <f>SUM(F71:F73)</f>
        <v>227044</v>
      </c>
      <c r="G70" s="44">
        <f>SUM(G71:G73)</f>
        <v>212044</v>
      </c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</row>
    <row r="71" spans="1:21" s="230" customFormat="1" ht="13.5" customHeight="1" x14ac:dyDescent="0.2">
      <c r="A71" s="25"/>
      <c r="B71" s="25" t="s">
        <v>350</v>
      </c>
      <c r="C71" s="16" t="e">
        <f>SUM('3.felh'!#REF!)</f>
        <v>#REF!</v>
      </c>
      <c r="D71" s="16">
        <f>SUM('1.Bev-kiad.'!C71)</f>
        <v>221251</v>
      </c>
      <c r="E71" s="16">
        <v>100000</v>
      </c>
      <c r="F71" s="16">
        <v>100000</v>
      </c>
      <c r="G71" s="16">
        <v>102000</v>
      </c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</row>
    <row r="72" spans="1:21" s="230" customFormat="1" ht="13.5" customHeight="1" x14ac:dyDescent="0.2">
      <c r="A72" s="25"/>
      <c r="B72" s="25" t="s">
        <v>351</v>
      </c>
      <c r="C72" s="16" t="e">
        <f>SUM('3.felh'!#REF!)</f>
        <v>#REF!</v>
      </c>
      <c r="D72" s="16">
        <f>SUM('1.Bev-kiad.'!C72)</f>
        <v>587652</v>
      </c>
      <c r="E72" s="16">
        <v>120000</v>
      </c>
      <c r="F72" s="16">
        <v>97000</v>
      </c>
      <c r="G72" s="16">
        <v>80000</v>
      </c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</row>
    <row r="73" spans="1:21" s="230" customFormat="1" ht="13.5" customHeight="1" x14ac:dyDescent="0.2">
      <c r="A73" s="25"/>
      <c r="B73" s="25" t="s">
        <v>352</v>
      </c>
      <c r="C73" s="16" t="e">
        <f>SUM(C74:C75)</f>
        <v>#REF!</v>
      </c>
      <c r="D73" s="16">
        <f>SUM(D74:D75)</f>
        <v>54135</v>
      </c>
      <c r="E73" s="16">
        <f>SUM(E74:E75)</f>
        <v>16044</v>
      </c>
      <c r="F73" s="16">
        <f>SUM(F74:F75)</f>
        <v>30044</v>
      </c>
      <c r="G73" s="16">
        <f>SUM(G74:G75)</f>
        <v>30044</v>
      </c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</row>
    <row r="74" spans="1:21" s="230" customFormat="1" ht="13.5" customHeight="1" thickBot="1" x14ac:dyDescent="0.25">
      <c r="A74" s="25"/>
      <c r="B74" s="25" t="s">
        <v>363</v>
      </c>
      <c r="C74" s="200" t="e">
        <f>SUM('3.felh'!#REF!)</f>
        <v>#REF!</v>
      </c>
      <c r="D74" s="200">
        <f>SUM('3.felh'!C81)</f>
        <v>0</v>
      </c>
      <c r="E74" s="200"/>
      <c r="F74" s="200"/>
      <c r="G74" s="200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</row>
    <row r="75" spans="1:21" s="230" customFormat="1" ht="13.5" customHeight="1" thickBot="1" x14ac:dyDescent="0.25">
      <c r="A75" s="25"/>
      <c r="B75" s="25" t="s">
        <v>364</v>
      </c>
      <c r="C75" s="359" t="e">
        <f>SUM('3.felh'!#REF!)</f>
        <v>#REF!</v>
      </c>
      <c r="D75" s="16">
        <f>SUM('1.Bev-kiad.'!C76)</f>
        <v>54135</v>
      </c>
      <c r="E75" s="16">
        <f>(30000+44-14000)</f>
        <v>16044</v>
      </c>
      <c r="F75" s="16">
        <v>30044</v>
      </c>
      <c r="G75" s="16">
        <v>30044</v>
      </c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</row>
    <row r="76" spans="1:21" s="59" customFormat="1" ht="22.5" customHeight="1" x14ac:dyDescent="0.25">
      <c r="A76" s="18" t="s">
        <v>207</v>
      </c>
      <c r="B76" s="202" t="s">
        <v>368</v>
      </c>
      <c r="C76" s="225" t="e">
        <f>SUM(C77+C81+C82)</f>
        <v>#REF!</v>
      </c>
      <c r="D76" s="225">
        <f>SUM(D77+D81+D82)</f>
        <v>35152</v>
      </c>
      <c r="E76" s="225">
        <f>SUM(E77+E81+E82)</f>
        <v>72156</v>
      </c>
      <c r="F76" s="225">
        <f>SUM(F77+F81+F82)</f>
        <v>72156</v>
      </c>
      <c r="G76" s="225">
        <f>SUM(G77+G81+G82)</f>
        <v>72156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59" customFormat="1" ht="15" customHeight="1" x14ac:dyDescent="0.25">
      <c r="A77" s="18"/>
      <c r="B77" s="222" t="s">
        <v>396</v>
      </c>
      <c r="C77" s="185" t="e">
        <f>SUM(C78)</f>
        <v>#REF!</v>
      </c>
      <c r="D77" s="185">
        <f>SUM(D78:D80)</f>
        <v>35152</v>
      </c>
      <c r="E77" s="185">
        <f>SUM(E78:E80)</f>
        <v>72156</v>
      </c>
      <c r="F77" s="185">
        <f>SUM(F78:F80)</f>
        <v>72156</v>
      </c>
      <c r="G77" s="185">
        <f>SUM(G78:G80)</f>
        <v>72156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59" customFormat="1" ht="12.75" customHeight="1" x14ac:dyDescent="0.2">
      <c r="A78" s="18" t="s">
        <v>403</v>
      </c>
      <c r="B78" s="9" t="s">
        <v>424</v>
      </c>
      <c r="C78" s="16" t="e">
        <f>SUM('2.működés'!#REF!)</f>
        <v>#REF!</v>
      </c>
      <c r="D78" s="16">
        <f>SUM('1.Bev-kiad.'!C79)</f>
        <v>14996</v>
      </c>
      <c r="E78" s="16">
        <v>14000</v>
      </c>
      <c r="F78" s="16">
        <v>14000</v>
      </c>
      <c r="G78" s="16">
        <v>14000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59" customFormat="1" ht="15.75" hidden="1" x14ac:dyDescent="0.25">
      <c r="A79" s="18"/>
      <c r="B79" s="276" t="s">
        <v>397</v>
      </c>
      <c r="C79" s="52"/>
      <c r="D79" s="52"/>
      <c r="E79" s="52"/>
      <c r="F79" s="52"/>
      <c r="G79" s="5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59" customFormat="1" ht="12.75" customHeight="1" x14ac:dyDescent="0.25">
      <c r="A80" s="18"/>
      <c r="B80" s="276" t="s">
        <v>958</v>
      </c>
      <c r="C80" s="52"/>
      <c r="D80" s="17">
        <f>SUM('3.felh'!D88)</f>
        <v>20156</v>
      </c>
      <c r="E80" s="16">
        <f>(20156+38000)</f>
        <v>58156</v>
      </c>
      <c r="F80" s="16">
        <f>(20156+38000)</f>
        <v>58156</v>
      </c>
      <c r="G80" s="16">
        <f>(20156+38000)</f>
        <v>58156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9" customFormat="1" ht="15" customHeight="1" x14ac:dyDescent="0.25">
      <c r="A81" s="18"/>
      <c r="B81" s="222" t="s">
        <v>398</v>
      </c>
      <c r="C81" s="52"/>
      <c r="D81" s="52"/>
      <c r="E81" s="52"/>
      <c r="F81" s="52"/>
      <c r="G81" s="5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59" customFormat="1" ht="15" customHeight="1" thickBot="1" x14ac:dyDescent="0.3">
      <c r="A82" s="28"/>
      <c r="B82" s="219" t="s">
        <v>399</v>
      </c>
      <c r="C82" s="201"/>
      <c r="D82" s="201"/>
      <c r="E82" s="201"/>
      <c r="F82" s="201"/>
      <c r="G82" s="20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21.75" customHeight="1" thickBot="1" x14ac:dyDescent="0.4">
      <c r="A83" s="329"/>
      <c r="B83" s="267" t="s">
        <v>55</v>
      </c>
      <c r="C83" s="210" t="e">
        <f>SUM(C64+C76)</f>
        <v>#REF!</v>
      </c>
      <c r="D83" s="210">
        <f>SUM(D64+D76)</f>
        <v>1898350</v>
      </c>
      <c r="E83" s="210">
        <f>SUM(E64+E76)</f>
        <v>1174000</v>
      </c>
      <c r="F83" s="210">
        <f>SUM(F64+F76)</f>
        <v>1197000</v>
      </c>
      <c r="G83" s="210">
        <f>SUM(G64+G76)</f>
        <v>1193000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4.25" hidden="1" customHeight="1" x14ac:dyDescent="0.2">
      <c r="C84" s="8" t="e">
        <f>SUM(C63-C83)</f>
        <v>#REF!</v>
      </c>
      <c r="D84" s="8">
        <f>SUM(D63-D83)</f>
        <v>0</v>
      </c>
      <c r="E84" s="8"/>
      <c r="F84" s="8"/>
      <c r="G84" s="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.75" hidden="1" customHeight="1" x14ac:dyDescent="0.2">
      <c r="B85" s="2" t="s">
        <v>499</v>
      </c>
      <c r="C85" s="8" t="e">
        <f>SUM(C68+C75)</f>
        <v>#REF!</v>
      </c>
      <c r="D85" s="8">
        <f>SUM(D68+D75)</f>
        <v>84098</v>
      </c>
      <c r="E85" s="8"/>
      <c r="F85" s="8"/>
      <c r="G85" s="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5.75" hidden="1" customHeight="1" x14ac:dyDescent="0.2">
      <c r="C86" s="8"/>
      <c r="D86" s="8">
        <f>SUM(D63-D83)</f>
        <v>0</v>
      </c>
      <c r="E86" s="8">
        <f>SUM(E63-E83)</f>
        <v>0</v>
      </c>
      <c r="F86" s="8">
        <f>SUM(F63-F83)</f>
        <v>0</v>
      </c>
      <c r="G86" s="8">
        <f>SUM(G63-G83)</f>
        <v>15916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.75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.75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2:2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2:2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2:2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2:2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2:2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2:2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2:2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2:2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2:2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2:2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2:2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2:2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2:2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2:2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2:2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2:2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2:2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2:2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2:2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2:2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2:2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2:2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2:2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2:2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2:2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2:2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2:2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2:2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2:2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2:2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2:2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2:2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2:2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2:2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2:2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2:2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2:2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2:2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2:2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2:2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2:2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2:2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2:2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2:2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2:2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2:2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2:2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2:2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2:2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2:2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2:2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2:2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2:2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2:2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2:2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2:2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2:2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2:2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2:2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2:2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2:2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2:2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2:2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2:2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2:2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2:2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2:2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2:2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2:2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2:21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2:21" ht="15.75" customHeight="1" x14ac:dyDescent="0.2">
      <c r="B169" s="2"/>
      <c r="C169" s="37"/>
      <c r="D169" s="37"/>
      <c r="E169" s="37"/>
      <c r="F169" s="37"/>
      <c r="G169" s="3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 ht="15.75" customHeight="1" x14ac:dyDescent="0.2">
      <c r="B170" s="2"/>
      <c r="C170" s="37"/>
      <c r="D170" s="37"/>
      <c r="E170" s="37"/>
      <c r="F170" s="37"/>
      <c r="G170" s="3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 ht="15.75" customHeight="1" x14ac:dyDescent="0.2">
      <c r="B171" s="2"/>
      <c r="C171" s="37"/>
      <c r="D171" s="37"/>
      <c r="E171" s="37"/>
      <c r="F171" s="37"/>
      <c r="G171" s="3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2:21" ht="15.75" customHeight="1" x14ac:dyDescent="0.2">
      <c r="B172" s="2"/>
      <c r="C172" s="37"/>
      <c r="D172" s="37"/>
      <c r="E172" s="37"/>
      <c r="F172" s="37"/>
      <c r="G172" s="3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2:21" ht="15.75" customHeight="1" x14ac:dyDescent="0.2">
      <c r="B173" s="2"/>
      <c r="C173" s="37"/>
      <c r="D173" s="37"/>
      <c r="E173" s="37"/>
      <c r="F173" s="37"/>
      <c r="G173" s="3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2:21" ht="15.75" customHeight="1" x14ac:dyDescent="0.2">
      <c r="B174" s="2"/>
      <c r="C174" s="37"/>
      <c r="D174" s="37"/>
      <c r="E174" s="37"/>
      <c r="F174" s="37"/>
      <c r="G174" s="3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2:21" ht="15.75" customHeight="1" x14ac:dyDescent="0.2">
      <c r="B175" s="2"/>
      <c r="C175" s="37"/>
      <c r="D175" s="37"/>
      <c r="E175" s="37"/>
      <c r="F175" s="37"/>
      <c r="G175" s="3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2:21" ht="15.75" customHeight="1" x14ac:dyDescent="0.2">
      <c r="B176" s="2"/>
      <c r="C176" s="37"/>
      <c r="D176" s="37"/>
      <c r="E176" s="37"/>
      <c r="F176" s="37"/>
      <c r="G176" s="3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2:21" ht="15.75" customHeight="1" x14ac:dyDescent="0.2">
      <c r="B177" s="2"/>
      <c r="C177" s="37"/>
      <c r="D177" s="37"/>
      <c r="E177" s="37"/>
      <c r="F177" s="37"/>
      <c r="G177" s="3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2:21" ht="15.75" customHeight="1" x14ac:dyDescent="0.2">
      <c r="B178" s="2"/>
      <c r="C178" s="37"/>
      <c r="D178" s="37"/>
      <c r="E178" s="37"/>
      <c r="F178" s="37"/>
      <c r="G178" s="3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2:21" ht="15.75" customHeight="1" x14ac:dyDescent="0.2">
      <c r="B179" s="2"/>
      <c r="C179" s="37"/>
      <c r="D179" s="37"/>
      <c r="E179" s="37"/>
      <c r="F179" s="37"/>
      <c r="G179" s="3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2:21" ht="15.75" customHeight="1" x14ac:dyDescent="0.2">
      <c r="B180" s="2"/>
      <c r="C180" s="37"/>
      <c r="D180" s="37"/>
      <c r="E180" s="37"/>
      <c r="F180" s="37"/>
      <c r="G180" s="3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2:21" ht="15.75" customHeight="1" x14ac:dyDescent="0.2">
      <c r="B181" s="2"/>
      <c r="C181" s="37"/>
      <c r="D181" s="37"/>
      <c r="E181" s="37"/>
      <c r="F181" s="37"/>
      <c r="G181" s="3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2:21" ht="15.75" customHeight="1" x14ac:dyDescent="0.2">
      <c r="B182" s="2"/>
      <c r="C182" s="37"/>
      <c r="D182" s="37"/>
      <c r="E182" s="37"/>
      <c r="F182" s="37"/>
      <c r="G182" s="3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2:21" ht="15.75" customHeight="1" x14ac:dyDescent="0.2">
      <c r="B183" s="2"/>
      <c r="C183" s="37"/>
      <c r="D183" s="37"/>
      <c r="E183" s="37"/>
      <c r="F183" s="37"/>
      <c r="G183" s="3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2:21" ht="15.75" customHeight="1" x14ac:dyDescent="0.2">
      <c r="B184" s="2"/>
      <c r="C184" s="37"/>
      <c r="D184" s="37"/>
      <c r="E184" s="37"/>
      <c r="F184" s="37"/>
      <c r="G184" s="3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2:21" ht="15.75" customHeight="1" x14ac:dyDescent="0.2">
      <c r="B185" s="2"/>
      <c r="C185" s="37"/>
      <c r="D185" s="37"/>
      <c r="E185" s="37"/>
      <c r="F185" s="37"/>
      <c r="G185" s="3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2:21" ht="15.75" customHeight="1" x14ac:dyDescent="0.2">
      <c r="B186" s="2"/>
      <c r="C186" s="37"/>
      <c r="D186" s="37"/>
      <c r="E186" s="37"/>
      <c r="F186" s="37"/>
      <c r="G186" s="3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2:21" ht="15.75" customHeight="1" x14ac:dyDescent="0.2">
      <c r="B187" s="2"/>
      <c r="C187" s="37"/>
      <c r="D187" s="37"/>
      <c r="E187" s="37"/>
      <c r="F187" s="37"/>
      <c r="G187" s="3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2:21" ht="15.75" customHeight="1" x14ac:dyDescent="0.2">
      <c r="B188" s="2"/>
      <c r="C188" s="37"/>
      <c r="D188" s="37"/>
      <c r="E188" s="37"/>
      <c r="F188" s="37"/>
      <c r="G188" s="3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2:21" ht="15.75" customHeight="1" x14ac:dyDescent="0.2">
      <c r="B189" s="2"/>
      <c r="C189" s="37"/>
      <c r="D189" s="37"/>
      <c r="E189" s="37"/>
      <c r="F189" s="37"/>
      <c r="G189" s="3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2:21" ht="15.75" customHeight="1" x14ac:dyDescent="0.2">
      <c r="B190" s="2"/>
      <c r="C190" s="37"/>
      <c r="D190" s="37"/>
      <c r="E190" s="37"/>
      <c r="F190" s="37"/>
      <c r="G190" s="3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2:21" ht="15.75" customHeight="1" x14ac:dyDescent="0.2">
      <c r="B191" s="2"/>
      <c r="C191" s="37"/>
      <c r="D191" s="37"/>
      <c r="E191" s="37"/>
      <c r="F191" s="37"/>
      <c r="G191" s="3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2:21" ht="15.75" customHeight="1" x14ac:dyDescent="0.2">
      <c r="B192" s="2"/>
      <c r="C192" s="37"/>
      <c r="D192" s="37"/>
      <c r="E192" s="37"/>
      <c r="F192" s="37"/>
      <c r="G192" s="3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2:21" ht="15.75" customHeight="1" x14ac:dyDescent="0.2">
      <c r="B193" s="2"/>
      <c r="C193" s="37"/>
      <c r="D193" s="37"/>
      <c r="E193" s="37"/>
      <c r="F193" s="37"/>
      <c r="G193" s="3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2:21" ht="15.75" customHeight="1" x14ac:dyDescent="0.2">
      <c r="B194" s="2"/>
      <c r="C194" s="37"/>
      <c r="D194" s="37"/>
      <c r="E194" s="37"/>
      <c r="F194" s="37"/>
      <c r="G194" s="3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2:21" ht="15.75" customHeight="1" x14ac:dyDescent="0.2">
      <c r="B195" s="2"/>
      <c r="C195" s="37"/>
      <c r="D195" s="37"/>
      <c r="E195" s="37"/>
      <c r="F195" s="37"/>
      <c r="G195" s="3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2:21" ht="15.75" customHeight="1" x14ac:dyDescent="0.2">
      <c r="B196" s="2"/>
      <c r="C196" s="37"/>
      <c r="D196" s="37"/>
      <c r="E196" s="37"/>
      <c r="F196" s="37"/>
      <c r="G196" s="3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2:21" ht="15.75" customHeight="1" x14ac:dyDescent="0.2">
      <c r="B197" s="2"/>
      <c r="C197" s="37"/>
      <c r="D197" s="37"/>
      <c r="E197" s="37"/>
      <c r="F197" s="37"/>
      <c r="G197" s="3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2:21" ht="15.75" customHeight="1" x14ac:dyDescent="0.2">
      <c r="B198" s="2"/>
      <c r="C198" s="37"/>
      <c r="D198" s="37"/>
      <c r="E198" s="37"/>
      <c r="F198" s="37"/>
      <c r="G198" s="3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2:21" ht="15.75" customHeight="1" x14ac:dyDescent="0.2">
      <c r="B199" s="2"/>
      <c r="C199" s="37"/>
      <c r="D199" s="37"/>
      <c r="E199" s="37"/>
      <c r="F199" s="37"/>
      <c r="G199" s="3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2:21" ht="15.75" customHeight="1" x14ac:dyDescent="0.2">
      <c r="B200" s="2"/>
      <c r="C200" s="37"/>
      <c r="D200" s="37"/>
      <c r="E200" s="37"/>
      <c r="F200" s="37"/>
      <c r="G200" s="3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2:21" ht="15.75" customHeight="1" x14ac:dyDescent="0.2">
      <c r="B201" s="2"/>
      <c r="C201" s="37"/>
      <c r="D201" s="37"/>
      <c r="E201" s="37"/>
      <c r="F201" s="37"/>
      <c r="G201" s="3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2:21" ht="15.75" customHeight="1" x14ac:dyDescent="0.2">
      <c r="B202" s="2"/>
      <c r="C202" s="37"/>
      <c r="D202" s="37"/>
      <c r="E202" s="37"/>
      <c r="F202" s="37"/>
      <c r="G202" s="3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2:21" ht="15.75" customHeight="1" x14ac:dyDescent="0.2">
      <c r="B203" s="2"/>
      <c r="C203" s="37"/>
      <c r="D203" s="37"/>
      <c r="E203" s="37"/>
      <c r="F203" s="37"/>
      <c r="G203" s="3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 ht="15.75" customHeight="1" x14ac:dyDescent="0.2">
      <c r="B204" s="2"/>
      <c r="C204" s="37"/>
      <c r="D204" s="37"/>
      <c r="E204" s="37"/>
      <c r="F204" s="37"/>
      <c r="G204" s="3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 ht="15.75" customHeight="1" x14ac:dyDescent="0.2">
      <c r="B205" s="2"/>
      <c r="C205" s="37"/>
      <c r="D205" s="37"/>
      <c r="E205" s="37"/>
      <c r="F205" s="37"/>
      <c r="G205" s="3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2:21" ht="15.75" customHeight="1" x14ac:dyDescent="0.2">
      <c r="B206" s="2"/>
      <c r="C206" s="37"/>
      <c r="D206" s="37"/>
      <c r="E206" s="37"/>
      <c r="F206" s="37"/>
      <c r="G206" s="3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2:21" ht="15.75" customHeight="1" x14ac:dyDescent="0.2">
      <c r="B207" s="2"/>
      <c r="C207" s="37"/>
      <c r="D207" s="37"/>
      <c r="E207" s="37"/>
      <c r="F207" s="37"/>
      <c r="G207" s="3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2:21" ht="15.75" customHeight="1" x14ac:dyDescent="0.2">
      <c r="B208" s="2"/>
      <c r="C208" s="37"/>
      <c r="D208" s="37"/>
      <c r="E208" s="37"/>
      <c r="F208" s="37"/>
      <c r="G208" s="3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2:21" ht="15.75" customHeight="1" x14ac:dyDescent="0.2">
      <c r="B209" s="2"/>
      <c r="C209" s="37"/>
      <c r="D209" s="37"/>
      <c r="E209" s="37"/>
      <c r="F209" s="37"/>
      <c r="G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2:21" ht="15.75" customHeight="1" x14ac:dyDescent="0.2">
      <c r="B210" s="2"/>
      <c r="C210" s="37"/>
      <c r="D210" s="37"/>
      <c r="E210" s="37"/>
      <c r="F210" s="37"/>
      <c r="G210" s="3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2:21" ht="15.75" customHeight="1" x14ac:dyDescent="0.2">
      <c r="B211" s="2"/>
      <c r="C211" s="37"/>
      <c r="D211" s="37"/>
      <c r="E211" s="37"/>
      <c r="F211" s="37"/>
      <c r="G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2:21" ht="15.75" customHeight="1" x14ac:dyDescent="0.2">
      <c r="B212" s="2"/>
      <c r="C212" s="37"/>
      <c r="D212" s="37"/>
      <c r="E212" s="37"/>
      <c r="F212" s="37"/>
      <c r="G212" s="3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2:21" ht="15.75" customHeight="1" x14ac:dyDescent="0.2">
      <c r="B213" s="2"/>
      <c r="C213" s="37"/>
      <c r="D213" s="37"/>
      <c r="E213" s="37"/>
      <c r="F213" s="37"/>
      <c r="G213" s="3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2:21" ht="15.75" customHeight="1" x14ac:dyDescent="0.2">
      <c r="B214" s="2"/>
      <c r="C214" s="37"/>
      <c r="D214" s="37"/>
      <c r="E214" s="37"/>
      <c r="F214" s="37"/>
      <c r="G214" s="3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2:21" ht="15.75" customHeight="1" x14ac:dyDescent="0.2">
      <c r="B215" s="2"/>
      <c r="C215" s="37"/>
      <c r="D215" s="37"/>
      <c r="E215" s="37"/>
      <c r="F215" s="37"/>
      <c r="G215" s="3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2:21" ht="15.75" customHeight="1" x14ac:dyDescent="0.2">
      <c r="B216" s="2"/>
      <c r="C216" s="37"/>
      <c r="D216" s="37"/>
      <c r="E216" s="37"/>
      <c r="F216" s="37"/>
      <c r="G216" s="3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2:21" ht="15.75" customHeight="1" x14ac:dyDescent="0.2">
      <c r="B217" s="2"/>
      <c r="C217" s="37"/>
      <c r="D217" s="37"/>
      <c r="E217" s="37"/>
      <c r="F217" s="37"/>
      <c r="G217" s="3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2:21" ht="15.75" customHeight="1" x14ac:dyDescent="0.2">
      <c r="B218" s="2"/>
      <c r="C218" s="37"/>
      <c r="D218" s="37"/>
      <c r="E218" s="37"/>
      <c r="F218" s="37"/>
      <c r="G218" s="3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2:21" ht="15.75" customHeight="1" x14ac:dyDescent="0.2">
      <c r="B219" s="2"/>
      <c r="C219" s="37"/>
      <c r="D219" s="37"/>
      <c r="E219" s="37"/>
      <c r="F219" s="37"/>
      <c r="G219" s="3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2:21" ht="15.75" customHeight="1" x14ac:dyDescent="0.2">
      <c r="B220" s="2"/>
      <c r="C220" s="37"/>
      <c r="D220" s="37"/>
      <c r="E220" s="37"/>
      <c r="F220" s="37"/>
      <c r="G220" s="3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2:21" ht="15.75" customHeight="1" x14ac:dyDescent="0.2">
      <c r="B221" s="2"/>
      <c r="C221" s="37"/>
      <c r="D221" s="37"/>
      <c r="E221" s="37"/>
      <c r="F221" s="37"/>
      <c r="G221" s="3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2:21" ht="15.75" customHeight="1" x14ac:dyDescent="0.2">
      <c r="B222" s="2"/>
      <c r="C222" s="37"/>
      <c r="D222" s="37"/>
      <c r="E222" s="37"/>
      <c r="F222" s="37"/>
      <c r="G222" s="3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2:21" ht="15.75" customHeight="1" x14ac:dyDescent="0.2">
      <c r="B223" s="2"/>
      <c r="C223" s="37"/>
      <c r="D223" s="37"/>
      <c r="E223" s="37"/>
      <c r="F223" s="37"/>
      <c r="G223" s="3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2:21" ht="15.75" customHeight="1" x14ac:dyDescent="0.2">
      <c r="B224" s="2"/>
      <c r="C224" s="37"/>
      <c r="D224" s="37"/>
      <c r="E224" s="37"/>
      <c r="F224" s="37"/>
      <c r="G224" s="3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2:21" ht="15.75" customHeight="1" x14ac:dyDescent="0.2">
      <c r="B225" s="2"/>
      <c r="C225" s="37"/>
      <c r="D225" s="37"/>
      <c r="E225" s="37"/>
      <c r="F225" s="37"/>
      <c r="G225" s="3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2:21" ht="15.75" customHeight="1" x14ac:dyDescent="0.2">
      <c r="B226" s="2"/>
      <c r="C226" s="37"/>
      <c r="D226" s="37"/>
      <c r="E226" s="37"/>
      <c r="F226" s="37"/>
      <c r="G226" s="3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2:21" ht="15.75" customHeight="1" x14ac:dyDescent="0.2">
      <c r="B227" s="2"/>
      <c r="C227" s="37"/>
      <c r="D227" s="37"/>
      <c r="E227" s="37"/>
      <c r="F227" s="37"/>
      <c r="G227" s="3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2:21" ht="15.75" customHeight="1" x14ac:dyDescent="0.2">
      <c r="B228" s="2"/>
      <c r="C228" s="37"/>
      <c r="D228" s="37"/>
      <c r="E228" s="37"/>
      <c r="F228" s="37"/>
      <c r="G228" s="3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2:21" ht="15.75" customHeight="1" x14ac:dyDescent="0.2">
      <c r="B229" s="2"/>
      <c r="C229" s="37"/>
      <c r="D229" s="37"/>
      <c r="E229" s="37"/>
      <c r="F229" s="37"/>
      <c r="G229" s="3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2:21" ht="15.75" customHeight="1" x14ac:dyDescent="0.2">
      <c r="B230" s="2"/>
      <c r="C230" s="37"/>
      <c r="D230" s="37"/>
      <c r="E230" s="37"/>
      <c r="F230" s="37"/>
      <c r="G230" s="3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2:21" ht="15.75" customHeight="1" x14ac:dyDescent="0.2">
      <c r="B231" s="2"/>
      <c r="C231" s="37"/>
      <c r="D231" s="37"/>
      <c r="E231" s="37"/>
      <c r="F231" s="37"/>
      <c r="G231" s="3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2:21" ht="15.75" customHeight="1" x14ac:dyDescent="0.2">
      <c r="B232" s="2"/>
      <c r="C232" s="37"/>
      <c r="D232" s="37"/>
      <c r="E232" s="37"/>
      <c r="F232" s="37"/>
      <c r="G232" s="3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2:21" ht="15.75" customHeight="1" x14ac:dyDescent="0.2">
      <c r="B233" s="2"/>
      <c r="C233" s="37"/>
      <c r="D233" s="37"/>
      <c r="E233" s="37"/>
      <c r="F233" s="37"/>
      <c r="G233" s="3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2:21" ht="15.75" customHeight="1" x14ac:dyDescent="0.2">
      <c r="B234" s="2"/>
      <c r="C234" s="37"/>
      <c r="D234" s="37"/>
      <c r="E234" s="37"/>
      <c r="F234" s="37"/>
      <c r="G234" s="3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2:21" ht="15.75" customHeight="1" x14ac:dyDescent="0.2">
      <c r="B235" s="2"/>
      <c r="C235" s="37"/>
      <c r="D235" s="37"/>
      <c r="E235" s="37"/>
      <c r="F235" s="37"/>
      <c r="G235" s="3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2:21" ht="15.75" customHeight="1" x14ac:dyDescent="0.2">
      <c r="B236" s="2"/>
      <c r="C236" s="37"/>
      <c r="D236" s="37"/>
      <c r="E236" s="37"/>
      <c r="F236" s="37"/>
      <c r="G236" s="3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2:21" ht="15.75" customHeight="1" x14ac:dyDescent="0.2">
      <c r="B237" s="2"/>
      <c r="C237" s="37"/>
      <c r="D237" s="37"/>
      <c r="E237" s="37"/>
      <c r="F237" s="37"/>
      <c r="G237" s="3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 ht="15.75" customHeight="1" x14ac:dyDescent="0.2">
      <c r="B238" s="2"/>
      <c r="C238" s="37"/>
      <c r="D238" s="37"/>
      <c r="E238" s="37"/>
      <c r="F238" s="37"/>
      <c r="G238" s="3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 ht="15.75" customHeight="1" x14ac:dyDescent="0.2">
      <c r="B239" s="2"/>
      <c r="C239" s="37"/>
      <c r="D239" s="37"/>
      <c r="E239" s="37"/>
      <c r="F239" s="37"/>
      <c r="G239" s="3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2:21" ht="15.75" customHeight="1" x14ac:dyDescent="0.2">
      <c r="B240" s="2"/>
      <c r="C240" s="37"/>
      <c r="D240" s="37"/>
      <c r="E240" s="37"/>
      <c r="F240" s="37"/>
      <c r="G240" s="3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2:21" ht="15.75" customHeight="1" x14ac:dyDescent="0.2">
      <c r="B241" s="2"/>
      <c r="C241" s="37"/>
      <c r="D241" s="37"/>
      <c r="E241" s="37"/>
      <c r="F241" s="37"/>
      <c r="G241" s="3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2:21" ht="15.75" customHeight="1" x14ac:dyDescent="0.2">
      <c r="B242" s="2"/>
      <c r="C242" s="37"/>
      <c r="D242" s="37"/>
      <c r="E242" s="37"/>
      <c r="F242" s="37"/>
      <c r="G242" s="3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2:21" ht="15.75" customHeight="1" x14ac:dyDescent="0.2">
      <c r="B243" s="2"/>
      <c r="C243" s="37"/>
      <c r="D243" s="37"/>
      <c r="E243" s="37"/>
      <c r="F243" s="37"/>
      <c r="G243" s="3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2:21" ht="15.75" customHeight="1" x14ac:dyDescent="0.2">
      <c r="B244" s="2"/>
      <c r="C244" s="37"/>
      <c r="D244" s="37"/>
      <c r="E244" s="37"/>
      <c r="F244" s="37"/>
      <c r="G244" s="3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2:21" ht="15.75" customHeight="1" x14ac:dyDescent="0.2">
      <c r="B245" s="2"/>
      <c r="C245" s="37"/>
      <c r="D245" s="37"/>
      <c r="E245" s="37"/>
      <c r="F245" s="37"/>
      <c r="G245" s="3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2:21" ht="15.75" customHeight="1" x14ac:dyDescent="0.2">
      <c r="B246" s="2"/>
      <c r="C246" s="37"/>
      <c r="D246" s="37"/>
      <c r="E246" s="37"/>
      <c r="F246" s="37"/>
      <c r="G246" s="3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2:21" ht="15.75" customHeight="1" x14ac:dyDescent="0.2">
      <c r="B247" s="2"/>
      <c r="C247" s="37"/>
      <c r="D247" s="37"/>
      <c r="E247" s="37"/>
      <c r="F247" s="37"/>
      <c r="G247" s="3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2:21" ht="15.75" customHeight="1" x14ac:dyDescent="0.2">
      <c r="B248" s="2"/>
      <c r="C248" s="37"/>
      <c r="D248" s="37"/>
      <c r="E248" s="37"/>
      <c r="F248" s="37"/>
      <c r="G248" s="3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2:21" ht="15.75" customHeight="1" x14ac:dyDescent="0.2">
      <c r="B249" s="2"/>
      <c r="C249" s="37"/>
      <c r="D249" s="37"/>
      <c r="E249" s="37"/>
      <c r="F249" s="37"/>
      <c r="G249" s="3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2:21" ht="15.75" customHeight="1" x14ac:dyDescent="0.2">
      <c r="B250" s="2"/>
      <c r="C250" s="37"/>
      <c r="D250" s="37"/>
      <c r="E250" s="37"/>
      <c r="F250" s="37"/>
      <c r="G250" s="3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2:21" ht="15.75" customHeight="1" x14ac:dyDescent="0.2">
      <c r="B251" s="2"/>
      <c r="C251" s="37"/>
      <c r="D251" s="37"/>
      <c r="E251" s="37"/>
      <c r="F251" s="37"/>
      <c r="G251" s="3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2:21" ht="15.75" customHeight="1" x14ac:dyDescent="0.2">
      <c r="B252" s="2"/>
      <c r="C252" s="37"/>
      <c r="D252" s="37"/>
      <c r="E252" s="37"/>
      <c r="F252" s="37"/>
      <c r="G252" s="3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2:21" ht="15.75" customHeight="1" x14ac:dyDescent="0.2">
      <c r="B253" s="2"/>
      <c r="C253" s="37"/>
      <c r="D253" s="37"/>
      <c r="E253" s="37"/>
      <c r="F253" s="37"/>
      <c r="G253" s="3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2:21" ht="15.75" customHeight="1" x14ac:dyDescent="0.2">
      <c r="B254" s="2"/>
      <c r="C254" s="37"/>
      <c r="D254" s="37"/>
      <c r="E254" s="37"/>
      <c r="F254" s="37"/>
      <c r="G254" s="3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2:21" ht="15.75" customHeight="1" x14ac:dyDescent="0.2">
      <c r="B255" s="2"/>
      <c r="C255" s="37"/>
      <c r="D255" s="37"/>
      <c r="E255" s="37"/>
      <c r="F255" s="37"/>
      <c r="G255" s="3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2:21" ht="15.75" customHeight="1" x14ac:dyDescent="0.2">
      <c r="B256" s="2"/>
      <c r="C256" s="37"/>
      <c r="D256" s="37"/>
      <c r="E256" s="37"/>
      <c r="F256" s="37"/>
      <c r="G256" s="3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2:21" ht="15.75" customHeight="1" x14ac:dyDescent="0.2">
      <c r="B257" s="2"/>
      <c r="C257" s="37"/>
      <c r="D257" s="37"/>
      <c r="E257" s="37"/>
      <c r="F257" s="37"/>
      <c r="G257" s="3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2:21" ht="15.75" customHeight="1" x14ac:dyDescent="0.2">
      <c r="B258" s="2"/>
      <c r="C258" s="37"/>
      <c r="D258" s="37"/>
      <c r="E258" s="37"/>
      <c r="F258" s="37"/>
      <c r="G258" s="3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2:21" ht="15.75" customHeight="1" x14ac:dyDescent="0.2">
      <c r="B259" s="2"/>
      <c r="C259" s="37"/>
      <c r="D259" s="37"/>
      <c r="E259" s="37"/>
      <c r="F259" s="37"/>
      <c r="G259" s="3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2:21" ht="15.75" customHeight="1" x14ac:dyDescent="0.2">
      <c r="B260" s="2"/>
      <c r="C260" s="37"/>
      <c r="D260" s="37"/>
      <c r="E260" s="37"/>
      <c r="F260" s="37"/>
      <c r="G260" s="3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2:21" ht="15.75" customHeight="1" x14ac:dyDescent="0.2">
      <c r="B261" s="2"/>
      <c r="C261" s="37"/>
      <c r="D261" s="37"/>
      <c r="E261" s="37"/>
      <c r="F261" s="37"/>
      <c r="G261" s="3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2:21" ht="15.75" customHeight="1" x14ac:dyDescent="0.2">
      <c r="B262" s="2"/>
      <c r="C262" s="37"/>
      <c r="D262" s="37"/>
      <c r="E262" s="37"/>
      <c r="F262" s="37"/>
      <c r="G262" s="3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2:21" ht="15.75" customHeight="1" x14ac:dyDescent="0.2">
      <c r="B263" s="2"/>
      <c r="C263" s="37"/>
      <c r="D263" s="37"/>
      <c r="E263" s="37"/>
      <c r="F263" s="37"/>
      <c r="G263" s="3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2:21" ht="15.75" customHeight="1" x14ac:dyDescent="0.2">
      <c r="B264" s="2"/>
      <c r="C264" s="37"/>
      <c r="D264" s="37"/>
      <c r="E264" s="37"/>
      <c r="F264" s="37"/>
      <c r="G264" s="3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2:21" ht="15.75" customHeight="1" x14ac:dyDescent="0.2">
      <c r="B265" s="2"/>
      <c r="C265" s="37"/>
      <c r="D265" s="37"/>
      <c r="E265" s="37"/>
      <c r="F265" s="37"/>
      <c r="G265" s="3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2:21" ht="15.75" customHeight="1" x14ac:dyDescent="0.2">
      <c r="B266" s="2"/>
      <c r="C266" s="37"/>
      <c r="D266" s="37"/>
      <c r="E266" s="37"/>
      <c r="F266" s="37"/>
      <c r="G266" s="3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2:21" ht="15.75" customHeight="1" x14ac:dyDescent="0.2">
      <c r="B267" s="2"/>
      <c r="C267" s="37"/>
      <c r="D267" s="37"/>
      <c r="E267" s="37"/>
      <c r="F267" s="37"/>
      <c r="G267" s="3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2:21" ht="15.75" customHeight="1" x14ac:dyDescent="0.2">
      <c r="B268" s="2"/>
      <c r="C268" s="37"/>
      <c r="D268" s="37"/>
      <c r="E268" s="37"/>
      <c r="F268" s="37"/>
      <c r="G268" s="3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2:21" ht="15.75" customHeight="1" x14ac:dyDescent="0.2">
      <c r="B269" s="2"/>
      <c r="C269" s="37"/>
      <c r="D269" s="37"/>
      <c r="E269" s="37"/>
      <c r="F269" s="37"/>
      <c r="G269" s="3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2:21" ht="15.75" customHeight="1" x14ac:dyDescent="0.2">
      <c r="B270" s="2"/>
      <c r="C270" s="37"/>
      <c r="D270" s="37"/>
      <c r="E270" s="37"/>
      <c r="F270" s="37"/>
      <c r="G270" s="3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2:21" ht="15.75" customHeight="1" x14ac:dyDescent="0.2">
      <c r="B271" s="2"/>
      <c r="C271" s="37"/>
      <c r="D271" s="37"/>
      <c r="E271" s="37"/>
      <c r="F271" s="37"/>
      <c r="G271" s="3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 ht="15.75" customHeight="1" x14ac:dyDescent="0.2">
      <c r="B272" s="2"/>
      <c r="C272" s="37"/>
      <c r="D272" s="37"/>
      <c r="E272" s="37"/>
      <c r="F272" s="37"/>
      <c r="G272" s="3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 ht="15.75" customHeight="1" x14ac:dyDescent="0.2">
      <c r="B273" s="2"/>
      <c r="C273" s="37"/>
      <c r="D273" s="37"/>
      <c r="E273" s="37"/>
      <c r="F273" s="37"/>
      <c r="G273" s="3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2:21" ht="15.75" customHeight="1" x14ac:dyDescent="0.2">
      <c r="B274" s="2"/>
      <c r="C274" s="37"/>
      <c r="D274" s="37"/>
      <c r="E274" s="37"/>
      <c r="F274" s="37"/>
      <c r="G274" s="3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2:21" ht="15.75" customHeight="1" x14ac:dyDescent="0.2">
      <c r="B275" s="2"/>
      <c r="C275" s="37"/>
      <c r="D275" s="37"/>
      <c r="E275" s="37"/>
      <c r="F275" s="37"/>
      <c r="G275" s="3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2:21" ht="15.75" customHeight="1" x14ac:dyDescent="0.2">
      <c r="B276" s="2"/>
      <c r="C276" s="37"/>
      <c r="D276" s="37"/>
      <c r="E276" s="37"/>
      <c r="F276" s="37"/>
      <c r="G276" s="3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2:21" ht="15.75" customHeight="1" x14ac:dyDescent="0.2">
      <c r="B277" s="2"/>
      <c r="C277" s="37"/>
      <c r="D277" s="37"/>
      <c r="E277" s="37"/>
      <c r="F277" s="37"/>
      <c r="G277" s="3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2:21" ht="15.75" customHeight="1" x14ac:dyDescent="0.2">
      <c r="B278" s="2"/>
      <c r="C278" s="37"/>
      <c r="D278" s="37"/>
      <c r="E278" s="37"/>
      <c r="F278" s="37"/>
      <c r="G278" s="3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2:21" ht="15.75" customHeight="1" x14ac:dyDescent="0.2">
      <c r="B279" s="2"/>
      <c r="C279" s="37"/>
      <c r="D279" s="37"/>
      <c r="E279" s="37"/>
      <c r="F279" s="37"/>
      <c r="G279" s="3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2:21" ht="15.75" customHeight="1" x14ac:dyDescent="0.2">
      <c r="B280" s="2"/>
      <c r="C280" s="37"/>
      <c r="D280" s="37"/>
      <c r="E280" s="37"/>
      <c r="F280" s="37"/>
      <c r="G280" s="3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2:21" ht="15.75" customHeight="1" x14ac:dyDescent="0.2">
      <c r="B281" s="2"/>
      <c r="C281" s="37"/>
      <c r="D281" s="37"/>
      <c r="E281" s="37"/>
      <c r="F281" s="37"/>
      <c r="G281" s="3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2:21" ht="15.75" customHeight="1" x14ac:dyDescent="0.2">
      <c r="B282" s="2"/>
      <c r="C282" s="37"/>
      <c r="D282" s="37"/>
      <c r="E282" s="37"/>
      <c r="F282" s="37"/>
      <c r="G282" s="3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2:21" ht="15.75" customHeight="1" x14ac:dyDescent="0.2">
      <c r="B283" s="2"/>
      <c r="C283" s="37"/>
      <c r="D283" s="37"/>
      <c r="E283" s="37"/>
      <c r="F283" s="37"/>
      <c r="G283" s="3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2:21" ht="15.75" customHeight="1" x14ac:dyDescent="0.2">
      <c r="B284" s="2"/>
      <c r="C284" s="37"/>
      <c r="D284" s="37"/>
      <c r="E284" s="37"/>
      <c r="F284" s="37"/>
      <c r="G284" s="3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2:21" ht="15.75" customHeight="1" x14ac:dyDescent="0.2">
      <c r="B285" s="2"/>
      <c r="C285" s="37"/>
      <c r="D285" s="37"/>
      <c r="E285" s="37"/>
      <c r="F285" s="37"/>
      <c r="G285" s="3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2:21" ht="15.75" customHeight="1" x14ac:dyDescent="0.2">
      <c r="B286" s="2"/>
      <c r="C286" s="37"/>
      <c r="D286" s="37"/>
      <c r="E286" s="37"/>
      <c r="F286" s="37"/>
      <c r="G286" s="3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2:21" ht="15.75" customHeight="1" x14ac:dyDescent="0.2">
      <c r="B287" s="2"/>
      <c r="C287" s="37"/>
      <c r="D287" s="37"/>
      <c r="E287" s="37"/>
      <c r="F287" s="37"/>
      <c r="G287" s="3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2:21" ht="15.75" customHeight="1" x14ac:dyDescent="0.2">
      <c r="B288" s="2"/>
      <c r="C288" s="37"/>
      <c r="D288" s="37"/>
      <c r="E288" s="37"/>
      <c r="F288" s="37"/>
      <c r="G288" s="3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2:21" ht="15.75" customHeight="1" x14ac:dyDescent="0.2">
      <c r="B289" s="2"/>
      <c r="C289" s="37"/>
      <c r="D289" s="37"/>
      <c r="E289" s="37"/>
      <c r="F289" s="37"/>
      <c r="G289" s="3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2:21" ht="15.75" customHeight="1" x14ac:dyDescent="0.2">
      <c r="B290" s="2"/>
      <c r="C290" s="37"/>
      <c r="D290" s="37"/>
      <c r="E290" s="37"/>
      <c r="F290" s="37"/>
      <c r="G290" s="3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2:21" ht="15.75" customHeight="1" x14ac:dyDescent="0.2">
      <c r="B291" s="2"/>
      <c r="C291" s="37"/>
      <c r="D291" s="37"/>
      <c r="E291" s="37"/>
      <c r="F291" s="37"/>
      <c r="G291" s="3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2:21" ht="15.75" customHeight="1" x14ac:dyDescent="0.2">
      <c r="B292" s="2"/>
      <c r="C292" s="37"/>
      <c r="D292" s="37"/>
      <c r="E292" s="37"/>
      <c r="F292" s="37"/>
      <c r="G292" s="3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2:21" ht="15.75" customHeight="1" x14ac:dyDescent="0.2">
      <c r="B293" s="2"/>
      <c r="C293" s="37"/>
      <c r="D293" s="37"/>
      <c r="E293" s="37"/>
      <c r="F293" s="37"/>
      <c r="G293" s="3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2:21" ht="15.75" customHeight="1" x14ac:dyDescent="0.2">
      <c r="B294" s="2"/>
      <c r="C294" s="37"/>
      <c r="D294" s="37"/>
      <c r="E294" s="37"/>
      <c r="F294" s="37"/>
      <c r="G294" s="3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2:21" ht="15.75" customHeight="1" x14ac:dyDescent="0.2">
      <c r="B295" s="2"/>
      <c r="C295" s="37"/>
      <c r="D295" s="37"/>
      <c r="E295" s="37"/>
      <c r="F295" s="37"/>
      <c r="G295" s="3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2:21" ht="15.75" customHeight="1" x14ac:dyDescent="0.2">
      <c r="B296" s="2"/>
      <c r="C296" s="37"/>
      <c r="D296" s="37"/>
      <c r="E296" s="37"/>
      <c r="F296" s="37"/>
      <c r="G296" s="3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2:21" ht="15.75" customHeight="1" x14ac:dyDescent="0.2">
      <c r="B297" s="2"/>
      <c r="C297" s="37"/>
      <c r="D297" s="37"/>
      <c r="E297" s="37"/>
      <c r="F297" s="37"/>
      <c r="G297" s="3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2:21" ht="15.75" customHeight="1" x14ac:dyDescent="0.2">
      <c r="B298" s="2"/>
      <c r="C298" s="37"/>
      <c r="D298" s="37"/>
      <c r="E298" s="37"/>
      <c r="F298" s="37"/>
      <c r="G298" s="3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2:21" ht="15.75" customHeight="1" x14ac:dyDescent="0.2">
      <c r="B299" s="2"/>
      <c r="C299" s="37"/>
      <c r="D299" s="37"/>
      <c r="E299" s="37"/>
      <c r="F299" s="37"/>
      <c r="G299" s="3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2:21" ht="15.75" customHeight="1" x14ac:dyDescent="0.2">
      <c r="B300" s="2"/>
      <c r="C300" s="37"/>
      <c r="D300" s="37"/>
      <c r="E300" s="37"/>
      <c r="F300" s="37"/>
      <c r="G300" s="3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2:21" ht="15.75" customHeight="1" x14ac:dyDescent="0.2">
      <c r="B301" s="2"/>
      <c r="C301" s="37"/>
      <c r="D301" s="37"/>
      <c r="E301" s="37"/>
      <c r="F301" s="37"/>
      <c r="G301" s="3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2:21" ht="15.75" customHeight="1" x14ac:dyDescent="0.2">
      <c r="B302" s="2"/>
      <c r="C302" s="37"/>
      <c r="D302" s="37"/>
      <c r="E302" s="37"/>
      <c r="F302" s="37"/>
      <c r="G302" s="3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2:21" ht="15.75" customHeight="1" x14ac:dyDescent="0.2">
      <c r="B303" s="2"/>
      <c r="C303" s="37"/>
      <c r="D303" s="37"/>
      <c r="E303" s="37"/>
      <c r="F303" s="37"/>
      <c r="G303" s="3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2:21" ht="15.75" customHeight="1" x14ac:dyDescent="0.2">
      <c r="B304" s="2"/>
      <c r="C304" s="37"/>
      <c r="D304" s="37"/>
      <c r="E304" s="37"/>
      <c r="F304" s="37"/>
      <c r="G304" s="3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2:21" ht="15.75" customHeight="1" x14ac:dyDescent="0.2">
      <c r="B305" s="2"/>
      <c r="C305" s="37"/>
      <c r="D305" s="37"/>
      <c r="E305" s="37"/>
      <c r="F305" s="37"/>
      <c r="G305" s="3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 ht="15.75" customHeight="1" x14ac:dyDescent="0.2">
      <c r="B306" s="2"/>
      <c r="C306" s="37"/>
      <c r="D306" s="37"/>
      <c r="E306" s="37"/>
      <c r="F306" s="37"/>
      <c r="G306" s="3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 ht="15.75" customHeight="1" x14ac:dyDescent="0.2">
      <c r="B307" s="2"/>
      <c r="C307" s="37"/>
      <c r="D307" s="37"/>
      <c r="E307" s="37"/>
      <c r="F307" s="37"/>
      <c r="G307" s="3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2:21" ht="15.75" customHeight="1" x14ac:dyDescent="0.2">
      <c r="B308" s="2"/>
      <c r="C308" s="37"/>
      <c r="D308" s="37"/>
      <c r="E308" s="37"/>
      <c r="F308" s="37"/>
      <c r="G308" s="3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2:21" ht="15.75" customHeight="1" x14ac:dyDescent="0.2">
      <c r="B309" s="2"/>
      <c r="C309" s="37"/>
      <c r="D309" s="37"/>
      <c r="E309" s="37"/>
      <c r="F309" s="37"/>
      <c r="G309" s="3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2:21" ht="15.75" customHeight="1" x14ac:dyDescent="0.2">
      <c r="B310" s="2"/>
      <c r="C310" s="37"/>
      <c r="D310" s="37"/>
      <c r="E310" s="37"/>
      <c r="F310" s="37"/>
      <c r="G310" s="3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2:21" ht="15.75" customHeight="1" x14ac:dyDescent="0.2">
      <c r="B311" s="2"/>
      <c r="C311" s="37"/>
      <c r="D311" s="37"/>
      <c r="E311" s="37"/>
      <c r="F311" s="37"/>
      <c r="G311" s="3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2:21" ht="15.75" customHeight="1" x14ac:dyDescent="0.2">
      <c r="B312" s="2"/>
      <c r="C312" s="37"/>
      <c r="D312" s="37"/>
      <c r="E312" s="37"/>
      <c r="F312" s="37"/>
      <c r="G312" s="3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2:21" ht="15.75" customHeight="1" x14ac:dyDescent="0.2">
      <c r="B313" s="2"/>
      <c r="C313" s="37"/>
      <c r="D313" s="37"/>
      <c r="E313" s="37"/>
      <c r="F313" s="37"/>
      <c r="G313" s="3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2:21" ht="15.75" customHeight="1" x14ac:dyDescent="0.2">
      <c r="B314" s="2"/>
      <c r="C314" s="37"/>
      <c r="D314" s="37"/>
      <c r="E314" s="37"/>
      <c r="F314" s="37"/>
      <c r="G314" s="3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2:21" ht="15.75" customHeight="1" x14ac:dyDescent="0.2">
      <c r="B315" s="2"/>
      <c r="C315" s="37"/>
      <c r="D315" s="37"/>
      <c r="E315" s="37"/>
      <c r="F315" s="37"/>
      <c r="G315" s="3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2:21" ht="15.75" customHeight="1" x14ac:dyDescent="0.2">
      <c r="B316" s="2"/>
      <c r="C316" s="37"/>
      <c r="D316" s="37"/>
      <c r="E316" s="37"/>
      <c r="F316" s="37"/>
      <c r="G316" s="3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2:21" ht="15.75" customHeight="1" x14ac:dyDescent="0.2">
      <c r="B317" s="2"/>
      <c r="C317" s="37"/>
      <c r="D317" s="37"/>
      <c r="E317" s="37"/>
      <c r="F317" s="37"/>
      <c r="G317" s="3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2:21" ht="15.75" customHeight="1" x14ac:dyDescent="0.2">
      <c r="B318" s="2"/>
      <c r="C318" s="37"/>
      <c r="D318" s="37"/>
      <c r="E318" s="37"/>
      <c r="F318" s="37"/>
      <c r="G318" s="3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2:21" ht="15.75" customHeight="1" x14ac:dyDescent="0.2">
      <c r="B319" s="2"/>
      <c r="C319" s="37"/>
      <c r="D319" s="37"/>
      <c r="E319" s="37"/>
      <c r="F319" s="37"/>
      <c r="G319" s="3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2:21" ht="15.75" customHeight="1" x14ac:dyDescent="0.2">
      <c r="B320" s="2"/>
      <c r="C320" s="37"/>
      <c r="D320" s="37"/>
      <c r="E320" s="37"/>
      <c r="F320" s="37"/>
      <c r="G320" s="3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2:21" ht="15.75" customHeight="1" x14ac:dyDescent="0.2">
      <c r="B321" s="2"/>
      <c r="C321" s="37"/>
      <c r="D321" s="37"/>
      <c r="E321" s="37"/>
      <c r="F321" s="37"/>
      <c r="G321" s="3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2:21" ht="15.75" customHeight="1" x14ac:dyDescent="0.2">
      <c r="B322" s="2"/>
      <c r="C322" s="37"/>
      <c r="D322" s="37"/>
      <c r="E322" s="37"/>
      <c r="F322" s="37"/>
      <c r="G322" s="3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2:21" ht="15.75" customHeight="1" x14ac:dyDescent="0.2">
      <c r="B323" s="2"/>
      <c r="C323" s="37"/>
      <c r="D323" s="37"/>
      <c r="E323" s="37"/>
      <c r="F323" s="37"/>
      <c r="G323" s="3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2:21" ht="15.75" customHeight="1" x14ac:dyDescent="0.2">
      <c r="B324" s="2"/>
      <c r="C324" s="37"/>
      <c r="D324" s="37"/>
      <c r="E324" s="37"/>
      <c r="F324" s="37"/>
      <c r="G324" s="3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2:21" ht="15.75" customHeight="1" x14ac:dyDescent="0.2">
      <c r="B325" s="2"/>
      <c r="C325" s="37"/>
      <c r="D325" s="37"/>
      <c r="E325" s="37"/>
      <c r="F325" s="37"/>
      <c r="G325" s="3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2:21" ht="15.75" customHeight="1" x14ac:dyDescent="0.2">
      <c r="B326" s="2"/>
      <c r="C326" s="37"/>
      <c r="D326" s="37"/>
      <c r="E326" s="37"/>
      <c r="F326" s="37"/>
      <c r="G326" s="3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2:21" ht="15.75" customHeight="1" x14ac:dyDescent="0.2">
      <c r="B327" s="2"/>
      <c r="C327" s="37"/>
      <c r="D327" s="37"/>
      <c r="E327" s="37"/>
      <c r="F327" s="37"/>
      <c r="G327" s="3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2:21" ht="15.75" customHeight="1" x14ac:dyDescent="0.2">
      <c r="B328" s="2"/>
      <c r="C328" s="37"/>
      <c r="D328" s="37"/>
      <c r="E328" s="37"/>
      <c r="F328" s="37"/>
      <c r="G328" s="3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2:21" ht="15.75" customHeight="1" x14ac:dyDescent="0.2">
      <c r="B329" s="2"/>
      <c r="C329" s="37"/>
      <c r="D329" s="37"/>
      <c r="E329" s="37"/>
      <c r="F329" s="37"/>
      <c r="G329" s="3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2:21" ht="15.75" customHeight="1" x14ac:dyDescent="0.2">
      <c r="B330" s="2"/>
      <c r="C330" s="37"/>
      <c r="D330" s="37"/>
      <c r="E330" s="37"/>
      <c r="F330" s="37"/>
      <c r="G330" s="3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2:21" ht="15.75" customHeight="1" x14ac:dyDescent="0.2">
      <c r="B331" s="2"/>
      <c r="C331" s="37"/>
      <c r="D331" s="37"/>
      <c r="E331" s="37"/>
      <c r="F331" s="37"/>
      <c r="G331" s="3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2:21" ht="15.75" customHeight="1" x14ac:dyDescent="0.2">
      <c r="B332" s="2"/>
      <c r="C332" s="37"/>
      <c r="D332" s="37"/>
      <c r="E332" s="37"/>
      <c r="F332" s="37"/>
      <c r="G332" s="3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2:21" ht="15.75" customHeight="1" x14ac:dyDescent="0.2">
      <c r="B333" s="2"/>
      <c r="C333" s="37"/>
      <c r="D333" s="37"/>
      <c r="E333" s="37"/>
      <c r="F333" s="37"/>
      <c r="G333" s="3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2:21" ht="15.75" customHeight="1" x14ac:dyDescent="0.2">
      <c r="B334" s="2"/>
      <c r="C334" s="37"/>
      <c r="D334" s="37"/>
      <c r="E334" s="37"/>
      <c r="F334" s="37"/>
      <c r="G334" s="3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2:21" ht="15.75" customHeight="1" x14ac:dyDescent="0.2">
      <c r="B335" s="2"/>
      <c r="C335" s="37"/>
      <c r="D335" s="37"/>
      <c r="E335" s="37"/>
      <c r="F335" s="37"/>
      <c r="G335" s="3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2:21" ht="15.75" customHeight="1" x14ac:dyDescent="0.2">
      <c r="B336" s="2"/>
      <c r="C336" s="37"/>
      <c r="D336" s="37"/>
      <c r="E336" s="37"/>
      <c r="F336" s="37"/>
      <c r="G336" s="3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2:21" ht="15.75" customHeight="1" x14ac:dyDescent="0.2">
      <c r="B337" s="2"/>
      <c r="C337" s="37"/>
      <c r="D337" s="37"/>
      <c r="E337" s="37"/>
      <c r="F337" s="37"/>
      <c r="G337" s="3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2:21" ht="15.75" customHeight="1" x14ac:dyDescent="0.2">
      <c r="B338" s="2"/>
      <c r="C338" s="37"/>
      <c r="D338" s="37"/>
      <c r="E338" s="37"/>
      <c r="F338" s="37"/>
      <c r="G338" s="3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2:21" ht="15.75" customHeight="1" x14ac:dyDescent="0.2">
      <c r="B339" s="2"/>
      <c r="C339" s="37"/>
      <c r="D339" s="37"/>
      <c r="E339" s="37"/>
      <c r="F339" s="37"/>
      <c r="G339" s="3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 ht="15.75" customHeight="1" x14ac:dyDescent="0.2">
      <c r="B340" s="2"/>
      <c r="C340" s="37"/>
      <c r="D340" s="37"/>
      <c r="E340" s="37"/>
      <c r="F340" s="37"/>
      <c r="G340" s="3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 ht="15.75" customHeight="1" x14ac:dyDescent="0.2">
      <c r="B341" s="2"/>
      <c r="C341" s="37"/>
      <c r="D341" s="37"/>
      <c r="E341" s="37"/>
      <c r="F341" s="37"/>
      <c r="G341" s="3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2:21" ht="15.75" customHeight="1" x14ac:dyDescent="0.2">
      <c r="B342" s="2"/>
      <c r="C342" s="37"/>
      <c r="D342" s="37"/>
      <c r="E342" s="37"/>
      <c r="F342" s="37"/>
      <c r="G342" s="3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2:21" ht="15.75" customHeight="1" x14ac:dyDescent="0.2">
      <c r="B343" s="2"/>
      <c r="C343" s="37"/>
      <c r="D343" s="37"/>
      <c r="E343" s="37"/>
      <c r="F343" s="37"/>
      <c r="G343" s="3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2:21" ht="15.75" customHeight="1" x14ac:dyDescent="0.2">
      <c r="B344" s="2"/>
      <c r="C344" s="37"/>
      <c r="D344" s="37"/>
      <c r="E344" s="37"/>
      <c r="F344" s="37"/>
      <c r="G344" s="3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2:21" ht="15.75" customHeight="1" x14ac:dyDescent="0.2">
      <c r="B345" s="2"/>
      <c r="C345" s="37"/>
      <c r="D345" s="37"/>
      <c r="E345" s="37"/>
      <c r="F345" s="37"/>
      <c r="G345" s="3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2:21" ht="15.75" customHeight="1" x14ac:dyDescent="0.2">
      <c r="B346" s="2"/>
      <c r="C346" s="37"/>
      <c r="D346" s="37"/>
      <c r="E346" s="37"/>
      <c r="F346" s="37"/>
      <c r="G346" s="3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2:21" ht="15.75" customHeight="1" x14ac:dyDescent="0.2">
      <c r="B347" s="2"/>
      <c r="C347" s="37"/>
      <c r="D347" s="37"/>
      <c r="E347" s="37"/>
      <c r="F347" s="37"/>
      <c r="G347" s="3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2:21" ht="15.75" customHeight="1" x14ac:dyDescent="0.2">
      <c r="B348" s="2"/>
      <c r="C348" s="37"/>
      <c r="D348" s="37"/>
      <c r="E348" s="37"/>
      <c r="F348" s="37"/>
      <c r="G348" s="3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2:21" ht="15.75" customHeight="1" x14ac:dyDescent="0.2">
      <c r="B349" s="2"/>
      <c r="C349" s="37"/>
      <c r="D349" s="37"/>
      <c r="E349" s="37"/>
      <c r="F349" s="37"/>
      <c r="G349" s="3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2:21" ht="15.75" customHeight="1" x14ac:dyDescent="0.2">
      <c r="B350" s="2"/>
      <c r="C350" s="37"/>
      <c r="D350" s="37"/>
      <c r="E350" s="37"/>
      <c r="F350" s="37"/>
      <c r="G350" s="3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2:21" ht="15.75" customHeight="1" x14ac:dyDescent="0.2">
      <c r="B351" s="2"/>
      <c r="C351" s="37"/>
      <c r="D351" s="37"/>
      <c r="E351" s="37"/>
      <c r="F351" s="37"/>
      <c r="G351" s="3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2:21" ht="15.75" customHeight="1" x14ac:dyDescent="0.2">
      <c r="B352" s="2"/>
      <c r="C352" s="37"/>
      <c r="D352" s="37"/>
      <c r="E352" s="37"/>
      <c r="F352" s="37"/>
      <c r="G352" s="3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2:21" ht="15.75" customHeight="1" x14ac:dyDescent="0.2">
      <c r="B353" s="2"/>
      <c r="C353" s="37"/>
      <c r="D353" s="37"/>
      <c r="E353" s="37"/>
      <c r="F353" s="37"/>
      <c r="G353" s="3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2:21" ht="15.75" customHeight="1" x14ac:dyDescent="0.2">
      <c r="B354" s="2"/>
      <c r="C354" s="37"/>
      <c r="D354" s="37"/>
      <c r="E354" s="37"/>
      <c r="F354" s="37"/>
      <c r="G354" s="3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2:21" ht="15.75" customHeight="1" x14ac:dyDescent="0.2">
      <c r="B355" s="2"/>
      <c r="C355" s="37"/>
      <c r="D355" s="37"/>
      <c r="E355" s="37"/>
      <c r="F355" s="37"/>
      <c r="G355" s="3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2:21" ht="15.75" customHeight="1" x14ac:dyDescent="0.2">
      <c r="B356" s="2"/>
      <c r="C356" s="37"/>
      <c r="D356" s="37"/>
      <c r="E356" s="37"/>
      <c r="F356" s="37"/>
      <c r="G356" s="3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2:21" ht="15.75" customHeight="1" x14ac:dyDescent="0.2">
      <c r="B357" s="2"/>
      <c r="C357" s="37"/>
      <c r="D357" s="37"/>
      <c r="E357" s="37"/>
      <c r="F357" s="37"/>
      <c r="G357" s="3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2:21" ht="15.75" customHeight="1" x14ac:dyDescent="0.2">
      <c r="B358" s="2"/>
      <c r="C358" s="37"/>
      <c r="D358" s="37"/>
      <c r="E358" s="37"/>
      <c r="F358" s="37"/>
      <c r="G358" s="3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2:21" ht="15.75" customHeight="1" x14ac:dyDescent="0.2">
      <c r="B359" s="2"/>
      <c r="C359" s="37"/>
      <c r="D359" s="37"/>
      <c r="E359" s="37"/>
      <c r="F359" s="37"/>
      <c r="G359" s="3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2:21" ht="15.75" customHeight="1" x14ac:dyDescent="0.2">
      <c r="B360" s="2"/>
      <c r="C360" s="37"/>
      <c r="D360" s="37"/>
      <c r="E360" s="37"/>
      <c r="F360" s="37"/>
      <c r="G360" s="3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2:21" ht="15.75" customHeight="1" x14ac:dyDescent="0.2">
      <c r="B361" s="2"/>
      <c r="C361" s="37"/>
      <c r="D361" s="37"/>
      <c r="E361" s="37"/>
      <c r="F361" s="37"/>
      <c r="G361" s="3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2:21" ht="15.75" customHeight="1" x14ac:dyDescent="0.2">
      <c r="B362" s="2"/>
      <c r="C362" s="37"/>
      <c r="D362" s="37"/>
      <c r="E362" s="37"/>
      <c r="F362" s="37"/>
      <c r="G362" s="3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2:21" ht="15.75" customHeight="1" x14ac:dyDescent="0.2">
      <c r="B363" s="2"/>
      <c r="C363" s="37"/>
      <c r="D363" s="37"/>
      <c r="E363" s="37"/>
      <c r="F363" s="37"/>
      <c r="G363" s="3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2:21" ht="15.75" customHeight="1" x14ac:dyDescent="0.2">
      <c r="B364" s="2"/>
      <c r="C364" s="37"/>
      <c r="D364" s="37"/>
      <c r="E364" s="37"/>
      <c r="F364" s="37"/>
      <c r="G364" s="3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2:21" ht="15.75" customHeight="1" x14ac:dyDescent="0.2">
      <c r="B365" s="2"/>
      <c r="C365" s="37"/>
      <c r="D365" s="37"/>
      <c r="E365" s="37"/>
      <c r="F365" s="37"/>
      <c r="G365" s="3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2:21" ht="15.75" customHeight="1" x14ac:dyDescent="0.2">
      <c r="B366" s="2"/>
      <c r="C366" s="37"/>
      <c r="D366" s="37"/>
      <c r="E366" s="37"/>
      <c r="F366" s="37"/>
      <c r="G366" s="3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2:21" ht="15.75" customHeight="1" x14ac:dyDescent="0.2">
      <c r="B367" s="2"/>
      <c r="C367" s="37"/>
      <c r="D367" s="37"/>
      <c r="E367" s="37"/>
      <c r="F367" s="37"/>
      <c r="G367" s="3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2:21" ht="15.75" customHeight="1" x14ac:dyDescent="0.2">
      <c r="B368" s="2"/>
      <c r="C368" s="37"/>
      <c r="D368" s="37"/>
      <c r="E368" s="37"/>
      <c r="F368" s="37"/>
      <c r="G368" s="3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2:21" ht="15.75" customHeight="1" x14ac:dyDescent="0.2">
      <c r="B369" s="2"/>
      <c r="C369" s="37"/>
      <c r="D369" s="37"/>
      <c r="E369" s="37"/>
      <c r="F369" s="37"/>
      <c r="G369" s="3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2:21" ht="15.75" customHeight="1" x14ac:dyDescent="0.2">
      <c r="B370" s="2"/>
      <c r="C370" s="37"/>
      <c r="D370" s="37"/>
      <c r="E370" s="37"/>
      <c r="F370" s="37"/>
      <c r="G370" s="3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2:21" ht="15.75" customHeight="1" x14ac:dyDescent="0.2">
      <c r="B371" s="2"/>
      <c r="C371" s="37"/>
      <c r="D371" s="37"/>
      <c r="E371" s="37"/>
      <c r="F371" s="37"/>
      <c r="G371" s="3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2:21" ht="15.75" customHeight="1" x14ac:dyDescent="0.2">
      <c r="B372" s="2"/>
      <c r="C372" s="37"/>
      <c r="D372" s="37"/>
      <c r="E372" s="37"/>
      <c r="F372" s="37"/>
      <c r="G372" s="3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2:21" ht="15.75" customHeight="1" x14ac:dyDescent="0.2">
      <c r="B373" s="2"/>
      <c r="C373" s="37"/>
      <c r="D373" s="37"/>
      <c r="E373" s="37"/>
      <c r="F373" s="37"/>
      <c r="G373" s="3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 ht="15.75" customHeight="1" x14ac:dyDescent="0.2">
      <c r="B374" s="2"/>
      <c r="C374" s="37"/>
      <c r="D374" s="37"/>
      <c r="E374" s="37"/>
      <c r="F374" s="37"/>
      <c r="G374" s="3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 ht="15.75" customHeight="1" x14ac:dyDescent="0.2">
      <c r="B375" s="2"/>
      <c r="C375" s="37"/>
      <c r="D375" s="37"/>
      <c r="E375" s="37"/>
      <c r="F375" s="37"/>
      <c r="G375" s="3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2:21" ht="15.75" customHeight="1" x14ac:dyDescent="0.2">
      <c r="B376" s="2"/>
      <c r="C376" s="37"/>
      <c r="D376" s="37"/>
      <c r="E376" s="37"/>
      <c r="F376" s="37"/>
      <c r="G376" s="3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2:21" ht="15.75" customHeight="1" x14ac:dyDescent="0.2">
      <c r="B377" s="2"/>
      <c r="C377" s="37"/>
      <c r="D377" s="37"/>
      <c r="E377" s="37"/>
      <c r="F377" s="37"/>
      <c r="G377" s="3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2:21" ht="15.75" customHeight="1" x14ac:dyDescent="0.2">
      <c r="B378" s="2"/>
      <c r="C378" s="37"/>
      <c r="D378" s="37"/>
      <c r="E378" s="37"/>
      <c r="F378" s="37"/>
      <c r="G378" s="3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2:21" ht="15.75" customHeight="1" x14ac:dyDescent="0.2">
      <c r="B379" s="2"/>
      <c r="C379" s="37"/>
      <c r="D379" s="37"/>
      <c r="E379" s="37"/>
      <c r="F379" s="37"/>
      <c r="G379" s="3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2:21" ht="15.75" customHeight="1" x14ac:dyDescent="0.2">
      <c r="B380" s="2"/>
      <c r="C380" s="37"/>
      <c r="D380" s="37"/>
      <c r="E380" s="37"/>
      <c r="F380" s="37"/>
      <c r="G380" s="3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2:21" ht="15.75" customHeight="1" x14ac:dyDescent="0.2">
      <c r="B381" s="2"/>
      <c r="C381" s="37"/>
      <c r="D381" s="37"/>
      <c r="E381" s="37"/>
      <c r="F381" s="37"/>
      <c r="G381" s="3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2:21" ht="15.75" customHeight="1" x14ac:dyDescent="0.2">
      <c r="B382" s="2"/>
      <c r="C382" s="37"/>
      <c r="D382" s="37"/>
      <c r="E382" s="37"/>
      <c r="F382" s="37"/>
      <c r="G382" s="3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2:21" ht="15.75" customHeight="1" x14ac:dyDescent="0.2">
      <c r="B383" s="2"/>
      <c r="C383" s="37"/>
      <c r="D383" s="37"/>
      <c r="E383" s="37"/>
      <c r="F383" s="37"/>
      <c r="G383" s="3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2:21" ht="15.75" customHeight="1" x14ac:dyDescent="0.2">
      <c r="B384" s="2"/>
      <c r="C384" s="37"/>
      <c r="D384" s="37"/>
      <c r="E384" s="37"/>
      <c r="F384" s="37"/>
      <c r="G384" s="3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2:21" ht="15.75" customHeight="1" x14ac:dyDescent="0.2">
      <c r="B385" s="2"/>
      <c r="C385" s="37"/>
      <c r="D385" s="37"/>
      <c r="E385" s="37"/>
      <c r="F385" s="37"/>
      <c r="G385" s="3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2:21" ht="15.75" customHeight="1" x14ac:dyDescent="0.2">
      <c r="B386" s="2"/>
      <c r="C386" s="37"/>
      <c r="D386" s="37"/>
      <c r="E386" s="37"/>
      <c r="F386" s="37"/>
      <c r="G386" s="3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2:21" ht="15.75" customHeight="1" x14ac:dyDescent="0.2">
      <c r="B387" s="2"/>
      <c r="C387" s="37"/>
      <c r="D387" s="37"/>
      <c r="E387" s="37"/>
      <c r="F387" s="37"/>
      <c r="G387" s="3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2:21" ht="15.75" customHeight="1" x14ac:dyDescent="0.2">
      <c r="B388" s="2"/>
      <c r="C388" s="37"/>
      <c r="D388" s="37"/>
      <c r="E388" s="37"/>
      <c r="F388" s="37"/>
      <c r="G388" s="3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2:21" ht="15.75" customHeight="1" x14ac:dyDescent="0.2">
      <c r="B389" s="2"/>
      <c r="C389" s="37"/>
      <c r="D389" s="37"/>
      <c r="E389" s="37"/>
      <c r="F389" s="37"/>
      <c r="G389" s="3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2:21" ht="15.75" customHeight="1" x14ac:dyDescent="0.2">
      <c r="B390" s="2"/>
      <c r="C390" s="37"/>
      <c r="D390" s="37"/>
      <c r="E390" s="37"/>
      <c r="F390" s="37"/>
      <c r="G390" s="3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2:21" ht="15.75" customHeight="1" x14ac:dyDescent="0.2">
      <c r="B391" s="2"/>
      <c r="C391" s="37"/>
      <c r="D391" s="37"/>
      <c r="E391" s="37"/>
      <c r="F391" s="37"/>
      <c r="G391" s="3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2:21" ht="15.75" customHeight="1" x14ac:dyDescent="0.2">
      <c r="B392" s="2"/>
      <c r="C392" s="37"/>
      <c r="D392" s="37"/>
      <c r="E392" s="37"/>
      <c r="F392" s="37"/>
      <c r="G392" s="3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2:21" ht="15.75" customHeight="1" x14ac:dyDescent="0.2">
      <c r="B393" s="2"/>
      <c r="C393" s="37"/>
      <c r="D393" s="37"/>
      <c r="E393" s="37"/>
      <c r="F393" s="37"/>
      <c r="G393" s="3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2:21" ht="15.75" customHeight="1" x14ac:dyDescent="0.2">
      <c r="B394" s="2"/>
      <c r="C394" s="37"/>
      <c r="D394" s="37"/>
      <c r="E394" s="37"/>
      <c r="F394" s="37"/>
      <c r="G394" s="3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2:21" ht="15.75" customHeight="1" x14ac:dyDescent="0.2">
      <c r="B395" s="2"/>
      <c r="C395" s="37"/>
      <c r="D395" s="37"/>
      <c r="E395" s="37"/>
      <c r="F395" s="37"/>
      <c r="G395" s="3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2:21" ht="15.75" customHeight="1" x14ac:dyDescent="0.2">
      <c r="B396" s="2"/>
      <c r="C396" s="37"/>
      <c r="D396" s="37"/>
      <c r="E396" s="37"/>
      <c r="F396" s="37"/>
      <c r="G396" s="3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2:21" ht="15.75" customHeight="1" x14ac:dyDescent="0.2">
      <c r="B397" s="2"/>
      <c r="C397" s="37"/>
      <c r="D397" s="37"/>
      <c r="E397" s="37"/>
      <c r="F397" s="37"/>
      <c r="G397" s="3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2:21" ht="15.75" customHeight="1" x14ac:dyDescent="0.2">
      <c r="B398" s="2"/>
      <c r="C398" s="37"/>
      <c r="D398" s="37"/>
      <c r="E398" s="37"/>
      <c r="F398" s="37"/>
      <c r="G398" s="3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2:21" ht="15.75" customHeight="1" x14ac:dyDescent="0.2">
      <c r="B399" s="2"/>
      <c r="C399" s="37"/>
      <c r="D399" s="37"/>
      <c r="E399" s="37"/>
      <c r="F399" s="37"/>
      <c r="G399" s="3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2:21" ht="15.75" customHeight="1" x14ac:dyDescent="0.2">
      <c r="B400" s="2"/>
      <c r="C400" s="37"/>
      <c r="D400" s="37"/>
      <c r="E400" s="37"/>
      <c r="F400" s="37"/>
      <c r="G400" s="3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2:21" ht="15.75" customHeight="1" x14ac:dyDescent="0.2">
      <c r="B401" s="2"/>
      <c r="C401" s="37"/>
      <c r="D401" s="37"/>
      <c r="E401" s="37"/>
      <c r="F401" s="37"/>
      <c r="G401" s="3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2:21" ht="15.75" customHeight="1" x14ac:dyDescent="0.2">
      <c r="B402" s="2"/>
      <c r="C402" s="37"/>
      <c r="D402" s="37"/>
      <c r="E402" s="37"/>
      <c r="F402" s="37"/>
      <c r="G402" s="3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2:21" ht="15.75" customHeight="1" x14ac:dyDescent="0.2">
      <c r="B403" s="2"/>
      <c r="C403" s="37"/>
      <c r="D403" s="37"/>
      <c r="E403" s="37"/>
      <c r="F403" s="37"/>
      <c r="G403" s="3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2:21" ht="15.75" customHeight="1" x14ac:dyDescent="0.2">
      <c r="B404" s="2"/>
      <c r="C404" s="37"/>
      <c r="D404" s="37"/>
      <c r="E404" s="37"/>
      <c r="F404" s="37"/>
      <c r="G404" s="3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2:21" ht="15.75" customHeight="1" x14ac:dyDescent="0.2">
      <c r="B405" s="2"/>
      <c r="C405" s="37"/>
      <c r="D405" s="37"/>
      <c r="E405" s="37"/>
      <c r="F405" s="37"/>
      <c r="G405" s="3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2:21" ht="15.75" customHeight="1" x14ac:dyDescent="0.2">
      <c r="B406" s="2"/>
      <c r="C406" s="37"/>
      <c r="D406" s="37"/>
      <c r="E406" s="37"/>
      <c r="F406" s="37"/>
      <c r="G406" s="3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2:21" ht="15.75" customHeight="1" x14ac:dyDescent="0.2">
      <c r="B407" s="2"/>
      <c r="C407" s="37"/>
      <c r="D407" s="37"/>
      <c r="E407" s="37"/>
      <c r="F407" s="37"/>
      <c r="G407" s="3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 ht="15.75" customHeight="1" x14ac:dyDescent="0.2">
      <c r="B408" s="2"/>
      <c r="C408" s="37"/>
      <c r="D408" s="37"/>
      <c r="E408" s="37"/>
      <c r="F408" s="37"/>
      <c r="G408" s="3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2:21" ht="15.75" customHeight="1" x14ac:dyDescent="0.2">
      <c r="B409" s="2"/>
      <c r="C409" s="37"/>
      <c r="D409" s="37"/>
      <c r="E409" s="37"/>
      <c r="F409" s="37"/>
      <c r="G409" s="3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2:21" ht="15.75" customHeight="1" x14ac:dyDescent="0.2">
      <c r="B410" s="2"/>
      <c r="C410" s="37"/>
      <c r="D410" s="37"/>
      <c r="E410" s="37"/>
      <c r="F410" s="37"/>
      <c r="G410" s="3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2:21" ht="15.75" customHeight="1" x14ac:dyDescent="0.2">
      <c r="B411" s="2"/>
      <c r="C411" s="37"/>
      <c r="D411" s="37"/>
      <c r="E411" s="37"/>
      <c r="F411" s="37"/>
      <c r="G411" s="3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2:21" ht="15.75" customHeight="1" x14ac:dyDescent="0.2">
      <c r="B412" s="2"/>
      <c r="C412" s="37"/>
      <c r="D412" s="37"/>
      <c r="E412" s="37"/>
      <c r="F412" s="37"/>
      <c r="G412" s="3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2:21" ht="15.75" customHeight="1" x14ac:dyDescent="0.2">
      <c r="B413" s="2"/>
      <c r="C413" s="37"/>
      <c r="D413" s="37"/>
      <c r="E413" s="37"/>
      <c r="F413" s="37"/>
      <c r="G413" s="3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2:21" ht="15.75" customHeight="1" x14ac:dyDescent="0.2">
      <c r="B414" s="2"/>
      <c r="C414" s="37"/>
      <c r="D414" s="37"/>
      <c r="E414" s="37"/>
      <c r="F414" s="37"/>
      <c r="G414" s="3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2:21" ht="15.75" customHeight="1" x14ac:dyDescent="0.2">
      <c r="B415" s="2"/>
      <c r="C415" s="37"/>
      <c r="D415" s="37"/>
      <c r="E415" s="37"/>
      <c r="F415" s="37"/>
      <c r="G415" s="3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2:21" ht="15.75" customHeight="1" x14ac:dyDescent="0.2">
      <c r="B416" s="2"/>
      <c r="C416" s="37"/>
      <c r="D416" s="37"/>
      <c r="E416" s="37"/>
      <c r="F416" s="37"/>
      <c r="G416" s="3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2:21" ht="15.75" customHeight="1" x14ac:dyDescent="0.2">
      <c r="B417" s="2"/>
      <c r="C417" s="37"/>
      <c r="D417" s="37"/>
      <c r="E417" s="37"/>
      <c r="F417" s="37"/>
      <c r="G417" s="3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2:21" ht="15.75" customHeight="1" x14ac:dyDescent="0.2">
      <c r="B418" s="2"/>
      <c r="C418" s="37"/>
      <c r="D418" s="37"/>
      <c r="E418" s="37"/>
      <c r="F418" s="37"/>
      <c r="G418" s="3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2:21" ht="15.75" customHeight="1" x14ac:dyDescent="0.2">
      <c r="B419" s="2"/>
      <c r="C419" s="37"/>
      <c r="D419" s="37"/>
      <c r="E419" s="37"/>
      <c r="F419" s="37"/>
      <c r="G419" s="3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2:21" ht="15.75" customHeight="1" x14ac:dyDescent="0.2">
      <c r="B420" s="2"/>
      <c r="C420" s="37"/>
      <c r="D420" s="37"/>
      <c r="E420" s="37"/>
      <c r="F420" s="37"/>
      <c r="G420" s="3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2:21" ht="15.75" customHeight="1" x14ac:dyDescent="0.2">
      <c r="B421" s="2"/>
      <c r="C421" s="37"/>
      <c r="D421" s="37"/>
      <c r="E421" s="37"/>
      <c r="F421" s="37"/>
      <c r="G421" s="3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2:21" ht="15.75" customHeight="1" x14ac:dyDescent="0.2">
      <c r="B422" s="2"/>
      <c r="C422" s="37"/>
      <c r="D422" s="37"/>
      <c r="E422" s="37"/>
      <c r="F422" s="37"/>
      <c r="G422" s="3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2:21" ht="15.75" customHeight="1" x14ac:dyDescent="0.2">
      <c r="B423" s="2"/>
      <c r="C423" s="37"/>
      <c r="D423" s="37"/>
      <c r="E423" s="37"/>
      <c r="F423" s="37"/>
      <c r="G423" s="3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2:21" ht="15.75" customHeight="1" x14ac:dyDescent="0.2">
      <c r="B424" s="2"/>
      <c r="C424" s="37"/>
      <c r="D424" s="37"/>
      <c r="E424" s="37"/>
      <c r="F424" s="37"/>
      <c r="G424" s="3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2:21" ht="15.75" customHeight="1" x14ac:dyDescent="0.2">
      <c r="B425" s="2"/>
      <c r="C425" s="37"/>
      <c r="D425" s="37"/>
      <c r="E425" s="37"/>
      <c r="F425" s="37"/>
      <c r="G425" s="3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2:21" ht="15.75" customHeight="1" x14ac:dyDescent="0.2">
      <c r="B426" s="2"/>
      <c r="C426" s="37"/>
      <c r="D426" s="37"/>
      <c r="E426" s="37"/>
      <c r="F426" s="37"/>
      <c r="G426" s="3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2:21" ht="15.75" customHeight="1" x14ac:dyDescent="0.2">
      <c r="B427" s="2"/>
      <c r="C427" s="37"/>
      <c r="D427" s="37"/>
      <c r="E427" s="37"/>
      <c r="F427" s="37"/>
      <c r="G427" s="3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2:21" ht="15.75" customHeight="1" x14ac:dyDescent="0.2">
      <c r="B428" s="2"/>
      <c r="C428" s="37"/>
      <c r="D428" s="37"/>
      <c r="E428" s="37"/>
      <c r="F428" s="37"/>
      <c r="G428" s="3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2:21" ht="15.75" customHeight="1" x14ac:dyDescent="0.2">
      <c r="B429" s="2"/>
      <c r="C429" s="37"/>
      <c r="D429" s="37"/>
      <c r="E429" s="37"/>
      <c r="F429" s="37"/>
      <c r="G429" s="3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2:21" ht="15.75" customHeight="1" x14ac:dyDescent="0.2">
      <c r="B430" s="2"/>
      <c r="C430" s="37"/>
      <c r="D430" s="37"/>
      <c r="E430" s="37"/>
      <c r="F430" s="37"/>
      <c r="G430" s="3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2:21" ht="15.75" customHeight="1" x14ac:dyDescent="0.2">
      <c r="B431" s="2"/>
      <c r="C431" s="37"/>
      <c r="D431" s="37"/>
      <c r="E431" s="37"/>
      <c r="F431" s="37"/>
      <c r="G431" s="3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2:21" ht="15.75" customHeight="1" x14ac:dyDescent="0.2">
      <c r="B432" s="2"/>
      <c r="C432" s="37"/>
      <c r="D432" s="37"/>
      <c r="E432" s="37"/>
      <c r="F432" s="37"/>
      <c r="G432" s="3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2:21" ht="15.75" customHeight="1" x14ac:dyDescent="0.2">
      <c r="B433" s="2"/>
      <c r="C433" s="37"/>
      <c r="D433" s="37"/>
      <c r="E433" s="37"/>
      <c r="F433" s="37"/>
      <c r="G433" s="3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2:21" ht="15.75" customHeight="1" x14ac:dyDescent="0.2">
      <c r="B434" s="2"/>
      <c r="C434" s="37"/>
      <c r="D434" s="37"/>
      <c r="E434" s="37"/>
      <c r="F434" s="37"/>
      <c r="G434" s="3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2:21" ht="15.75" customHeight="1" x14ac:dyDescent="0.2">
      <c r="B435" s="2"/>
      <c r="C435" s="37"/>
      <c r="D435" s="37"/>
      <c r="E435" s="37"/>
      <c r="F435" s="37"/>
      <c r="G435" s="3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2:21" ht="15.75" customHeight="1" x14ac:dyDescent="0.2">
      <c r="B436" s="2"/>
      <c r="C436" s="37"/>
      <c r="D436" s="37"/>
      <c r="E436" s="37"/>
      <c r="F436" s="37"/>
      <c r="G436" s="3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2:21" ht="15.75" customHeight="1" x14ac:dyDescent="0.2">
      <c r="B437" s="2"/>
      <c r="C437" s="37"/>
      <c r="D437" s="37"/>
      <c r="E437" s="37"/>
      <c r="F437" s="37"/>
      <c r="G437" s="3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2:21" ht="15.75" customHeight="1" x14ac:dyDescent="0.2">
      <c r="B438" s="2"/>
      <c r="C438" s="37"/>
      <c r="D438" s="37"/>
      <c r="E438" s="37"/>
      <c r="F438" s="37"/>
      <c r="G438" s="3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2:21" ht="15.75" customHeight="1" x14ac:dyDescent="0.2">
      <c r="B439" s="2"/>
      <c r="C439" s="37"/>
      <c r="D439" s="37"/>
      <c r="E439" s="37"/>
      <c r="F439" s="37"/>
      <c r="G439" s="3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2:21" ht="15.75" customHeight="1" x14ac:dyDescent="0.2">
      <c r="B440" s="2"/>
      <c r="C440" s="37"/>
      <c r="D440" s="37"/>
      <c r="E440" s="37"/>
      <c r="F440" s="37"/>
      <c r="G440" s="3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2:21" ht="15.75" customHeight="1" x14ac:dyDescent="0.2">
      <c r="B441" s="2"/>
      <c r="C441" s="37"/>
      <c r="D441" s="37"/>
      <c r="E441" s="37"/>
      <c r="F441" s="37"/>
      <c r="G441" s="3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2:21" ht="15.75" customHeight="1" x14ac:dyDescent="0.2">
      <c r="B442" s="2"/>
      <c r="C442" s="37"/>
      <c r="D442" s="37"/>
      <c r="E442" s="37"/>
      <c r="F442" s="37"/>
      <c r="G442" s="3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2:21" ht="15.75" customHeight="1" x14ac:dyDescent="0.2">
      <c r="B443" s="2"/>
      <c r="C443" s="37"/>
      <c r="D443" s="37"/>
      <c r="E443" s="37"/>
      <c r="F443" s="37"/>
      <c r="G443" s="3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2:21" ht="15.75" customHeight="1" x14ac:dyDescent="0.2">
      <c r="B444" s="2"/>
      <c r="C444" s="37"/>
      <c r="D444" s="37"/>
      <c r="E444" s="37"/>
      <c r="F444" s="37"/>
      <c r="G444" s="3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2:21" ht="15.75" customHeight="1" x14ac:dyDescent="0.2">
      <c r="B445" s="2"/>
      <c r="C445" s="37"/>
      <c r="D445" s="37"/>
      <c r="E445" s="37"/>
      <c r="F445" s="37"/>
      <c r="G445" s="3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2:21" ht="15.75" customHeight="1" x14ac:dyDescent="0.2">
      <c r="B446" s="2"/>
      <c r="C446" s="37"/>
      <c r="D446" s="37"/>
      <c r="E446" s="37"/>
      <c r="F446" s="37"/>
      <c r="G446" s="3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2:21" ht="15.75" customHeight="1" x14ac:dyDescent="0.2">
      <c r="B447" s="2"/>
      <c r="C447" s="37"/>
      <c r="D447" s="37"/>
      <c r="E447" s="37"/>
      <c r="F447" s="37"/>
      <c r="G447" s="3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2:21" ht="15.75" customHeight="1" x14ac:dyDescent="0.2">
      <c r="B448" s="2"/>
      <c r="C448" s="37"/>
      <c r="D448" s="37"/>
      <c r="E448" s="37"/>
      <c r="F448" s="37"/>
      <c r="G448" s="3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2:21" ht="15.75" customHeight="1" x14ac:dyDescent="0.2">
      <c r="B449" s="2"/>
      <c r="C449" s="37"/>
      <c r="D449" s="37"/>
      <c r="E449" s="37"/>
      <c r="F449" s="37"/>
      <c r="G449" s="3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2:21" ht="15.75" customHeight="1" x14ac:dyDescent="0.2">
      <c r="B450" s="2"/>
      <c r="C450" s="37"/>
      <c r="D450" s="37"/>
      <c r="E450" s="37"/>
      <c r="F450" s="37"/>
      <c r="G450" s="3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2:21" ht="15.75" customHeight="1" x14ac:dyDescent="0.2">
      <c r="B451" s="2"/>
      <c r="C451" s="37"/>
      <c r="D451" s="37"/>
      <c r="E451" s="37"/>
      <c r="F451" s="37"/>
      <c r="G451" s="3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2:21" ht="15.75" customHeight="1" x14ac:dyDescent="0.2">
      <c r="B452" s="2"/>
      <c r="C452" s="37"/>
      <c r="D452" s="37"/>
      <c r="E452" s="37"/>
      <c r="F452" s="37"/>
      <c r="G452" s="3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2:21" ht="15.75" customHeight="1" x14ac:dyDescent="0.2">
      <c r="B453" s="2"/>
      <c r="C453" s="37"/>
      <c r="D453" s="37"/>
      <c r="E453" s="37"/>
      <c r="F453" s="37"/>
      <c r="G453" s="3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2:21" ht="15.75" customHeight="1" x14ac:dyDescent="0.2">
      <c r="B454" s="2"/>
      <c r="C454" s="37"/>
      <c r="D454" s="37"/>
      <c r="E454" s="37"/>
      <c r="F454" s="37"/>
      <c r="G454" s="3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2:21" ht="15.75" customHeight="1" x14ac:dyDescent="0.2">
      <c r="B455" s="2"/>
      <c r="C455" s="37"/>
      <c r="D455" s="37"/>
      <c r="E455" s="37"/>
      <c r="F455" s="37"/>
      <c r="G455" s="3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2:21" ht="15.75" customHeight="1" x14ac:dyDescent="0.2">
      <c r="B456" s="2"/>
      <c r="C456" s="37"/>
      <c r="D456" s="37"/>
      <c r="E456" s="37"/>
      <c r="F456" s="37"/>
      <c r="G456" s="3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2:21" ht="15.75" customHeight="1" x14ac:dyDescent="0.2">
      <c r="B457" s="2"/>
      <c r="C457" s="37"/>
      <c r="D457" s="37"/>
      <c r="E457" s="37"/>
      <c r="F457" s="37"/>
      <c r="G457" s="3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2:21" ht="15.75" customHeight="1" x14ac:dyDescent="0.2">
      <c r="B458" s="2"/>
      <c r="C458" s="37"/>
      <c r="D458" s="37"/>
      <c r="E458" s="37"/>
      <c r="F458" s="37"/>
      <c r="G458" s="3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2:21" ht="15.75" customHeight="1" x14ac:dyDescent="0.2">
      <c r="B459" s="2"/>
      <c r="C459" s="37"/>
      <c r="D459" s="37"/>
      <c r="E459" s="37"/>
      <c r="F459" s="37"/>
      <c r="G459" s="3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2:21" ht="15.75" customHeight="1" x14ac:dyDescent="0.2">
      <c r="B460" s="2"/>
      <c r="C460" s="37"/>
      <c r="D460" s="37"/>
      <c r="E460" s="37"/>
      <c r="F460" s="37"/>
      <c r="G460" s="3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2:21" ht="15.75" customHeight="1" x14ac:dyDescent="0.2">
      <c r="B461" s="2"/>
      <c r="C461" s="37"/>
      <c r="D461" s="37"/>
      <c r="E461" s="37"/>
      <c r="F461" s="37"/>
      <c r="G461" s="3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2:21" ht="15.75" customHeight="1" x14ac:dyDescent="0.2">
      <c r="B462" s="2"/>
      <c r="C462" s="37"/>
      <c r="D462" s="37"/>
      <c r="E462" s="37"/>
      <c r="F462" s="37"/>
      <c r="G462" s="3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2:21" ht="15.75" customHeight="1" x14ac:dyDescent="0.2">
      <c r="B463" s="2"/>
      <c r="C463" s="37"/>
      <c r="D463" s="37"/>
      <c r="E463" s="37"/>
      <c r="F463" s="37"/>
      <c r="G463" s="3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2:21" ht="15.75" customHeight="1" x14ac:dyDescent="0.2">
      <c r="B464" s="2"/>
      <c r="C464" s="37"/>
      <c r="D464" s="37"/>
      <c r="E464" s="37"/>
      <c r="F464" s="37"/>
      <c r="G464" s="3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2:21" ht="15.75" customHeight="1" x14ac:dyDescent="0.2">
      <c r="B465" s="2"/>
      <c r="C465" s="37"/>
      <c r="D465" s="37"/>
      <c r="E465" s="37"/>
      <c r="F465" s="37"/>
      <c r="G465" s="3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2:21" ht="15.75" customHeight="1" x14ac:dyDescent="0.2">
      <c r="B466" s="2"/>
      <c r="C466" s="37"/>
      <c r="D466" s="37"/>
      <c r="E466" s="37"/>
      <c r="F466" s="37"/>
      <c r="G466" s="3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2:21" ht="15.75" customHeight="1" x14ac:dyDescent="0.2">
      <c r="B467" s="2"/>
      <c r="C467" s="37"/>
      <c r="D467" s="37"/>
      <c r="E467" s="37"/>
      <c r="F467" s="37"/>
      <c r="G467" s="3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2:21" ht="15.75" customHeight="1" x14ac:dyDescent="0.2">
      <c r="B468" s="2"/>
      <c r="C468" s="37"/>
      <c r="D468" s="37"/>
      <c r="E468" s="37"/>
      <c r="F468" s="37"/>
      <c r="G468" s="3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2:21" ht="15.75" customHeight="1" x14ac:dyDescent="0.2">
      <c r="B469" s="2"/>
      <c r="C469" s="37"/>
      <c r="D469" s="37"/>
      <c r="E469" s="37"/>
      <c r="F469" s="37"/>
      <c r="G469" s="3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2:21" ht="15.75" customHeight="1" x14ac:dyDescent="0.2">
      <c r="B470" s="2"/>
      <c r="C470" s="37"/>
      <c r="D470" s="37"/>
      <c r="E470" s="37"/>
      <c r="F470" s="37"/>
      <c r="G470" s="3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2:21" ht="15.75" customHeight="1" x14ac:dyDescent="0.2">
      <c r="B471" s="2"/>
      <c r="C471" s="37"/>
      <c r="D471" s="37"/>
      <c r="E471" s="37"/>
      <c r="F471" s="37"/>
      <c r="G471" s="3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2:21" ht="15.75" customHeight="1" x14ac:dyDescent="0.2">
      <c r="B472" s="2"/>
      <c r="C472" s="37"/>
      <c r="D472" s="37"/>
      <c r="E472" s="37"/>
      <c r="F472" s="37"/>
      <c r="G472" s="3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2:21" ht="15.75" customHeight="1" x14ac:dyDescent="0.2">
      <c r="B473" s="2"/>
      <c r="C473" s="37"/>
      <c r="D473" s="37"/>
      <c r="E473" s="37"/>
      <c r="F473" s="37"/>
      <c r="G473" s="3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2:21" ht="15.75" customHeight="1" x14ac:dyDescent="0.2">
      <c r="B474" s="2"/>
      <c r="C474" s="37"/>
      <c r="D474" s="37"/>
      <c r="E474" s="37"/>
      <c r="F474" s="37"/>
      <c r="G474" s="3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2:21" ht="15.75" customHeight="1" x14ac:dyDescent="0.2">
      <c r="B475" s="2"/>
      <c r="C475" s="37"/>
      <c r="D475" s="37"/>
      <c r="E475" s="37"/>
      <c r="F475" s="37"/>
      <c r="G475" s="3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2:21" ht="15.75" customHeight="1" x14ac:dyDescent="0.2">
      <c r="B476" s="2"/>
      <c r="C476" s="37"/>
      <c r="D476" s="37"/>
      <c r="E476" s="37"/>
      <c r="F476" s="37"/>
      <c r="G476" s="3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2:21" ht="15.75" customHeight="1" x14ac:dyDescent="0.2">
      <c r="B477" s="2"/>
      <c r="C477" s="37"/>
      <c r="D477" s="37"/>
      <c r="E477" s="37"/>
      <c r="F477" s="37"/>
      <c r="G477" s="3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2:21" ht="15.75" customHeight="1" x14ac:dyDescent="0.2">
      <c r="B478" s="2"/>
      <c r="C478" s="37"/>
      <c r="D478" s="37"/>
      <c r="E478" s="37"/>
      <c r="F478" s="37"/>
      <c r="G478" s="3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2:21" ht="15.75" customHeight="1" x14ac:dyDescent="0.2">
      <c r="B479" s="2"/>
      <c r="C479" s="37"/>
      <c r="D479" s="37"/>
      <c r="E479" s="37"/>
      <c r="F479" s="37"/>
      <c r="G479" s="3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2:21" ht="15.75" customHeight="1" x14ac:dyDescent="0.2">
      <c r="B480" s="2"/>
      <c r="C480" s="37"/>
      <c r="D480" s="37"/>
      <c r="E480" s="37"/>
      <c r="F480" s="37"/>
      <c r="G480" s="3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2:21" ht="15.75" customHeight="1" x14ac:dyDescent="0.2">
      <c r="B481" s="2"/>
      <c r="C481" s="37"/>
      <c r="D481" s="37"/>
      <c r="E481" s="37"/>
      <c r="F481" s="37"/>
      <c r="G481" s="3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2:21" ht="15.75" customHeight="1" x14ac:dyDescent="0.2">
      <c r="B482" s="2"/>
      <c r="C482" s="37"/>
      <c r="D482" s="37"/>
      <c r="E482" s="37"/>
      <c r="F482" s="37"/>
      <c r="G482" s="3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2:21" ht="15.75" customHeight="1" x14ac:dyDescent="0.2">
      <c r="B483" s="2"/>
      <c r="C483" s="37"/>
      <c r="D483" s="37"/>
      <c r="E483" s="37"/>
      <c r="F483" s="37"/>
      <c r="G483" s="3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2:21" ht="15.75" customHeight="1" x14ac:dyDescent="0.2">
      <c r="B484" s="2"/>
      <c r="C484" s="37"/>
      <c r="D484" s="37"/>
      <c r="E484" s="37"/>
      <c r="F484" s="37"/>
      <c r="G484" s="3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2:21" ht="15.75" customHeight="1" x14ac:dyDescent="0.2">
      <c r="B485" s="2"/>
      <c r="C485" s="37"/>
      <c r="D485" s="37"/>
      <c r="E485" s="37"/>
      <c r="F485" s="37"/>
      <c r="G485" s="3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2:21" ht="15.75" customHeight="1" x14ac:dyDescent="0.2">
      <c r="B486" s="2"/>
      <c r="C486" s="37"/>
      <c r="D486" s="37"/>
      <c r="E486" s="37"/>
      <c r="F486" s="37"/>
      <c r="G486" s="3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2:21" ht="15.75" customHeight="1" x14ac:dyDescent="0.2">
      <c r="B487" s="2"/>
      <c r="C487" s="37"/>
      <c r="D487" s="37"/>
      <c r="E487" s="37"/>
      <c r="F487" s="37"/>
      <c r="G487" s="3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2:21" ht="15.75" customHeight="1" x14ac:dyDescent="0.2">
      <c r="B488" s="2"/>
      <c r="C488" s="37"/>
      <c r="D488" s="37"/>
      <c r="E488" s="37"/>
      <c r="F488" s="37"/>
      <c r="G488" s="3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2:21" ht="15.75" customHeight="1" x14ac:dyDescent="0.2">
      <c r="B489" s="2"/>
      <c r="C489" s="37"/>
      <c r="D489" s="37"/>
      <c r="E489" s="37"/>
      <c r="F489" s="37"/>
      <c r="G489" s="3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2:21" ht="15.75" customHeight="1" x14ac:dyDescent="0.2">
      <c r="B490" s="2"/>
      <c r="C490" s="37"/>
      <c r="D490" s="37"/>
      <c r="E490" s="37"/>
      <c r="F490" s="37"/>
      <c r="G490" s="3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2:21" ht="15.75" customHeight="1" x14ac:dyDescent="0.2">
      <c r="B491" s="2"/>
      <c r="C491" s="37"/>
      <c r="D491" s="37"/>
      <c r="E491" s="37"/>
      <c r="F491" s="37"/>
      <c r="G491" s="3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2:21" ht="15.75" customHeight="1" x14ac:dyDescent="0.2">
      <c r="B492" s="2"/>
      <c r="C492" s="37"/>
      <c r="D492" s="37"/>
      <c r="E492" s="37"/>
      <c r="F492" s="37"/>
      <c r="G492" s="3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2:21" ht="15.75" customHeight="1" x14ac:dyDescent="0.2">
      <c r="B493" s="2"/>
      <c r="C493" s="37"/>
      <c r="D493" s="37"/>
      <c r="E493" s="37"/>
      <c r="F493" s="37"/>
      <c r="G493" s="3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2:21" ht="15.75" customHeight="1" x14ac:dyDescent="0.2">
      <c r="B494" s="2"/>
      <c r="C494" s="37"/>
      <c r="D494" s="37"/>
      <c r="E494" s="37"/>
      <c r="F494" s="37"/>
      <c r="G494" s="3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2:21" ht="15.75" customHeight="1" x14ac:dyDescent="0.2">
      <c r="B495" s="2"/>
      <c r="C495" s="37"/>
      <c r="D495" s="37"/>
      <c r="E495" s="37"/>
      <c r="F495" s="37"/>
      <c r="G495" s="3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2:21" ht="15.75" customHeight="1" x14ac:dyDescent="0.2">
      <c r="B496" s="2"/>
      <c r="C496" s="37"/>
      <c r="D496" s="37"/>
      <c r="E496" s="37"/>
      <c r="F496" s="37"/>
      <c r="G496" s="3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2:21" ht="15.75" customHeight="1" x14ac:dyDescent="0.2">
      <c r="B497" s="2"/>
      <c r="C497" s="37"/>
      <c r="D497" s="37"/>
      <c r="E497" s="37"/>
      <c r="F497" s="37"/>
      <c r="G497" s="3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2:21" ht="15.75" customHeight="1" x14ac:dyDescent="0.2">
      <c r="B498" s="2"/>
      <c r="C498" s="37"/>
      <c r="D498" s="37"/>
      <c r="E498" s="37"/>
      <c r="F498" s="37"/>
      <c r="G498" s="3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2:21" ht="15.75" customHeight="1" x14ac:dyDescent="0.2">
      <c r="B499" s="2"/>
      <c r="C499" s="37"/>
      <c r="D499" s="37"/>
      <c r="E499" s="37"/>
      <c r="F499" s="37"/>
      <c r="G499" s="3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2:21" ht="15.75" customHeight="1" x14ac:dyDescent="0.2">
      <c r="B500" s="2"/>
      <c r="C500" s="37"/>
      <c r="D500" s="37"/>
      <c r="E500" s="37"/>
      <c r="F500" s="37"/>
      <c r="G500" s="3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2:21" ht="15.75" customHeight="1" x14ac:dyDescent="0.2">
      <c r="B501" s="2"/>
      <c r="C501" s="37"/>
      <c r="D501" s="37"/>
      <c r="E501" s="37"/>
      <c r="F501" s="37"/>
      <c r="G501" s="3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2:21" ht="15.75" customHeight="1" x14ac:dyDescent="0.2">
      <c r="B502" s="2"/>
      <c r="C502" s="37"/>
      <c r="D502" s="37"/>
      <c r="E502" s="37"/>
      <c r="F502" s="37"/>
      <c r="G502" s="3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2:21" ht="15.75" customHeight="1" x14ac:dyDescent="0.2">
      <c r="B503" s="2"/>
      <c r="C503" s="37"/>
      <c r="D503" s="37"/>
      <c r="E503" s="37"/>
      <c r="F503" s="37"/>
      <c r="G503" s="3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2:21" ht="15.75" customHeight="1" x14ac:dyDescent="0.2">
      <c r="B504" s="2"/>
      <c r="C504" s="37"/>
      <c r="D504" s="37"/>
      <c r="E504" s="37"/>
      <c r="F504" s="37"/>
      <c r="G504" s="3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2:21" ht="15.75" customHeight="1" x14ac:dyDescent="0.2">
      <c r="B505" s="2"/>
      <c r="C505" s="37"/>
      <c r="D505" s="37"/>
      <c r="E505" s="37"/>
      <c r="F505" s="37"/>
      <c r="G505" s="3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2:21" ht="15.75" customHeight="1" x14ac:dyDescent="0.2">
      <c r="B506" s="2"/>
      <c r="C506" s="37"/>
      <c r="D506" s="37"/>
      <c r="E506" s="37"/>
      <c r="F506" s="37"/>
      <c r="G506" s="3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2:21" ht="15.75" customHeight="1" x14ac:dyDescent="0.2">
      <c r="B507" s="2"/>
      <c r="C507" s="37"/>
      <c r="D507" s="37"/>
      <c r="E507" s="37"/>
      <c r="F507" s="37"/>
      <c r="G507" s="3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2:21" ht="15.75" customHeight="1" x14ac:dyDescent="0.2">
      <c r="B508" s="2"/>
      <c r="C508" s="37"/>
      <c r="D508" s="37"/>
      <c r="E508" s="37"/>
      <c r="F508" s="37"/>
      <c r="G508" s="3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2:21" ht="15.75" customHeight="1" x14ac:dyDescent="0.2">
      <c r="B509" s="2"/>
      <c r="C509" s="37"/>
      <c r="D509" s="37"/>
      <c r="E509" s="37"/>
      <c r="F509" s="37"/>
      <c r="G509" s="3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2:21" ht="15.75" customHeight="1" x14ac:dyDescent="0.2">
      <c r="B510" s="2"/>
      <c r="C510" s="37"/>
      <c r="D510" s="37"/>
      <c r="E510" s="37"/>
      <c r="F510" s="37"/>
      <c r="G510" s="3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2:21" ht="15.75" customHeight="1" x14ac:dyDescent="0.2">
      <c r="B511" s="2"/>
      <c r="C511" s="37"/>
      <c r="D511" s="37"/>
      <c r="E511" s="37"/>
      <c r="F511" s="37"/>
      <c r="G511" s="3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2:21" ht="15.75" customHeight="1" x14ac:dyDescent="0.2">
      <c r="B512" s="2"/>
      <c r="C512" s="37"/>
      <c r="D512" s="37"/>
      <c r="E512" s="37"/>
      <c r="F512" s="37"/>
      <c r="G512" s="3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2:21" ht="15.75" customHeight="1" x14ac:dyDescent="0.2">
      <c r="B513" s="2"/>
      <c r="C513" s="37"/>
      <c r="D513" s="37"/>
      <c r="E513" s="37"/>
      <c r="F513" s="37"/>
      <c r="G513" s="3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2:21" ht="15.75" customHeight="1" x14ac:dyDescent="0.2">
      <c r="B514" s="2"/>
      <c r="C514" s="37"/>
      <c r="D514" s="37"/>
      <c r="E514" s="37"/>
      <c r="F514" s="37"/>
      <c r="G514" s="3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2:21" ht="15.75" customHeight="1" x14ac:dyDescent="0.2">
      <c r="B515" s="2"/>
      <c r="C515" s="37"/>
      <c r="D515" s="37"/>
      <c r="E515" s="37"/>
      <c r="F515" s="37"/>
      <c r="G515" s="3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2:21" ht="15.75" customHeight="1" x14ac:dyDescent="0.2">
      <c r="B516" s="2"/>
      <c r="C516" s="37"/>
      <c r="D516" s="37"/>
      <c r="E516" s="37"/>
      <c r="F516" s="37"/>
      <c r="G516" s="3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2:21" ht="15.75" customHeight="1" x14ac:dyDescent="0.2">
      <c r="B517" s="2"/>
      <c r="C517" s="37"/>
      <c r="D517" s="37"/>
      <c r="E517" s="37"/>
      <c r="F517" s="37"/>
      <c r="G517" s="3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2:21" ht="15.75" customHeight="1" x14ac:dyDescent="0.2">
      <c r="B518" s="2"/>
      <c r="C518" s="37"/>
      <c r="D518" s="37"/>
      <c r="E518" s="37"/>
      <c r="F518" s="37"/>
      <c r="G518" s="3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2:21" ht="15.75" customHeight="1" x14ac:dyDescent="0.2">
      <c r="B519" s="2"/>
      <c r="C519" s="37"/>
      <c r="D519" s="37"/>
      <c r="E519" s="37"/>
      <c r="F519" s="37"/>
      <c r="G519" s="3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2:21" ht="15.75" customHeight="1" x14ac:dyDescent="0.2">
      <c r="B520" s="2"/>
      <c r="C520" s="37"/>
      <c r="D520" s="37"/>
      <c r="E520" s="37"/>
      <c r="F520" s="37"/>
      <c r="G520" s="3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2:21" ht="15.75" customHeight="1" x14ac:dyDescent="0.2">
      <c r="B521" s="2"/>
      <c r="C521" s="37"/>
      <c r="D521" s="37"/>
      <c r="E521" s="37"/>
      <c r="F521" s="37"/>
      <c r="G521" s="3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2:21" ht="15.75" customHeight="1" x14ac:dyDescent="0.2">
      <c r="B522" s="2"/>
      <c r="C522" s="37"/>
      <c r="D522" s="37"/>
      <c r="E522" s="37"/>
      <c r="F522" s="37"/>
      <c r="G522" s="3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2:21" ht="15.75" customHeight="1" x14ac:dyDescent="0.2">
      <c r="B523" s="2"/>
      <c r="C523" s="37"/>
      <c r="D523" s="37"/>
      <c r="E523" s="37"/>
      <c r="F523" s="37"/>
      <c r="G523" s="3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2:21" ht="15.75" customHeight="1" x14ac:dyDescent="0.2">
      <c r="B524" s="2"/>
      <c r="C524" s="37"/>
      <c r="D524" s="37"/>
      <c r="E524" s="37"/>
      <c r="F524" s="37"/>
      <c r="G524" s="3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2:21" ht="15.75" customHeight="1" x14ac:dyDescent="0.2">
      <c r="B525" s="2"/>
      <c r="C525" s="37"/>
      <c r="D525" s="37"/>
      <c r="E525" s="37"/>
      <c r="F525" s="37"/>
      <c r="G525" s="3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2:21" ht="15.75" customHeight="1" x14ac:dyDescent="0.2">
      <c r="B526" s="2"/>
      <c r="C526" s="37"/>
      <c r="D526" s="37"/>
      <c r="E526" s="37"/>
      <c r="F526" s="37"/>
      <c r="G526" s="3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2:21" ht="15.75" customHeight="1" x14ac:dyDescent="0.2">
      <c r="B527" s="2"/>
      <c r="C527" s="37"/>
      <c r="D527" s="37"/>
      <c r="E527" s="37"/>
      <c r="F527" s="37"/>
      <c r="G527" s="3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2:21" ht="15.75" customHeight="1" x14ac:dyDescent="0.2">
      <c r="B528" s="2"/>
      <c r="C528" s="37"/>
      <c r="D528" s="37"/>
      <c r="E528" s="37"/>
      <c r="F528" s="37"/>
      <c r="G528" s="3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2:21" ht="15.75" customHeight="1" x14ac:dyDescent="0.2">
      <c r="B529" s="2"/>
      <c r="C529" s="37"/>
      <c r="D529" s="37"/>
      <c r="E529" s="37"/>
      <c r="F529" s="37"/>
      <c r="G529" s="3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2:21" ht="15.75" customHeight="1" x14ac:dyDescent="0.2">
      <c r="B530" s="2"/>
      <c r="C530" s="37"/>
      <c r="D530" s="37"/>
      <c r="E530" s="37"/>
      <c r="F530" s="37"/>
      <c r="G530" s="3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2:21" ht="15.75" customHeight="1" x14ac:dyDescent="0.2">
      <c r="B531" s="2"/>
      <c r="C531" s="37"/>
      <c r="D531" s="37"/>
      <c r="E531" s="37"/>
      <c r="F531" s="37"/>
      <c r="G531" s="3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2:21" ht="15.75" customHeight="1" x14ac:dyDescent="0.2">
      <c r="B532" s="2"/>
      <c r="C532" s="37"/>
      <c r="D532" s="37"/>
      <c r="E532" s="37"/>
      <c r="F532" s="37"/>
      <c r="G532" s="3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2:21" ht="15.75" customHeight="1" x14ac:dyDescent="0.2">
      <c r="B533" s="2"/>
      <c r="C533" s="37"/>
      <c r="D533" s="37"/>
      <c r="E533" s="37"/>
      <c r="F533" s="37"/>
      <c r="G533" s="3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2:21" ht="15.75" customHeight="1" x14ac:dyDescent="0.2">
      <c r="B534" s="2"/>
      <c r="C534" s="37"/>
      <c r="D534" s="37"/>
      <c r="E534" s="37"/>
      <c r="F534" s="37"/>
      <c r="G534" s="3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2:21" ht="15.75" customHeight="1" x14ac:dyDescent="0.2">
      <c r="B535" s="2"/>
      <c r="C535" s="37"/>
      <c r="D535" s="37"/>
      <c r="E535" s="37"/>
      <c r="F535" s="37"/>
      <c r="G535" s="3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2:21" ht="15.75" customHeight="1" x14ac:dyDescent="0.2">
      <c r="B536" s="2"/>
      <c r="C536" s="37"/>
      <c r="D536" s="37"/>
      <c r="E536" s="37"/>
      <c r="F536" s="37"/>
      <c r="G536" s="3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2:21" ht="15.75" customHeight="1" x14ac:dyDescent="0.2">
      <c r="B537" s="2"/>
      <c r="C537" s="37"/>
      <c r="D537" s="37"/>
      <c r="E537" s="37"/>
      <c r="F537" s="37"/>
      <c r="G537" s="3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2:21" ht="15.75" customHeight="1" x14ac:dyDescent="0.2">
      <c r="B538" s="2"/>
      <c r="C538" s="37"/>
      <c r="D538" s="37"/>
      <c r="E538" s="37"/>
      <c r="F538" s="37"/>
      <c r="G538" s="3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2:21" ht="15.75" customHeight="1" x14ac:dyDescent="0.2">
      <c r="B539" s="2"/>
      <c r="C539" s="37"/>
      <c r="D539" s="37"/>
      <c r="E539" s="37"/>
      <c r="F539" s="37"/>
      <c r="G539" s="3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2:21" ht="15.75" customHeight="1" x14ac:dyDescent="0.2">
      <c r="B540" s="2"/>
      <c r="C540" s="37"/>
      <c r="D540" s="37"/>
      <c r="E540" s="37"/>
      <c r="F540" s="37"/>
      <c r="G540" s="3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2:21" ht="15.75" customHeight="1" x14ac:dyDescent="0.2">
      <c r="B541" s="2"/>
      <c r="C541" s="37"/>
      <c r="D541" s="37"/>
      <c r="E541" s="37"/>
      <c r="F541" s="37"/>
      <c r="G541" s="3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2:21" ht="15.75" customHeight="1" x14ac:dyDescent="0.2">
      <c r="B542" s="2"/>
      <c r="C542" s="37"/>
      <c r="D542" s="37"/>
      <c r="E542" s="37"/>
      <c r="F542" s="37"/>
      <c r="G542" s="3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2:21" ht="15.75" customHeight="1" x14ac:dyDescent="0.2">
      <c r="B543" s="2"/>
      <c r="C543" s="37"/>
      <c r="D543" s="37"/>
      <c r="E543" s="37"/>
      <c r="F543" s="37"/>
      <c r="G543" s="3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2:21" ht="15.75" customHeight="1" x14ac:dyDescent="0.2">
      <c r="B544" s="2"/>
      <c r="C544" s="37"/>
      <c r="D544" s="37"/>
      <c r="E544" s="37"/>
      <c r="F544" s="37"/>
      <c r="G544" s="3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2:21" ht="15.75" customHeight="1" x14ac:dyDescent="0.2">
      <c r="B545" s="2"/>
      <c r="C545" s="37"/>
      <c r="D545" s="37"/>
      <c r="E545" s="37"/>
      <c r="F545" s="37"/>
      <c r="G545" s="3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2:21" ht="15.75" customHeight="1" x14ac:dyDescent="0.2">
      <c r="B546" s="2"/>
      <c r="C546" s="37"/>
      <c r="D546" s="37"/>
      <c r="E546" s="37"/>
      <c r="F546" s="37"/>
      <c r="G546" s="3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2:21" ht="15.75" customHeight="1" x14ac:dyDescent="0.2">
      <c r="B547" s="2"/>
      <c r="C547" s="37"/>
      <c r="D547" s="37"/>
      <c r="E547" s="37"/>
      <c r="F547" s="37"/>
      <c r="G547" s="3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2:21" ht="15.75" customHeight="1" x14ac:dyDescent="0.2">
      <c r="B548" s="2"/>
      <c r="C548" s="37"/>
      <c r="D548" s="37"/>
      <c r="E548" s="37"/>
      <c r="F548" s="37"/>
      <c r="G548" s="3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2:21" ht="15.75" customHeight="1" x14ac:dyDescent="0.2">
      <c r="B549" s="2"/>
      <c r="C549" s="37"/>
      <c r="D549" s="37"/>
      <c r="E549" s="37"/>
      <c r="F549" s="37"/>
      <c r="G549" s="3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2:21" ht="15.75" customHeight="1" x14ac:dyDescent="0.2">
      <c r="B550" s="2"/>
      <c r="C550" s="37"/>
      <c r="D550" s="37"/>
      <c r="E550" s="37"/>
      <c r="F550" s="37"/>
      <c r="G550" s="3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2:21" ht="15.75" customHeight="1" x14ac:dyDescent="0.2">
      <c r="B551" s="2"/>
      <c r="C551" s="37"/>
      <c r="D551" s="37"/>
      <c r="E551" s="37"/>
      <c r="F551" s="37"/>
      <c r="G551" s="3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2:21" ht="15.75" customHeight="1" x14ac:dyDescent="0.2">
      <c r="B552" s="2"/>
      <c r="C552" s="37"/>
      <c r="D552" s="37"/>
      <c r="E552" s="37"/>
      <c r="F552" s="37"/>
      <c r="G552" s="3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2:21" ht="15.75" customHeight="1" x14ac:dyDescent="0.2">
      <c r="B553" s="2"/>
      <c r="C553" s="37"/>
      <c r="D553" s="37"/>
      <c r="E553" s="37"/>
      <c r="F553" s="37"/>
      <c r="G553" s="3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2:21" ht="15.75" customHeight="1" x14ac:dyDescent="0.2">
      <c r="B554" s="2"/>
      <c r="C554" s="37"/>
      <c r="D554" s="37"/>
      <c r="E554" s="37"/>
      <c r="F554" s="37"/>
      <c r="G554" s="3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2:21" ht="15.75" customHeight="1" x14ac:dyDescent="0.2">
      <c r="B555" s="2"/>
      <c r="C555" s="37"/>
      <c r="D555" s="37"/>
      <c r="E555" s="37"/>
      <c r="F555" s="37"/>
      <c r="G555" s="3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2:21" ht="15.75" customHeight="1" x14ac:dyDescent="0.2">
      <c r="B556" s="2"/>
      <c r="C556" s="37"/>
      <c r="D556" s="37"/>
      <c r="E556" s="37"/>
      <c r="F556" s="37"/>
      <c r="G556" s="3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2:21" ht="15.75" customHeight="1" x14ac:dyDescent="0.2">
      <c r="B557" s="2"/>
      <c r="C557" s="37"/>
      <c r="D557" s="37"/>
      <c r="E557" s="37"/>
      <c r="F557" s="37"/>
      <c r="G557" s="3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2:21" ht="15.75" customHeight="1" x14ac:dyDescent="0.2">
      <c r="B558" s="2"/>
      <c r="C558" s="37"/>
      <c r="D558" s="37"/>
      <c r="E558" s="37"/>
      <c r="F558" s="37"/>
      <c r="G558" s="3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2:21" ht="15.75" customHeight="1" x14ac:dyDescent="0.2">
      <c r="B559" s="2"/>
      <c r="C559" s="37"/>
      <c r="D559" s="37"/>
      <c r="E559" s="37"/>
      <c r="F559" s="37"/>
      <c r="G559" s="3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2:21" ht="15.75" customHeight="1" x14ac:dyDescent="0.2">
      <c r="B560" s="2"/>
      <c r="C560" s="37"/>
      <c r="D560" s="37"/>
      <c r="E560" s="37"/>
      <c r="F560" s="37"/>
      <c r="G560" s="3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2:21" ht="15.75" customHeight="1" x14ac:dyDescent="0.2">
      <c r="B561" s="2"/>
      <c r="C561" s="37"/>
      <c r="D561" s="37"/>
      <c r="E561" s="37"/>
      <c r="F561" s="37"/>
      <c r="G561" s="3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2:21" ht="15.75" customHeight="1" x14ac:dyDescent="0.2">
      <c r="B562" s="2"/>
      <c r="C562" s="37"/>
      <c r="D562" s="37"/>
      <c r="E562" s="37"/>
      <c r="F562" s="37"/>
      <c r="G562" s="3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2:21" ht="15.75" customHeight="1" x14ac:dyDescent="0.2">
      <c r="B563" s="2"/>
      <c r="C563" s="37"/>
      <c r="D563" s="37"/>
      <c r="E563" s="37"/>
      <c r="F563" s="37"/>
      <c r="G563" s="3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2:21" ht="15.75" customHeight="1" x14ac:dyDescent="0.2">
      <c r="B564" s="2"/>
      <c r="C564" s="37"/>
      <c r="D564" s="37"/>
      <c r="E564" s="37"/>
      <c r="F564" s="37"/>
      <c r="G564" s="3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2:21" ht="15.75" customHeight="1" x14ac:dyDescent="0.2">
      <c r="B565" s="2"/>
      <c r="C565" s="37"/>
      <c r="D565" s="37"/>
      <c r="E565" s="37"/>
      <c r="F565" s="37"/>
      <c r="G565" s="3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2:21" ht="15.75" customHeight="1" x14ac:dyDescent="0.2">
      <c r="B566" s="2"/>
      <c r="C566" s="37"/>
      <c r="D566" s="37"/>
      <c r="E566" s="37"/>
      <c r="F566" s="37"/>
      <c r="G566" s="3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2:21" ht="15.75" customHeight="1" x14ac:dyDescent="0.2">
      <c r="B567" s="2"/>
      <c r="C567" s="37"/>
      <c r="D567" s="37"/>
      <c r="E567" s="37"/>
      <c r="F567" s="37"/>
      <c r="G567" s="3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2:21" ht="15.75" customHeight="1" x14ac:dyDescent="0.2">
      <c r="B568" s="2"/>
      <c r="C568" s="37"/>
      <c r="D568" s="37"/>
      <c r="E568" s="37"/>
      <c r="F568" s="37"/>
      <c r="G568" s="3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2:21" ht="15.75" customHeight="1" x14ac:dyDescent="0.2">
      <c r="B569" s="2"/>
      <c r="C569" s="37"/>
      <c r="D569" s="37"/>
      <c r="E569" s="37"/>
      <c r="F569" s="37"/>
      <c r="G569" s="3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2:21" ht="15.75" customHeight="1" x14ac:dyDescent="0.2">
      <c r="B570" s="2"/>
      <c r="C570" s="37"/>
      <c r="D570" s="37"/>
      <c r="E570" s="37"/>
      <c r="F570" s="37"/>
      <c r="G570" s="3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2:21" ht="15.75" customHeight="1" x14ac:dyDescent="0.2">
      <c r="B571" s="2"/>
      <c r="C571" s="37"/>
      <c r="D571" s="37"/>
      <c r="E571" s="37"/>
      <c r="F571" s="37"/>
      <c r="G571" s="3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2:21" ht="15.75" customHeight="1" x14ac:dyDescent="0.2">
      <c r="B572" s="2"/>
      <c r="C572" s="37"/>
      <c r="D572" s="37"/>
      <c r="E572" s="37"/>
      <c r="F572" s="37"/>
      <c r="G572" s="3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2:21" ht="15.75" customHeight="1" x14ac:dyDescent="0.2">
      <c r="B573" s="2"/>
      <c r="C573" s="37"/>
      <c r="D573" s="37"/>
      <c r="E573" s="37"/>
      <c r="F573" s="37"/>
      <c r="G573" s="3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2:21" ht="15.75" customHeight="1" x14ac:dyDescent="0.2">
      <c r="B574" s="2"/>
      <c r="C574" s="37"/>
      <c r="D574" s="37"/>
      <c r="E574" s="37"/>
      <c r="F574" s="37"/>
      <c r="G574" s="3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2:21" ht="15.75" customHeight="1" x14ac:dyDescent="0.2">
      <c r="B575" s="2"/>
      <c r="C575" s="37"/>
      <c r="D575" s="37"/>
      <c r="E575" s="37"/>
      <c r="F575" s="37"/>
      <c r="G575" s="3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2:21" ht="15.75" customHeight="1" x14ac:dyDescent="0.2">
      <c r="B576" s="2"/>
      <c r="C576" s="37"/>
      <c r="D576" s="37"/>
      <c r="E576" s="37"/>
      <c r="F576" s="37"/>
      <c r="G576" s="3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2:21" ht="15.75" customHeight="1" x14ac:dyDescent="0.2">
      <c r="B577" s="2"/>
      <c r="C577" s="37"/>
      <c r="D577" s="37"/>
      <c r="E577" s="37"/>
      <c r="F577" s="37"/>
      <c r="G577" s="3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2:21" ht="15.75" customHeight="1" x14ac:dyDescent="0.2">
      <c r="B578" s="2"/>
      <c r="C578" s="37"/>
      <c r="D578" s="37"/>
      <c r="E578" s="37"/>
      <c r="F578" s="37"/>
      <c r="G578" s="3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2:21" ht="15.75" customHeight="1" x14ac:dyDescent="0.2">
      <c r="B579" s="2"/>
      <c r="C579" s="37"/>
      <c r="D579" s="37"/>
      <c r="E579" s="37"/>
      <c r="F579" s="37"/>
      <c r="G579" s="3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2:21" ht="15.75" customHeight="1" x14ac:dyDescent="0.2">
      <c r="B580" s="2"/>
      <c r="C580" s="37"/>
      <c r="D580" s="37"/>
      <c r="E580" s="37"/>
      <c r="F580" s="37"/>
      <c r="G580" s="3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2:21" ht="15.75" customHeight="1" x14ac:dyDescent="0.2">
      <c r="B581" s="2"/>
      <c r="C581" s="37"/>
      <c r="D581" s="37"/>
      <c r="E581" s="37"/>
      <c r="F581" s="37"/>
      <c r="G581" s="3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2:21" ht="15.75" customHeight="1" x14ac:dyDescent="0.2">
      <c r="B582" s="2"/>
      <c r="C582" s="37"/>
      <c r="D582" s="37"/>
      <c r="E582" s="37"/>
      <c r="F582" s="37"/>
      <c r="G582" s="3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2:21" ht="15.75" customHeight="1" x14ac:dyDescent="0.2">
      <c r="B583" s="2"/>
      <c r="C583" s="37"/>
      <c r="D583" s="37"/>
      <c r="E583" s="37"/>
      <c r="F583" s="37"/>
      <c r="G583" s="3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2:21" ht="15.75" customHeight="1" x14ac:dyDescent="0.2">
      <c r="B584" s="2"/>
      <c r="C584" s="37"/>
      <c r="D584" s="37"/>
      <c r="E584" s="37"/>
      <c r="F584" s="37"/>
      <c r="G584" s="3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2:21" ht="15.75" customHeight="1" x14ac:dyDescent="0.2">
      <c r="B585" s="2"/>
      <c r="C585" s="37"/>
      <c r="D585" s="37"/>
      <c r="E585" s="37"/>
      <c r="F585" s="37"/>
      <c r="G585" s="3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2:21" ht="15.75" customHeight="1" x14ac:dyDescent="0.2">
      <c r="B586" s="2"/>
      <c r="C586" s="37"/>
      <c r="D586" s="37"/>
      <c r="E586" s="37"/>
      <c r="F586" s="37"/>
      <c r="G586" s="3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2:21" ht="15.75" customHeight="1" x14ac:dyDescent="0.2">
      <c r="B587" s="2"/>
      <c r="C587" s="37"/>
      <c r="D587" s="37"/>
      <c r="E587" s="37"/>
      <c r="F587" s="37"/>
      <c r="G587" s="3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2:21" ht="15.75" customHeight="1" x14ac:dyDescent="0.2">
      <c r="B588" s="2"/>
      <c r="C588" s="37"/>
      <c r="D588" s="37"/>
      <c r="E588" s="37"/>
      <c r="F588" s="37"/>
      <c r="G588" s="3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2:21" ht="15.75" customHeight="1" x14ac:dyDescent="0.2">
      <c r="B589" s="2"/>
      <c r="C589" s="37"/>
      <c r="D589" s="37"/>
      <c r="E589" s="37"/>
      <c r="F589" s="37"/>
      <c r="G589" s="3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2:21" ht="15.75" customHeight="1" x14ac:dyDescent="0.2">
      <c r="B590" s="2"/>
      <c r="C590" s="37"/>
      <c r="D590" s="37"/>
      <c r="E590" s="37"/>
      <c r="F590" s="37"/>
      <c r="G590" s="3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2:21" ht="15.75" customHeight="1" x14ac:dyDescent="0.2">
      <c r="B591" s="2"/>
      <c r="C591" s="37"/>
      <c r="D591" s="37"/>
      <c r="E591" s="37"/>
      <c r="F591" s="37"/>
      <c r="G591" s="3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2:21" ht="15.75" customHeight="1" x14ac:dyDescent="0.2">
      <c r="B592" s="2"/>
      <c r="C592" s="37"/>
      <c r="D592" s="37"/>
      <c r="E592" s="37"/>
      <c r="F592" s="37"/>
      <c r="G592" s="3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2:21" ht="15.75" customHeight="1" x14ac:dyDescent="0.2">
      <c r="B593" s="2"/>
      <c r="C593" s="37"/>
      <c r="D593" s="37"/>
      <c r="E593" s="37"/>
      <c r="F593" s="37"/>
      <c r="G593" s="3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2:21" ht="15.75" customHeight="1" x14ac:dyDescent="0.2">
      <c r="B594" s="2"/>
      <c r="C594" s="37"/>
      <c r="D594" s="37"/>
      <c r="E594" s="37"/>
      <c r="F594" s="37"/>
      <c r="G594" s="3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2:21" ht="15.75" customHeight="1" x14ac:dyDescent="0.2">
      <c r="B595" s="2"/>
      <c r="C595" s="37"/>
      <c r="D595" s="37"/>
      <c r="E595" s="37"/>
      <c r="F595" s="37"/>
      <c r="G595" s="3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2:21" ht="15.75" customHeight="1" x14ac:dyDescent="0.2">
      <c r="B596" s="2"/>
      <c r="C596" s="37"/>
      <c r="D596" s="37"/>
      <c r="E596" s="37"/>
      <c r="F596" s="37"/>
      <c r="G596" s="3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2:21" ht="15.75" customHeight="1" x14ac:dyDescent="0.2">
      <c r="B597" s="2"/>
      <c r="C597" s="37"/>
      <c r="D597" s="37"/>
      <c r="E597" s="37"/>
      <c r="F597" s="37"/>
      <c r="G597" s="3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2:21" ht="15.75" customHeight="1" x14ac:dyDescent="0.2">
      <c r="B598" s="2"/>
      <c r="C598" s="37"/>
      <c r="D598" s="37"/>
      <c r="E598" s="37"/>
      <c r="F598" s="37"/>
      <c r="G598" s="3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2:21" ht="15.75" customHeight="1" x14ac:dyDescent="0.2">
      <c r="B599" s="2"/>
      <c r="C599" s="37"/>
      <c r="D599" s="37"/>
      <c r="E599" s="37"/>
      <c r="F599" s="37"/>
      <c r="G599" s="3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2:21" ht="15.75" customHeight="1" x14ac:dyDescent="0.2">
      <c r="B600" s="2"/>
      <c r="C600" s="37"/>
      <c r="D600" s="37"/>
      <c r="E600" s="37"/>
      <c r="F600" s="37"/>
      <c r="G600" s="3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2:21" ht="15.75" customHeight="1" x14ac:dyDescent="0.2">
      <c r="B601" s="2"/>
      <c r="C601" s="37"/>
      <c r="D601" s="37"/>
      <c r="E601" s="37"/>
      <c r="F601" s="37"/>
      <c r="G601" s="3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2:21" ht="15.75" customHeight="1" x14ac:dyDescent="0.2">
      <c r="B602" s="2"/>
      <c r="C602" s="37"/>
      <c r="D602" s="37"/>
      <c r="E602" s="37"/>
      <c r="F602" s="37"/>
      <c r="G602" s="3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2:21" ht="15.75" customHeight="1" x14ac:dyDescent="0.2">
      <c r="B603" s="2"/>
      <c r="C603" s="37"/>
      <c r="D603" s="37"/>
      <c r="E603" s="37"/>
      <c r="F603" s="37"/>
      <c r="G603" s="3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2:21" ht="15.75" customHeight="1" x14ac:dyDescent="0.2">
      <c r="B604" s="2"/>
      <c r="C604" s="37"/>
      <c r="D604" s="37"/>
      <c r="E604" s="37"/>
      <c r="F604" s="37"/>
      <c r="G604" s="3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2:21" ht="15.75" customHeight="1" x14ac:dyDescent="0.2">
      <c r="B605" s="2"/>
      <c r="C605" s="37"/>
      <c r="D605" s="37"/>
      <c r="E605" s="37"/>
      <c r="F605" s="37"/>
      <c r="G605" s="3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2:21" ht="15.75" customHeight="1" x14ac:dyDescent="0.2">
      <c r="B606" s="2"/>
      <c r="C606" s="37"/>
      <c r="D606" s="37"/>
      <c r="E606" s="37"/>
      <c r="F606" s="37"/>
      <c r="G606" s="3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2:21" ht="15.75" customHeight="1" x14ac:dyDescent="0.2">
      <c r="B607" s="2"/>
      <c r="C607" s="37"/>
      <c r="D607" s="37"/>
      <c r="E607" s="37"/>
      <c r="F607" s="37"/>
      <c r="G607" s="3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2:21" ht="15.75" customHeight="1" x14ac:dyDescent="0.2">
      <c r="B608" s="2"/>
      <c r="C608" s="37"/>
      <c r="D608" s="37"/>
      <c r="E608" s="37"/>
      <c r="F608" s="37"/>
      <c r="G608" s="3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2:21" ht="15.75" customHeight="1" x14ac:dyDescent="0.2">
      <c r="B609" s="2"/>
      <c r="C609" s="37"/>
      <c r="D609" s="37"/>
      <c r="E609" s="37"/>
      <c r="F609" s="37"/>
      <c r="G609" s="3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2:21" ht="15.75" customHeight="1" x14ac:dyDescent="0.2">
      <c r="B610" s="2"/>
      <c r="C610" s="37"/>
      <c r="D610" s="37"/>
      <c r="E610" s="37"/>
      <c r="F610" s="37"/>
      <c r="G610" s="3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2:21" ht="15.75" customHeight="1" x14ac:dyDescent="0.2">
      <c r="B611" s="2"/>
      <c r="C611" s="37"/>
      <c r="D611" s="37"/>
      <c r="E611" s="37"/>
      <c r="F611" s="37"/>
      <c r="G611" s="3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2:21" ht="15.75" customHeight="1" x14ac:dyDescent="0.2">
      <c r="B612" s="2"/>
      <c r="C612" s="37"/>
      <c r="D612" s="37"/>
      <c r="E612" s="37"/>
      <c r="F612" s="37"/>
      <c r="G612" s="3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2:21" ht="15.75" customHeight="1" x14ac:dyDescent="0.2">
      <c r="B613" s="2"/>
      <c r="C613" s="37"/>
      <c r="D613" s="37"/>
      <c r="E613" s="37"/>
      <c r="F613" s="37"/>
      <c r="G613" s="3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2:21" ht="15.75" customHeight="1" x14ac:dyDescent="0.2">
      <c r="B614" s="2"/>
      <c r="C614" s="37"/>
      <c r="D614" s="37"/>
      <c r="E614" s="37"/>
      <c r="F614" s="37"/>
      <c r="G614" s="3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2:21" ht="15.75" customHeight="1" x14ac:dyDescent="0.2">
      <c r="B615" s="2"/>
      <c r="C615" s="37"/>
      <c r="D615" s="37"/>
      <c r="E615" s="37"/>
      <c r="F615" s="37"/>
      <c r="G615" s="3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2:21" ht="15.75" customHeight="1" x14ac:dyDescent="0.2">
      <c r="B616" s="2"/>
      <c r="C616" s="37"/>
      <c r="D616" s="37"/>
      <c r="E616" s="37"/>
      <c r="F616" s="37"/>
      <c r="G616" s="3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2:21" ht="15.75" customHeight="1" x14ac:dyDescent="0.2">
      <c r="B617" s="2"/>
      <c r="C617" s="37"/>
      <c r="D617" s="37"/>
      <c r="E617" s="37"/>
      <c r="F617" s="37"/>
      <c r="G617" s="3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2:21" ht="15.75" customHeight="1" x14ac:dyDescent="0.2">
      <c r="B618" s="2"/>
      <c r="C618" s="37"/>
      <c r="D618" s="37"/>
      <c r="E618" s="37"/>
      <c r="F618" s="37"/>
      <c r="G618" s="3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2:21" ht="15.75" customHeight="1" x14ac:dyDescent="0.2">
      <c r="B619" s="2"/>
      <c r="C619" s="37"/>
      <c r="D619" s="37"/>
      <c r="E619" s="37"/>
      <c r="F619" s="37"/>
      <c r="G619" s="3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2:21" ht="15.75" customHeight="1" x14ac:dyDescent="0.2">
      <c r="B620" s="2"/>
      <c r="C620" s="37"/>
      <c r="D620" s="37"/>
      <c r="E620" s="37"/>
      <c r="F620" s="37"/>
      <c r="G620" s="3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2:21" ht="15.75" customHeight="1" x14ac:dyDescent="0.2">
      <c r="B621" s="2"/>
      <c r="C621" s="37"/>
      <c r="D621" s="37"/>
      <c r="E621" s="37"/>
      <c r="F621" s="37"/>
      <c r="G621" s="3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2:21" ht="15.75" customHeight="1" x14ac:dyDescent="0.2">
      <c r="B622" s="2"/>
      <c r="C622" s="37"/>
      <c r="D622" s="37"/>
      <c r="E622" s="37"/>
      <c r="F622" s="37"/>
      <c r="G622" s="3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2:21" ht="15.75" customHeight="1" x14ac:dyDescent="0.2">
      <c r="B623" s="2"/>
      <c r="C623" s="37"/>
      <c r="D623" s="37"/>
      <c r="E623" s="37"/>
      <c r="F623" s="37"/>
      <c r="G623" s="3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2:21" ht="15.75" customHeight="1" x14ac:dyDescent="0.2">
      <c r="B624" s="2"/>
      <c r="C624" s="37"/>
      <c r="D624" s="37"/>
      <c r="E624" s="37"/>
      <c r="F624" s="37"/>
      <c r="G624" s="3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2:21" ht="15.75" customHeight="1" x14ac:dyDescent="0.2">
      <c r="B625" s="2"/>
      <c r="C625" s="37"/>
      <c r="D625" s="37"/>
      <c r="E625" s="37"/>
      <c r="F625" s="37"/>
      <c r="G625" s="3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2:21" ht="15.75" customHeight="1" x14ac:dyDescent="0.2">
      <c r="B626" s="2"/>
      <c r="C626" s="37"/>
      <c r="D626" s="37"/>
      <c r="E626" s="37"/>
      <c r="F626" s="37"/>
      <c r="G626" s="3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2:21" ht="15.75" customHeight="1" x14ac:dyDescent="0.2">
      <c r="B627" s="2"/>
      <c r="C627" s="37"/>
      <c r="D627" s="37"/>
      <c r="E627" s="37"/>
      <c r="F627" s="37"/>
      <c r="G627" s="3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2:21" ht="15.75" customHeight="1" x14ac:dyDescent="0.2">
      <c r="B628" s="2"/>
      <c r="C628" s="37"/>
      <c r="D628" s="37"/>
      <c r="E628" s="37"/>
      <c r="F628" s="37"/>
      <c r="G628" s="3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2:21" ht="15.75" customHeight="1" x14ac:dyDescent="0.2">
      <c r="B629" s="2"/>
      <c r="C629" s="37"/>
      <c r="D629" s="37"/>
      <c r="E629" s="37"/>
      <c r="F629" s="37"/>
      <c r="G629" s="3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2:21" ht="15.75" customHeight="1" x14ac:dyDescent="0.2">
      <c r="B630" s="2"/>
      <c r="C630" s="37"/>
      <c r="D630" s="37"/>
      <c r="E630" s="37"/>
      <c r="F630" s="37"/>
      <c r="G630" s="3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2:21" ht="15.75" customHeight="1" x14ac:dyDescent="0.2">
      <c r="B631" s="2"/>
      <c r="C631" s="37"/>
      <c r="D631" s="37"/>
      <c r="E631" s="37"/>
      <c r="F631" s="37"/>
      <c r="G631" s="3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2:21" ht="15.75" customHeight="1" x14ac:dyDescent="0.2">
      <c r="B632" s="2"/>
      <c r="C632" s="37"/>
      <c r="D632" s="37"/>
      <c r="E632" s="37"/>
      <c r="F632" s="37"/>
      <c r="G632" s="3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2:21" ht="15.75" customHeight="1" x14ac:dyDescent="0.2">
      <c r="B633" s="2"/>
      <c r="C633" s="37"/>
      <c r="D633" s="37"/>
      <c r="E633" s="37"/>
      <c r="F633" s="37"/>
      <c r="G633" s="3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2:21" ht="15.75" customHeight="1" x14ac:dyDescent="0.2">
      <c r="B634" s="2"/>
      <c r="C634" s="37"/>
      <c r="D634" s="37"/>
      <c r="E634" s="37"/>
      <c r="F634" s="37"/>
      <c r="G634" s="3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2:21" ht="15.75" customHeight="1" x14ac:dyDescent="0.2">
      <c r="B635" s="2"/>
      <c r="C635" s="37"/>
      <c r="D635" s="37"/>
      <c r="E635" s="37"/>
      <c r="F635" s="37"/>
      <c r="G635" s="3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2:21" ht="15.75" customHeight="1" x14ac:dyDescent="0.2">
      <c r="B636" s="2"/>
      <c r="C636" s="37"/>
      <c r="D636" s="37"/>
      <c r="E636" s="37"/>
      <c r="F636" s="37"/>
      <c r="G636" s="3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2:21" ht="15.75" customHeight="1" x14ac:dyDescent="0.2">
      <c r="B637" s="2"/>
      <c r="C637" s="37"/>
      <c r="D637" s="37"/>
      <c r="E637" s="37"/>
      <c r="F637" s="37"/>
      <c r="G637" s="3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2:21" ht="15.75" customHeight="1" x14ac:dyDescent="0.2">
      <c r="B638" s="2"/>
      <c r="C638" s="37"/>
      <c r="D638" s="37"/>
      <c r="E638" s="37"/>
      <c r="F638" s="37"/>
      <c r="G638" s="3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2:21" ht="15.75" customHeight="1" x14ac:dyDescent="0.2">
      <c r="B639" s="2"/>
      <c r="C639" s="37"/>
      <c r="D639" s="37"/>
      <c r="E639" s="37"/>
      <c r="F639" s="37"/>
      <c r="G639" s="3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2:21" ht="15.75" customHeight="1" x14ac:dyDescent="0.2">
      <c r="B640" s="2"/>
      <c r="C640" s="37"/>
      <c r="D640" s="37"/>
      <c r="E640" s="37"/>
      <c r="F640" s="37"/>
      <c r="G640" s="3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2:21" ht="15.75" customHeight="1" x14ac:dyDescent="0.2">
      <c r="B641" s="2"/>
      <c r="C641" s="37"/>
      <c r="D641" s="37"/>
      <c r="E641" s="37"/>
      <c r="F641" s="37"/>
      <c r="G641" s="3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2:21" ht="15.75" customHeight="1" x14ac:dyDescent="0.2"/>
    <row r="643" spans="2:21" ht="15.75" customHeight="1" x14ac:dyDescent="0.2"/>
    <row r="644" spans="2:21" ht="15.75" customHeight="1" x14ac:dyDescent="0.2"/>
    <row r="645" spans="2:21" ht="15.75" customHeight="1" x14ac:dyDescent="0.2"/>
    <row r="646" spans="2:21" ht="15.75" customHeight="1" x14ac:dyDescent="0.2"/>
    <row r="647" spans="2:21" ht="15.75" customHeight="1" x14ac:dyDescent="0.2"/>
    <row r="648" spans="2:21" ht="15.75" customHeight="1" x14ac:dyDescent="0.2"/>
    <row r="649" spans="2:21" ht="15.75" customHeight="1" x14ac:dyDescent="0.2"/>
    <row r="650" spans="2:21" ht="15.75" customHeight="1" x14ac:dyDescent="0.2"/>
    <row r="651" spans="2:21" ht="15.75" customHeight="1" x14ac:dyDescent="0.2"/>
    <row r="652" spans="2:21" ht="15.75" customHeight="1" x14ac:dyDescent="0.2"/>
    <row r="653" spans="2:21" ht="15.75" customHeight="1" x14ac:dyDescent="0.2"/>
    <row r="654" spans="2:21" ht="15.75" customHeight="1" x14ac:dyDescent="0.2"/>
    <row r="655" spans="2:21" ht="15.75" customHeight="1" x14ac:dyDescent="0.2"/>
    <row r="656" spans="2:21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</sheetData>
  <mergeCells count="2">
    <mergeCell ref="A4:G4"/>
    <mergeCell ref="A5:G5"/>
  </mergeCells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72"/>
  <sheetViews>
    <sheetView zoomScaleNormal="100" workbookViewId="0">
      <selection activeCell="J20" sqref="J20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114" customWidth="1"/>
    <col min="11" max="11" width="10.5703125" style="114" customWidth="1"/>
    <col min="12" max="12" width="10.85546875" style="114" customWidth="1"/>
    <col min="13" max="13" width="10.7109375" style="114" customWidth="1"/>
    <col min="14" max="14" width="12.28515625" style="114" customWidth="1"/>
    <col min="15" max="15" width="11" style="114" customWidth="1"/>
    <col min="16" max="18" width="12.7109375" customWidth="1"/>
    <col min="19" max="19" width="10.28515625" customWidth="1"/>
  </cols>
  <sheetData>
    <row r="1" spans="1:19" x14ac:dyDescent="0.2">
      <c r="A1" s="110"/>
      <c r="B1" s="110"/>
      <c r="C1" s="110"/>
      <c r="D1" s="110"/>
      <c r="E1" s="110"/>
      <c r="F1" s="110"/>
      <c r="G1" s="110"/>
      <c r="H1" s="110"/>
      <c r="I1" s="110"/>
      <c r="J1" s="158"/>
      <c r="K1" s="158"/>
      <c r="L1" s="158"/>
      <c r="M1" s="158"/>
      <c r="N1" s="158"/>
      <c r="O1" s="98" t="s">
        <v>985</v>
      </c>
    </row>
    <row r="2" spans="1:19" x14ac:dyDescent="0.2">
      <c r="A2" s="110"/>
      <c r="B2" s="110"/>
      <c r="C2" s="110"/>
      <c r="D2" s="110"/>
      <c r="E2" s="110"/>
      <c r="F2" s="110"/>
      <c r="G2" s="110"/>
      <c r="H2" s="110"/>
      <c r="I2" s="110"/>
      <c r="J2" s="158"/>
      <c r="K2" s="158"/>
      <c r="L2" s="158"/>
      <c r="M2" s="158"/>
      <c r="N2" s="158"/>
      <c r="O2" s="98">
        <f>'1.Bev-kiad.'!D3</f>
        <v>0</v>
      </c>
    </row>
    <row r="3" spans="1:19" ht="16.5" customHeight="1" x14ac:dyDescent="0.2">
      <c r="A3" s="1000" t="s">
        <v>115</v>
      </c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</row>
    <row r="4" spans="1:19" ht="30.75" customHeight="1" x14ac:dyDescent="0.2">
      <c r="A4" s="1060" t="s">
        <v>1186</v>
      </c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59"/>
    </row>
    <row r="5" spans="1:19" ht="12" customHeight="1" x14ac:dyDescent="0.2">
      <c r="A5" s="1010"/>
      <c r="B5" s="1010"/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</row>
    <row r="6" spans="1:19" ht="12.95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111"/>
      <c r="K6" s="111"/>
      <c r="L6" s="111"/>
      <c r="M6" s="111"/>
      <c r="N6" s="111"/>
      <c r="O6" s="98" t="s">
        <v>0</v>
      </c>
    </row>
    <row r="7" spans="1:19" ht="43.5" customHeight="1" x14ac:dyDescent="0.2">
      <c r="A7" s="1072" t="s">
        <v>105</v>
      </c>
      <c r="B7" s="1054" t="s">
        <v>106</v>
      </c>
      <c r="C7" s="1054" t="s">
        <v>107</v>
      </c>
      <c r="D7" s="1064" t="s">
        <v>114</v>
      </c>
      <c r="E7" s="1054" t="s">
        <v>108</v>
      </c>
      <c r="F7" s="533"/>
      <c r="G7" s="1064" t="s">
        <v>762</v>
      </c>
      <c r="H7" s="1057" t="s">
        <v>109</v>
      </c>
      <c r="I7" s="1058"/>
      <c r="J7" s="1058"/>
      <c r="K7" s="1059"/>
      <c r="L7" s="1064" t="s">
        <v>925</v>
      </c>
      <c r="M7" s="1067" t="s">
        <v>1187</v>
      </c>
      <c r="N7" s="1067" t="s">
        <v>1188</v>
      </c>
      <c r="O7" s="1061" t="s">
        <v>400</v>
      </c>
    </row>
    <row r="8" spans="1:19" ht="51" customHeight="1" x14ac:dyDescent="0.2">
      <c r="A8" s="1073"/>
      <c r="B8" s="1055"/>
      <c r="C8" s="1055"/>
      <c r="D8" s="1065"/>
      <c r="E8" s="1055"/>
      <c r="F8" s="209" t="s">
        <v>383</v>
      </c>
      <c r="G8" s="1065"/>
      <c r="H8" s="1070" t="s">
        <v>111</v>
      </c>
      <c r="I8" s="1071"/>
      <c r="J8" s="1055" t="s">
        <v>110</v>
      </c>
      <c r="K8" s="1055" t="s">
        <v>384</v>
      </c>
      <c r="L8" s="1065"/>
      <c r="M8" s="1068"/>
      <c r="N8" s="1068"/>
      <c r="O8" s="1062"/>
    </row>
    <row r="9" spans="1:19" ht="41.25" customHeight="1" thickBot="1" x14ac:dyDescent="0.25">
      <c r="A9" s="1074"/>
      <c r="B9" s="1056"/>
      <c r="C9" s="1056"/>
      <c r="D9" s="1066"/>
      <c r="E9" s="1056"/>
      <c r="F9" s="534"/>
      <c r="G9" s="1066"/>
      <c r="H9" s="535" t="s">
        <v>112</v>
      </c>
      <c r="I9" s="535" t="s">
        <v>113</v>
      </c>
      <c r="J9" s="1056"/>
      <c r="K9" s="1056"/>
      <c r="L9" s="1066"/>
      <c r="M9" s="1069"/>
      <c r="N9" s="1069"/>
      <c r="O9" s="1063"/>
    </row>
    <row r="10" spans="1:19" ht="38.25" x14ac:dyDescent="0.2">
      <c r="A10" s="530" t="s">
        <v>514</v>
      </c>
      <c r="B10" s="536" t="s">
        <v>515</v>
      </c>
      <c r="C10" s="93">
        <v>680000</v>
      </c>
      <c r="D10" s="164" t="s">
        <v>516</v>
      </c>
      <c r="E10" s="93">
        <v>680000</v>
      </c>
      <c r="F10" s="93">
        <v>0</v>
      </c>
      <c r="G10" s="93">
        <v>665000</v>
      </c>
      <c r="H10" s="93">
        <v>665000</v>
      </c>
      <c r="I10" s="14">
        <v>0</v>
      </c>
      <c r="J10" s="93">
        <v>0</v>
      </c>
      <c r="K10" s="93">
        <v>665000</v>
      </c>
      <c r="L10" s="93">
        <v>0</v>
      </c>
      <c r="M10" s="675">
        <f>SUM('10.Többéves, adósság'!C11)</f>
        <v>530984</v>
      </c>
      <c r="N10" s="720" t="s">
        <v>1192</v>
      </c>
      <c r="O10" s="537" t="s">
        <v>69</v>
      </c>
    </row>
    <row r="11" spans="1:19" ht="38.25" customHeight="1" thickBot="1" x14ac:dyDescent="0.25">
      <c r="A11" s="135" t="s">
        <v>959</v>
      </c>
      <c r="B11" s="536" t="s">
        <v>960</v>
      </c>
      <c r="C11" s="93">
        <v>230000</v>
      </c>
      <c r="D11" s="164" t="s">
        <v>516</v>
      </c>
      <c r="E11" s="93">
        <v>230000</v>
      </c>
      <c r="F11" s="93">
        <v>0</v>
      </c>
      <c r="G11" s="93">
        <v>221049</v>
      </c>
      <c r="H11" s="93">
        <v>221049</v>
      </c>
      <c r="I11" s="14">
        <v>0</v>
      </c>
      <c r="J11" s="93">
        <v>0</v>
      </c>
      <c r="K11" s="93">
        <v>221049</v>
      </c>
      <c r="L11" s="93">
        <v>0</v>
      </c>
      <c r="M11" s="675">
        <v>221049</v>
      </c>
      <c r="N11" s="721" t="s">
        <v>69</v>
      </c>
      <c r="O11" s="537" t="s">
        <v>69</v>
      </c>
    </row>
    <row r="12" spans="1:19" ht="19.5" customHeight="1" thickBot="1" x14ac:dyDescent="0.25">
      <c r="A12" s="160" t="s">
        <v>73</v>
      </c>
      <c r="B12" s="161"/>
      <c r="C12" s="162">
        <f>SUM(C10:C11)</f>
        <v>910000</v>
      </c>
      <c r="D12" s="161"/>
      <c r="E12" s="162">
        <f>SUM(E10:E11)</f>
        <v>910000</v>
      </c>
      <c r="F12" s="162">
        <f>SUM(F10:F11)</f>
        <v>0</v>
      </c>
      <c r="G12" s="214">
        <f>SUM(E12:F12)</f>
        <v>910000</v>
      </c>
      <c r="H12" s="162">
        <f>SUM(H10:H11)</f>
        <v>886049</v>
      </c>
      <c r="I12" s="162">
        <f>SUM(I10:I11)</f>
        <v>0</v>
      </c>
      <c r="J12" s="162">
        <f>SUM(J10:J11)</f>
        <v>0</v>
      </c>
      <c r="K12" s="162">
        <f>SUM(K10:K11)</f>
        <v>886049</v>
      </c>
      <c r="L12" s="162"/>
      <c r="M12" s="676">
        <f>SUM(M10:M11)</f>
        <v>752033</v>
      </c>
      <c r="N12" s="676">
        <f>SUM(N10:N11)</f>
        <v>0</v>
      </c>
      <c r="O12" s="163"/>
    </row>
    <row r="13" spans="1:19" ht="12.95" customHeight="1" x14ac:dyDescent="0.2">
      <c r="J13"/>
      <c r="K13" s="45">
        <f>SUM(H12:J12)</f>
        <v>886049</v>
      </c>
      <c r="L13" s="86"/>
      <c r="M13"/>
      <c r="N13"/>
      <c r="O13"/>
      <c r="P13" s="3"/>
      <c r="Q13" s="3"/>
      <c r="R13" s="3"/>
      <c r="S13" s="3"/>
    </row>
    <row r="14" spans="1:19" ht="12.95" customHeight="1" x14ac:dyDescent="0.2">
      <c r="B14" s="86"/>
      <c r="C14" s="86"/>
      <c r="D14" s="86"/>
      <c r="E14" s="86"/>
      <c r="F14" s="86"/>
      <c r="G14" s="86"/>
      <c r="H14" s="86"/>
      <c r="I14" s="86"/>
      <c r="J14" s="113"/>
      <c r="K14" s="113"/>
      <c r="L14" s="113"/>
      <c r="M14" s="113"/>
      <c r="N14" s="113"/>
      <c r="O14" s="113"/>
      <c r="P14" s="3"/>
      <c r="Q14" s="3"/>
      <c r="R14" s="3"/>
      <c r="S14" s="3"/>
    </row>
    <row r="15" spans="1:19" ht="12.95" customHeight="1" x14ac:dyDescent="0.2">
      <c r="B15" s="86"/>
      <c r="C15" s="86"/>
      <c r="D15" s="86"/>
      <c r="E15" s="86"/>
      <c r="F15" s="86"/>
      <c r="G15" s="86"/>
      <c r="H15" s="86"/>
      <c r="I15" s="86"/>
      <c r="J15" s="113"/>
      <c r="K15" s="113"/>
      <c r="L15" s="113"/>
      <c r="M15" s="113"/>
      <c r="N15" s="113"/>
      <c r="O15" s="113"/>
      <c r="P15" s="3"/>
      <c r="Q15" s="3"/>
      <c r="R15" s="3"/>
      <c r="S15" s="3"/>
    </row>
    <row r="16" spans="1:19" ht="12.95" customHeight="1" x14ac:dyDescent="0.2">
      <c r="B16" s="86"/>
      <c r="C16" s="86"/>
      <c r="D16" s="86"/>
      <c r="E16" s="86"/>
      <c r="F16" s="86"/>
      <c r="G16" s="86"/>
      <c r="H16" s="86"/>
      <c r="I16" s="86"/>
      <c r="J16" s="113"/>
      <c r="K16" s="113"/>
      <c r="L16" s="113"/>
      <c r="M16" s="113"/>
      <c r="N16" s="113"/>
      <c r="O16" s="113"/>
      <c r="P16" s="3"/>
      <c r="Q16" s="3"/>
      <c r="R16" s="3"/>
      <c r="S16" s="3"/>
    </row>
    <row r="17" spans="2:19" ht="12.95" customHeight="1" x14ac:dyDescent="0.2">
      <c r="B17" s="86"/>
      <c r="C17" s="86"/>
      <c r="D17" s="86"/>
      <c r="E17" s="86"/>
      <c r="F17" s="86"/>
      <c r="G17" s="86"/>
      <c r="H17" s="86"/>
      <c r="I17" s="86"/>
      <c r="J17" s="113"/>
      <c r="K17" s="113"/>
      <c r="L17" s="113"/>
      <c r="M17" s="113"/>
      <c r="N17" s="113"/>
      <c r="O17" s="113"/>
      <c r="P17" s="3"/>
      <c r="Q17" s="3"/>
      <c r="R17" s="3"/>
      <c r="S17" s="3"/>
    </row>
    <row r="18" spans="2:19" ht="12.95" customHeight="1" x14ac:dyDescent="0.2">
      <c r="B18" s="86"/>
      <c r="C18" s="86"/>
      <c r="D18" s="86"/>
      <c r="E18" s="86"/>
      <c r="F18" s="86"/>
      <c r="G18" s="86"/>
      <c r="H18" s="86"/>
      <c r="I18" s="86"/>
      <c r="J18" s="113"/>
      <c r="K18" s="113"/>
      <c r="L18" s="113"/>
      <c r="M18" s="113"/>
      <c r="N18" s="113"/>
      <c r="O18" s="113"/>
      <c r="P18" s="3"/>
      <c r="Q18" s="3"/>
      <c r="R18" s="3"/>
      <c r="S18" s="3"/>
    </row>
    <row r="19" spans="2:19" ht="12.95" customHeight="1" x14ac:dyDescent="0.2">
      <c r="B19" s="86"/>
      <c r="C19" s="86"/>
      <c r="D19" s="86"/>
      <c r="E19" s="86"/>
      <c r="F19" s="86"/>
      <c r="G19" s="86"/>
      <c r="H19" s="86"/>
      <c r="I19" s="86"/>
      <c r="J19" s="113"/>
      <c r="K19" s="113"/>
      <c r="L19" s="113"/>
      <c r="M19" s="113"/>
      <c r="N19" s="113"/>
      <c r="O19" s="113"/>
      <c r="P19" s="3"/>
      <c r="Q19" s="3"/>
      <c r="R19" s="3"/>
      <c r="S19" s="3"/>
    </row>
    <row r="20" spans="2:19" ht="12.95" customHeight="1" x14ac:dyDescent="0.2">
      <c r="B20" s="86"/>
      <c r="C20" s="86"/>
      <c r="D20" s="86"/>
      <c r="E20" s="86"/>
      <c r="F20" s="86"/>
      <c r="G20" s="86"/>
      <c r="H20" s="86"/>
      <c r="I20" s="86"/>
      <c r="J20" s="113"/>
      <c r="K20" s="113"/>
      <c r="L20" s="113"/>
      <c r="M20" s="113"/>
      <c r="N20" s="113"/>
      <c r="O20" s="113"/>
      <c r="P20" s="3"/>
      <c r="Q20" s="3"/>
      <c r="R20" s="3"/>
      <c r="S20" s="3"/>
    </row>
    <row r="21" spans="2:19" ht="12.95" customHeight="1" x14ac:dyDescent="0.2">
      <c r="B21" s="86"/>
      <c r="C21" s="86"/>
      <c r="D21" s="86"/>
      <c r="E21" s="86"/>
      <c r="F21" s="86"/>
      <c r="G21" s="86"/>
      <c r="H21" s="86"/>
      <c r="I21" s="86"/>
      <c r="J21" s="113"/>
      <c r="K21" s="113"/>
      <c r="L21" s="113"/>
      <c r="M21" s="113"/>
      <c r="N21" s="113"/>
      <c r="O21" s="113"/>
      <c r="P21" s="3"/>
      <c r="Q21" s="3"/>
      <c r="R21" s="3"/>
      <c r="S21" s="3"/>
    </row>
    <row r="22" spans="2:19" ht="12.95" customHeight="1" x14ac:dyDescent="0.2">
      <c r="B22" s="86"/>
      <c r="C22" s="86"/>
      <c r="D22" s="86"/>
      <c r="E22" s="86"/>
      <c r="F22" s="86"/>
      <c r="G22" s="86"/>
      <c r="H22" s="86"/>
      <c r="I22" s="86"/>
      <c r="J22" s="113"/>
      <c r="K22" s="113"/>
      <c r="L22" s="113"/>
      <c r="M22" s="113"/>
      <c r="N22" s="113"/>
      <c r="O22" s="113"/>
      <c r="P22" s="3"/>
      <c r="Q22" s="3"/>
      <c r="R22" s="3"/>
      <c r="S22" s="3"/>
    </row>
    <row r="23" spans="2:19" ht="12.95" customHeight="1" x14ac:dyDescent="0.2">
      <c r="B23" s="86"/>
      <c r="C23" s="86"/>
      <c r="D23" s="86"/>
      <c r="E23" s="86"/>
      <c r="F23" s="86"/>
      <c r="G23" s="86"/>
      <c r="H23" s="86"/>
      <c r="I23" s="86"/>
      <c r="J23" s="113"/>
      <c r="K23" s="113"/>
      <c r="L23" s="113"/>
      <c r="M23" s="113"/>
      <c r="N23" s="113"/>
      <c r="O23" s="113"/>
      <c r="P23" s="3"/>
      <c r="Q23" s="3"/>
      <c r="R23" s="3"/>
      <c r="S23" s="3"/>
    </row>
    <row r="24" spans="2:19" ht="12.95" customHeight="1" x14ac:dyDescent="0.2">
      <c r="B24" s="86"/>
      <c r="C24" s="86"/>
      <c r="D24" s="86"/>
      <c r="E24" s="86"/>
      <c r="F24" s="86"/>
      <c r="G24" s="86"/>
      <c r="H24" s="86"/>
      <c r="I24" s="86"/>
      <c r="J24" s="113"/>
      <c r="K24" s="113"/>
      <c r="L24" s="113"/>
      <c r="M24" s="113"/>
      <c r="N24" s="113"/>
      <c r="O24" s="113"/>
      <c r="P24" s="3"/>
      <c r="Q24" s="3"/>
      <c r="R24" s="3"/>
      <c r="S24" s="3"/>
    </row>
    <row r="25" spans="2:19" ht="12.95" customHeight="1" x14ac:dyDescent="0.2">
      <c r="B25" s="86"/>
      <c r="C25" s="86"/>
      <c r="D25" s="86"/>
      <c r="E25" s="86"/>
      <c r="F25" s="86"/>
      <c r="G25" s="86"/>
      <c r="H25" s="86"/>
      <c r="I25" s="86"/>
      <c r="J25" s="113"/>
      <c r="K25" s="113"/>
      <c r="L25" s="113"/>
      <c r="M25" s="113"/>
      <c r="N25" s="113"/>
      <c r="O25" s="113"/>
      <c r="P25" s="3"/>
      <c r="Q25" s="3"/>
      <c r="R25" s="3"/>
      <c r="S25" s="3"/>
    </row>
    <row r="26" spans="2:19" ht="12.95" customHeight="1" x14ac:dyDescent="0.2">
      <c r="B26" s="86"/>
      <c r="C26" s="86"/>
      <c r="D26" s="86"/>
      <c r="E26" s="86"/>
      <c r="F26" s="86"/>
      <c r="G26" s="86"/>
      <c r="H26" s="86"/>
      <c r="I26" s="86"/>
      <c r="J26" s="113"/>
      <c r="K26" s="113"/>
      <c r="L26" s="113"/>
      <c r="M26" s="113"/>
      <c r="N26" s="113"/>
      <c r="O26" s="113"/>
      <c r="P26" s="3"/>
      <c r="Q26" s="3"/>
      <c r="R26" s="3"/>
      <c r="S26" s="3"/>
    </row>
    <row r="27" spans="2:19" ht="12.95" customHeight="1" x14ac:dyDescent="0.2">
      <c r="B27" s="86"/>
      <c r="C27" s="86"/>
      <c r="D27" s="86"/>
      <c r="E27" s="86"/>
      <c r="F27" s="86"/>
      <c r="G27" s="86"/>
      <c r="H27" s="86"/>
      <c r="I27" s="86"/>
      <c r="J27" s="113"/>
      <c r="K27" s="113"/>
      <c r="L27" s="113"/>
      <c r="M27" s="113"/>
      <c r="N27" s="113"/>
      <c r="O27" s="113"/>
      <c r="P27" s="3"/>
      <c r="Q27" s="3"/>
      <c r="R27" s="3"/>
      <c r="S27" s="3"/>
    </row>
    <row r="28" spans="2:19" ht="12.95" customHeight="1" x14ac:dyDescent="0.2">
      <c r="B28" s="86"/>
      <c r="C28" s="86"/>
      <c r="D28" s="86"/>
      <c r="E28" s="86"/>
      <c r="F28" s="86"/>
      <c r="G28" s="86"/>
      <c r="H28" s="86"/>
      <c r="I28" s="86"/>
      <c r="J28" s="113"/>
      <c r="K28" s="113"/>
      <c r="L28" s="113"/>
      <c r="M28" s="113"/>
      <c r="N28" s="113"/>
      <c r="O28" s="113"/>
      <c r="P28" s="3"/>
      <c r="Q28" s="3"/>
      <c r="R28" s="3"/>
      <c r="S28" s="3"/>
    </row>
    <row r="29" spans="2:19" ht="12.95" customHeight="1" x14ac:dyDescent="0.2">
      <c r="B29" s="86"/>
      <c r="C29" s="86"/>
      <c r="D29" s="86"/>
      <c r="E29" s="86"/>
      <c r="F29" s="86"/>
      <c r="G29" s="86"/>
      <c r="H29" s="86"/>
      <c r="I29" s="86"/>
      <c r="J29" s="113"/>
      <c r="K29" s="113"/>
      <c r="L29" s="113"/>
      <c r="M29" s="113"/>
      <c r="N29" s="113"/>
      <c r="O29" s="113"/>
      <c r="P29" s="3"/>
      <c r="Q29" s="3"/>
      <c r="R29" s="3"/>
      <c r="S29" s="3"/>
    </row>
    <row r="30" spans="2:19" ht="12.95" customHeight="1" x14ac:dyDescent="0.2">
      <c r="B30" s="86"/>
      <c r="C30" s="86"/>
      <c r="D30" s="86"/>
      <c r="E30" s="86"/>
      <c r="F30" s="86"/>
      <c r="G30" s="86"/>
      <c r="H30" s="86"/>
      <c r="I30" s="86"/>
      <c r="J30" s="113"/>
      <c r="K30" s="113"/>
      <c r="L30" s="113"/>
      <c r="M30" s="113"/>
      <c r="N30" s="113"/>
      <c r="O30" s="113"/>
      <c r="P30" s="3"/>
      <c r="Q30" s="3"/>
      <c r="R30" s="3"/>
      <c r="S30" s="3"/>
    </row>
    <row r="31" spans="2:19" ht="12.95" customHeight="1" x14ac:dyDescent="0.2">
      <c r="B31" s="86"/>
      <c r="C31" s="86"/>
      <c r="D31" s="86"/>
      <c r="E31" s="86"/>
      <c r="F31" s="86"/>
      <c r="G31" s="86"/>
      <c r="H31" s="86"/>
      <c r="I31" s="86"/>
      <c r="J31" s="113"/>
      <c r="K31" s="113"/>
      <c r="L31" s="113"/>
      <c r="M31" s="113"/>
      <c r="N31" s="113"/>
      <c r="O31" s="113"/>
      <c r="P31" s="3"/>
      <c r="Q31" s="3"/>
      <c r="R31" s="3"/>
      <c r="S31" s="3"/>
    </row>
    <row r="32" spans="2:19" ht="12.95" customHeight="1" x14ac:dyDescent="0.2">
      <c r="B32" s="86"/>
      <c r="C32" s="86"/>
      <c r="D32" s="86"/>
      <c r="E32" s="86"/>
      <c r="F32" s="86"/>
      <c r="G32" s="86"/>
      <c r="H32" s="86"/>
      <c r="I32" s="86"/>
      <c r="J32" s="113"/>
      <c r="K32" s="113"/>
      <c r="L32" s="113"/>
      <c r="M32" s="113"/>
      <c r="N32" s="113"/>
      <c r="O32" s="113"/>
      <c r="P32" s="3"/>
      <c r="Q32" s="3"/>
      <c r="R32" s="3"/>
      <c r="S32" s="3"/>
    </row>
    <row r="33" spans="2:19" ht="12.95" customHeight="1" x14ac:dyDescent="0.2">
      <c r="B33" s="86"/>
      <c r="C33" s="86"/>
      <c r="D33" s="86"/>
      <c r="E33" s="86"/>
      <c r="F33" s="86"/>
      <c r="G33" s="86"/>
      <c r="H33" s="86"/>
      <c r="I33" s="86"/>
      <c r="J33" s="113"/>
      <c r="K33" s="113"/>
      <c r="L33" s="113"/>
      <c r="M33" s="113"/>
      <c r="N33" s="113"/>
      <c r="O33" s="113"/>
      <c r="P33" s="3"/>
      <c r="Q33" s="3"/>
      <c r="R33" s="3"/>
      <c r="S33" s="3"/>
    </row>
    <row r="34" spans="2:19" ht="12.95" customHeight="1" x14ac:dyDescent="0.2">
      <c r="B34" s="86"/>
      <c r="C34" s="86"/>
      <c r="D34" s="86"/>
      <c r="E34" s="86"/>
      <c r="F34" s="86"/>
      <c r="G34" s="86"/>
      <c r="H34" s="86"/>
      <c r="I34" s="86"/>
      <c r="J34" s="113"/>
      <c r="K34" s="113"/>
      <c r="L34" s="113"/>
      <c r="M34" s="113"/>
      <c r="N34" s="113"/>
      <c r="O34" s="113"/>
      <c r="P34" s="3"/>
      <c r="Q34" s="3"/>
      <c r="R34" s="3"/>
      <c r="S34" s="3"/>
    </row>
    <row r="35" spans="2:19" ht="12.95" customHeight="1" x14ac:dyDescent="0.2">
      <c r="B35" s="86"/>
      <c r="C35" s="86"/>
      <c r="D35" s="86"/>
      <c r="E35" s="86"/>
      <c r="F35" s="86"/>
      <c r="G35" s="86"/>
      <c r="H35" s="86"/>
      <c r="I35" s="86"/>
      <c r="J35" s="113"/>
      <c r="K35" s="113"/>
      <c r="L35" s="113"/>
      <c r="M35" s="113"/>
      <c r="N35" s="113"/>
      <c r="O35" s="113"/>
      <c r="P35" s="3"/>
      <c r="Q35" s="3"/>
      <c r="R35" s="3"/>
      <c r="S35" s="3"/>
    </row>
    <row r="36" spans="2:19" ht="12.95" customHeight="1" x14ac:dyDescent="0.2">
      <c r="B36" s="86"/>
      <c r="C36" s="86"/>
      <c r="D36" s="86"/>
      <c r="E36" s="86"/>
      <c r="F36" s="86"/>
      <c r="G36" s="86"/>
      <c r="H36" s="86"/>
      <c r="I36" s="86"/>
      <c r="J36" s="113"/>
      <c r="K36" s="113"/>
      <c r="L36" s="113"/>
      <c r="M36" s="113"/>
      <c r="N36" s="113"/>
      <c r="O36" s="113"/>
      <c r="P36" s="3"/>
      <c r="Q36" s="3"/>
      <c r="R36" s="3"/>
      <c r="S36" s="3"/>
    </row>
    <row r="37" spans="2:19" ht="12.95" customHeight="1" x14ac:dyDescent="0.2">
      <c r="B37" s="86"/>
      <c r="C37" s="86"/>
      <c r="D37" s="86"/>
      <c r="E37" s="86"/>
      <c r="F37" s="86"/>
      <c r="G37" s="86"/>
      <c r="H37" s="86"/>
      <c r="I37" s="86"/>
      <c r="J37" s="113"/>
      <c r="K37" s="113"/>
      <c r="L37" s="113"/>
      <c r="M37" s="113"/>
      <c r="N37" s="113"/>
      <c r="O37" s="113"/>
      <c r="P37" s="3"/>
      <c r="Q37" s="3"/>
      <c r="R37" s="3"/>
      <c r="S37" s="3"/>
    </row>
    <row r="38" spans="2:19" ht="12.95" customHeight="1" x14ac:dyDescent="0.2">
      <c r="B38" s="86"/>
      <c r="C38" s="86"/>
      <c r="D38" s="86"/>
      <c r="E38" s="86"/>
      <c r="F38" s="86"/>
      <c r="G38" s="86"/>
      <c r="H38" s="86"/>
      <c r="I38" s="86"/>
      <c r="J38" s="113"/>
      <c r="K38" s="113"/>
      <c r="L38" s="113"/>
      <c r="M38" s="113"/>
      <c r="N38" s="113"/>
      <c r="O38" s="113"/>
      <c r="P38" s="3"/>
      <c r="Q38" s="3"/>
      <c r="R38" s="3"/>
      <c r="S38" s="3"/>
    </row>
    <row r="39" spans="2:19" ht="12.95" customHeight="1" x14ac:dyDescent="0.2">
      <c r="B39" s="86"/>
      <c r="C39" s="86"/>
      <c r="D39" s="86"/>
      <c r="E39" s="86"/>
      <c r="F39" s="86"/>
      <c r="G39" s="86"/>
      <c r="H39" s="86"/>
      <c r="I39" s="86"/>
      <c r="J39" s="113"/>
      <c r="K39" s="113"/>
      <c r="L39" s="113"/>
      <c r="M39" s="113"/>
      <c r="N39" s="113"/>
      <c r="O39" s="113"/>
      <c r="P39" s="3"/>
      <c r="Q39" s="3"/>
      <c r="R39" s="3"/>
      <c r="S39" s="3"/>
    </row>
    <row r="40" spans="2:19" ht="12.95" customHeight="1" x14ac:dyDescent="0.2">
      <c r="B40" s="86"/>
      <c r="C40" s="86"/>
      <c r="D40" s="86"/>
      <c r="E40" s="86"/>
      <c r="F40" s="86"/>
      <c r="G40" s="86"/>
      <c r="H40" s="86"/>
      <c r="I40" s="86"/>
      <c r="J40" s="113"/>
      <c r="K40" s="113"/>
      <c r="L40" s="113"/>
      <c r="M40" s="113"/>
      <c r="N40" s="113"/>
      <c r="O40" s="113"/>
      <c r="P40" s="3"/>
      <c r="Q40" s="3"/>
      <c r="R40" s="3"/>
      <c r="S40" s="3"/>
    </row>
    <row r="41" spans="2:19" ht="12.95" customHeight="1" x14ac:dyDescent="0.2">
      <c r="B41" s="86"/>
      <c r="C41" s="86"/>
      <c r="D41" s="86"/>
      <c r="E41" s="86"/>
      <c r="F41" s="86"/>
      <c r="G41" s="86"/>
      <c r="H41" s="86"/>
      <c r="I41" s="86"/>
      <c r="J41" s="113"/>
      <c r="K41" s="113"/>
      <c r="L41" s="113"/>
      <c r="M41" s="113"/>
      <c r="N41" s="113"/>
      <c r="O41" s="113"/>
      <c r="P41" s="3"/>
      <c r="Q41" s="3"/>
      <c r="R41" s="3"/>
      <c r="S41" s="3"/>
    </row>
    <row r="42" spans="2:19" ht="12.95" customHeight="1" x14ac:dyDescent="0.2">
      <c r="B42" s="86"/>
      <c r="C42" s="86"/>
      <c r="D42" s="86"/>
      <c r="E42" s="86"/>
      <c r="F42" s="86"/>
      <c r="G42" s="86"/>
      <c r="H42" s="86"/>
      <c r="I42" s="86"/>
      <c r="J42" s="113"/>
      <c r="K42" s="113"/>
      <c r="L42" s="113"/>
      <c r="M42" s="113"/>
      <c r="N42" s="113"/>
      <c r="O42" s="113"/>
      <c r="P42" s="3"/>
      <c r="Q42" s="3"/>
      <c r="R42" s="3"/>
      <c r="S42" s="3"/>
    </row>
    <row r="43" spans="2:19" ht="12.95" customHeight="1" x14ac:dyDescent="0.2">
      <c r="B43" s="86"/>
      <c r="C43" s="86"/>
      <c r="D43" s="86"/>
      <c r="E43" s="86"/>
      <c r="F43" s="86"/>
      <c r="G43" s="86"/>
      <c r="H43" s="86"/>
      <c r="I43" s="86"/>
      <c r="J43" s="113"/>
      <c r="K43" s="113"/>
      <c r="L43" s="113"/>
      <c r="M43" s="113"/>
      <c r="N43" s="113"/>
      <c r="O43" s="113"/>
      <c r="P43" s="3"/>
      <c r="Q43" s="3"/>
      <c r="R43" s="3"/>
      <c r="S43" s="3"/>
    </row>
    <row r="44" spans="2:19" ht="12.95" customHeight="1" x14ac:dyDescent="0.2">
      <c r="B44" s="86"/>
      <c r="C44" s="86"/>
      <c r="D44" s="86"/>
      <c r="E44" s="86"/>
      <c r="F44" s="86"/>
      <c r="G44" s="86"/>
      <c r="H44" s="86"/>
      <c r="I44" s="86"/>
      <c r="J44" s="113"/>
      <c r="K44" s="113"/>
      <c r="L44" s="113"/>
      <c r="M44" s="113"/>
      <c r="N44" s="113"/>
      <c r="O44" s="113"/>
      <c r="P44" s="3"/>
      <c r="Q44" s="3"/>
      <c r="R44" s="3"/>
      <c r="S44" s="3"/>
    </row>
    <row r="45" spans="2:19" ht="12.95" customHeight="1" x14ac:dyDescent="0.2">
      <c r="B45" s="86"/>
      <c r="C45" s="86"/>
      <c r="D45" s="86"/>
      <c r="E45" s="86"/>
      <c r="F45" s="86"/>
      <c r="G45" s="86"/>
      <c r="H45" s="86"/>
      <c r="I45" s="86"/>
      <c r="J45" s="113"/>
      <c r="K45" s="113"/>
      <c r="L45" s="113"/>
      <c r="M45" s="113"/>
      <c r="N45" s="113"/>
      <c r="O45" s="113"/>
    </row>
    <row r="46" spans="2:19" ht="12.95" customHeight="1" x14ac:dyDescent="0.2">
      <c r="B46" s="86"/>
      <c r="C46" s="86"/>
      <c r="D46" s="86"/>
      <c r="E46" s="86"/>
      <c r="F46" s="86"/>
      <c r="G46" s="86"/>
      <c r="H46" s="86"/>
      <c r="I46" s="86"/>
      <c r="J46" s="113"/>
      <c r="K46" s="113"/>
      <c r="L46" s="113"/>
      <c r="M46" s="113"/>
      <c r="N46" s="113"/>
      <c r="O46" s="113"/>
    </row>
    <row r="47" spans="2:19" ht="12.95" customHeight="1" x14ac:dyDescent="0.2">
      <c r="B47" s="86"/>
      <c r="C47" s="86"/>
      <c r="D47" s="86"/>
      <c r="E47" s="86"/>
      <c r="F47" s="86"/>
      <c r="G47" s="86"/>
      <c r="H47" s="86"/>
      <c r="I47" s="86"/>
      <c r="J47" s="113"/>
      <c r="K47" s="113"/>
      <c r="L47" s="113"/>
      <c r="M47" s="113"/>
      <c r="N47" s="113"/>
      <c r="O47" s="113"/>
    </row>
    <row r="48" spans="2:19" ht="12.95" customHeight="1" x14ac:dyDescent="0.2">
      <c r="B48" s="86"/>
      <c r="C48" s="86"/>
      <c r="D48" s="86"/>
      <c r="E48" s="86"/>
      <c r="F48" s="86"/>
      <c r="G48" s="86"/>
      <c r="H48" s="86"/>
      <c r="I48" s="86"/>
      <c r="J48" s="113"/>
      <c r="K48" s="113"/>
      <c r="L48" s="113"/>
      <c r="M48" s="113"/>
      <c r="N48" s="113"/>
      <c r="O48" s="113"/>
    </row>
    <row r="49" spans="2:15" ht="12.95" customHeight="1" x14ac:dyDescent="0.2">
      <c r="B49" s="86"/>
      <c r="C49" s="86"/>
      <c r="D49" s="86"/>
      <c r="E49" s="86"/>
      <c r="F49" s="86"/>
      <c r="G49" s="86"/>
      <c r="H49" s="86"/>
      <c r="I49" s="86"/>
      <c r="J49" s="113"/>
      <c r="K49" s="113"/>
      <c r="L49" s="113"/>
      <c r="M49" s="113"/>
      <c r="N49" s="113"/>
      <c r="O49" s="113"/>
    </row>
    <row r="50" spans="2:15" ht="12.95" customHeight="1" x14ac:dyDescent="0.2">
      <c r="B50" s="86"/>
      <c r="C50" s="86"/>
      <c r="D50" s="86"/>
      <c r="E50" s="86"/>
      <c r="F50" s="86"/>
      <c r="G50" s="86"/>
      <c r="H50" s="86"/>
      <c r="I50" s="86"/>
      <c r="J50" s="113"/>
      <c r="K50" s="113"/>
      <c r="L50" s="113"/>
      <c r="M50" s="113"/>
      <c r="N50" s="113"/>
      <c r="O50" s="113"/>
    </row>
    <row r="51" spans="2:15" ht="12.95" customHeight="1" x14ac:dyDescent="0.2">
      <c r="B51" s="86"/>
      <c r="C51" s="86"/>
      <c r="D51" s="86"/>
      <c r="E51" s="86"/>
      <c r="F51" s="86"/>
      <c r="G51" s="86"/>
      <c r="H51" s="86"/>
      <c r="I51" s="86"/>
      <c r="J51" s="113"/>
      <c r="K51" s="113"/>
      <c r="L51" s="113"/>
      <c r="M51" s="113"/>
      <c r="N51" s="113"/>
      <c r="O51" s="113"/>
    </row>
    <row r="52" spans="2:15" ht="12.95" customHeight="1" x14ac:dyDescent="0.2">
      <c r="B52" s="86"/>
      <c r="C52" s="86"/>
      <c r="D52" s="86"/>
      <c r="E52" s="86"/>
      <c r="F52" s="86"/>
      <c r="G52" s="86"/>
      <c r="H52" s="86"/>
      <c r="I52" s="86"/>
      <c r="J52" s="113"/>
      <c r="K52" s="113"/>
      <c r="L52" s="113"/>
      <c r="M52" s="113"/>
      <c r="N52" s="113"/>
      <c r="O52" s="113"/>
    </row>
    <row r="53" spans="2:15" ht="12.95" customHeight="1" x14ac:dyDescent="0.2">
      <c r="B53" s="86"/>
      <c r="C53" s="86"/>
      <c r="D53" s="86"/>
      <c r="E53" s="86"/>
      <c r="F53" s="86"/>
      <c r="G53" s="86"/>
      <c r="H53" s="86"/>
      <c r="I53" s="86"/>
      <c r="J53" s="113"/>
      <c r="K53" s="113"/>
      <c r="L53" s="113"/>
      <c r="M53" s="113"/>
      <c r="N53" s="113"/>
      <c r="O53" s="113"/>
    </row>
    <row r="54" spans="2:15" x14ac:dyDescent="0.2">
      <c r="B54" s="86"/>
      <c r="C54" s="86"/>
      <c r="D54" s="86"/>
      <c r="E54" s="86"/>
      <c r="F54" s="86"/>
      <c r="G54" s="86"/>
      <c r="H54" s="86"/>
      <c r="I54" s="86"/>
      <c r="J54" s="113"/>
      <c r="K54" s="113"/>
      <c r="L54" s="113"/>
      <c r="M54" s="113"/>
      <c r="N54" s="113"/>
      <c r="O54" s="113"/>
    </row>
    <row r="55" spans="2:15" x14ac:dyDescent="0.2">
      <c r="B55" s="86"/>
      <c r="C55" s="86"/>
      <c r="D55" s="86"/>
      <c r="E55" s="86"/>
      <c r="F55" s="86"/>
      <c r="G55" s="86"/>
      <c r="H55" s="86"/>
      <c r="I55" s="86"/>
      <c r="J55" s="113"/>
      <c r="K55" s="113"/>
      <c r="L55" s="113"/>
      <c r="M55" s="113"/>
      <c r="N55" s="113"/>
      <c r="O55" s="113"/>
    </row>
    <row r="56" spans="2:15" x14ac:dyDescent="0.2">
      <c r="B56" s="86"/>
      <c r="C56" s="86"/>
      <c r="D56" s="86"/>
      <c r="E56" s="86"/>
      <c r="F56" s="86"/>
      <c r="G56" s="86"/>
      <c r="H56" s="86"/>
      <c r="I56" s="86"/>
      <c r="J56" s="113"/>
      <c r="K56" s="113"/>
      <c r="L56" s="113"/>
      <c r="M56" s="113"/>
      <c r="N56" s="113"/>
      <c r="O56" s="113"/>
    </row>
    <row r="57" spans="2:15" x14ac:dyDescent="0.2">
      <c r="B57" s="86"/>
      <c r="C57" s="86"/>
      <c r="D57" s="86"/>
      <c r="E57" s="86"/>
      <c r="F57" s="86"/>
      <c r="G57" s="86"/>
      <c r="H57" s="86"/>
      <c r="I57" s="86"/>
      <c r="J57" s="113"/>
      <c r="K57" s="113"/>
      <c r="L57" s="113"/>
      <c r="M57" s="113"/>
      <c r="N57" s="113"/>
      <c r="O57" s="113"/>
    </row>
    <row r="58" spans="2:15" x14ac:dyDescent="0.2">
      <c r="B58" s="86"/>
      <c r="C58" s="86"/>
      <c r="D58" s="86"/>
      <c r="E58" s="86"/>
      <c r="F58" s="86"/>
      <c r="G58" s="86"/>
      <c r="H58" s="86"/>
      <c r="I58" s="86"/>
      <c r="J58" s="113"/>
      <c r="K58" s="113"/>
      <c r="L58" s="113"/>
      <c r="M58" s="113"/>
      <c r="N58" s="113"/>
      <c r="O58" s="113"/>
    </row>
    <row r="59" spans="2:15" x14ac:dyDescent="0.2">
      <c r="B59" s="86"/>
      <c r="C59" s="86"/>
      <c r="D59" s="86"/>
      <c r="E59" s="86"/>
      <c r="F59" s="86"/>
      <c r="G59" s="86"/>
      <c r="H59" s="86"/>
      <c r="I59" s="86"/>
      <c r="J59" s="113"/>
      <c r="K59" s="113"/>
      <c r="L59" s="113"/>
      <c r="M59" s="113"/>
      <c r="N59" s="113"/>
      <c r="O59" s="113"/>
    </row>
    <row r="60" spans="2:15" x14ac:dyDescent="0.2">
      <c r="B60" s="86"/>
      <c r="C60" s="86"/>
      <c r="D60" s="86"/>
      <c r="E60" s="86"/>
      <c r="F60" s="86"/>
      <c r="G60" s="86"/>
      <c r="H60" s="86"/>
      <c r="I60" s="86"/>
      <c r="J60" s="113"/>
      <c r="K60" s="113"/>
      <c r="L60" s="113"/>
      <c r="M60" s="113"/>
      <c r="N60" s="113"/>
      <c r="O60" s="113"/>
    </row>
    <row r="61" spans="2:15" x14ac:dyDescent="0.2">
      <c r="B61" s="86"/>
      <c r="C61" s="86"/>
      <c r="D61" s="86"/>
      <c r="E61" s="86"/>
      <c r="F61" s="86"/>
      <c r="G61" s="86"/>
      <c r="H61" s="86"/>
      <c r="I61" s="86"/>
      <c r="J61" s="113"/>
      <c r="K61" s="113"/>
      <c r="L61" s="113"/>
      <c r="M61" s="113"/>
      <c r="N61" s="113"/>
      <c r="O61" s="113"/>
    </row>
    <row r="62" spans="2:15" x14ac:dyDescent="0.2">
      <c r="B62" s="86"/>
      <c r="C62" s="86"/>
      <c r="D62" s="86"/>
      <c r="E62" s="86"/>
      <c r="F62" s="86"/>
      <c r="G62" s="86"/>
      <c r="H62" s="86"/>
      <c r="I62" s="86"/>
      <c r="J62" s="113"/>
      <c r="K62" s="113"/>
      <c r="L62" s="113"/>
      <c r="M62" s="113"/>
      <c r="N62" s="113"/>
      <c r="O62" s="113"/>
    </row>
    <row r="63" spans="2:15" x14ac:dyDescent="0.2">
      <c r="B63" s="86"/>
      <c r="C63" s="86"/>
      <c r="D63" s="86"/>
      <c r="E63" s="86"/>
      <c r="F63" s="86"/>
      <c r="G63" s="86"/>
      <c r="H63" s="86"/>
      <c r="I63" s="86"/>
      <c r="J63" s="113"/>
      <c r="K63" s="113"/>
      <c r="L63" s="113"/>
      <c r="M63" s="113"/>
      <c r="N63" s="113"/>
      <c r="O63" s="113"/>
    </row>
    <row r="64" spans="2:15" x14ac:dyDescent="0.2">
      <c r="B64" s="86"/>
      <c r="C64" s="86"/>
      <c r="D64" s="86"/>
      <c r="E64" s="86"/>
      <c r="F64" s="86"/>
      <c r="G64" s="86"/>
      <c r="H64" s="86"/>
      <c r="I64" s="86"/>
      <c r="J64" s="113"/>
      <c r="K64" s="113"/>
      <c r="L64" s="113"/>
      <c r="M64" s="113"/>
      <c r="N64" s="113"/>
      <c r="O64" s="113"/>
    </row>
    <row r="65" spans="2:15" x14ac:dyDescent="0.2">
      <c r="B65" s="86"/>
      <c r="C65" s="86"/>
      <c r="D65" s="86"/>
      <c r="E65" s="86"/>
      <c r="F65" s="86"/>
      <c r="G65" s="86"/>
      <c r="H65" s="86"/>
      <c r="I65" s="86"/>
      <c r="J65" s="113"/>
      <c r="K65" s="113"/>
      <c r="L65" s="113"/>
      <c r="M65" s="113"/>
      <c r="N65" s="113"/>
      <c r="O65" s="113"/>
    </row>
    <row r="66" spans="2:15" x14ac:dyDescent="0.2">
      <c r="B66" s="86"/>
      <c r="C66" s="86"/>
      <c r="D66" s="86"/>
      <c r="E66" s="86"/>
      <c r="F66" s="86"/>
      <c r="G66" s="86"/>
      <c r="H66" s="86"/>
      <c r="I66" s="86"/>
      <c r="J66" s="113"/>
      <c r="K66" s="113"/>
      <c r="L66" s="113"/>
      <c r="M66" s="113"/>
      <c r="N66" s="113"/>
      <c r="O66" s="113"/>
    </row>
    <row r="67" spans="2:15" x14ac:dyDescent="0.2">
      <c r="B67" s="86"/>
      <c r="C67" s="86"/>
      <c r="D67" s="86"/>
      <c r="E67" s="86"/>
      <c r="F67" s="86"/>
      <c r="G67" s="86"/>
      <c r="H67" s="86"/>
      <c r="I67" s="86"/>
      <c r="J67" s="113"/>
      <c r="K67" s="113"/>
      <c r="L67" s="113"/>
      <c r="M67" s="113"/>
      <c r="N67" s="113"/>
      <c r="O67" s="113"/>
    </row>
    <row r="68" spans="2:15" x14ac:dyDescent="0.2">
      <c r="B68" s="86"/>
      <c r="C68" s="86"/>
      <c r="D68" s="86"/>
      <c r="E68" s="86"/>
      <c r="F68" s="86"/>
      <c r="G68" s="86"/>
      <c r="H68" s="86"/>
      <c r="I68" s="86"/>
      <c r="J68" s="113"/>
      <c r="K68" s="113"/>
      <c r="L68" s="113"/>
      <c r="M68" s="113"/>
      <c r="N68" s="113"/>
      <c r="O68" s="113"/>
    </row>
    <row r="69" spans="2:15" x14ac:dyDescent="0.2">
      <c r="B69" s="86"/>
      <c r="C69" s="86"/>
      <c r="D69" s="86"/>
      <c r="E69" s="86"/>
      <c r="F69" s="86"/>
      <c r="G69" s="86"/>
      <c r="H69" s="86"/>
      <c r="I69" s="86"/>
      <c r="J69" s="113"/>
      <c r="K69" s="113"/>
      <c r="L69" s="113"/>
      <c r="M69" s="113"/>
      <c r="N69" s="113"/>
      <c r="O69" s="113"/>
    </row>
    <row r="70" spans="2:15" x14ac:dyDescent="0.2">
      <c r="B70" s="86"/>
      <c r="C70" s="86"/>
      <c r="D70" s="86"/>
      <c r="E70" s="86"/>
      <c r="F70" s="86"/>
      <c r="G70" s="86"/>
      <c r="H70" s="86"/>
      <c r="I70" s="86"/>
      <c r="J70" s="113"/>
      <c r="K70" s="113"/>
      <c r="L70" s="113"/>
      <c r="M70" s="113"/>
      <c r="N70" s="113"/>
      <c r="O70" s="113"/>
    </row>
    <row r="71" spans="2:15" x14ac:dyDescent="0.2">
      <c r="B71" s="86"/>
      <c r="C71" s="86"/>
      <c r="D71" s="86"/>
      <c r="E71" s="86"/>
      <c r="F71" s="86"/>
      <c r="G71" s="86"/>
      <c r="H71" s="86"/>
      <c r="I71" s="86"/>
      <c r="J71" s="113"/>
      <c r="K71" s="113"/>
      <c r="L71" s="113"/>
      <c r="M71" s="113"/>
      <c r="N71" s="113"/>
      <c r="O71" s="113"/>
    </row>
    <row r="72" spans="2:15" x14ac:dyDescent="0.2">
      <c r="I72" s="86"/>
    </row>
  </sheetData>
  <mergeCells count="17">
    <mergeCell ref="G7:G9"/>
    <mergeCell ref="E7:E9"/>
    <mergeCell ref="J8:J9"/>
    <mergeCell ref="H7:K7"/>
    <mergeCell ref="K8:K9"/>
    <mergeCell ref="A3:O3"/>
    <mergeCell ref="A5:O5"/>
    <mergeCell ref="A4:O4"/>
    <mergeCell ref="O7:O9"/>
    <mergeCell ref="L7:L9"/>
    <mergeCell ref="N7:N9"/>
    <mergeCell ref="H8:I8"/>
    <mergeCell ref="A7:A9"/>
    <mergeCell ref="B7:B9"/>
    <mergeCell ref="C7:C9"/>
    <mergeCell ref="D7:D9"/>
    <mergeCell ref="M7:M9"/>
  </mergeCells>
  <pageMargins left="0.41" right="0.17" top="0.31" bottom="1" header="0.19" footer="0.5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40"/>
  <sheetViews>
    <sheetView zoomScale="80" zoomScaleNormal="80" zoomScaleSheetLayoutView="84" workbookViewId="0">
      <selection activeCell="N12" sqref="N12"/>
    </sheetView>
  </sheetViews>
  <sheetFormatPr defaultRowHeight="12.75" x14ac:dyDescent="0.2"/>
  <cols>
    <col min="1" max="1" width="14.42578125" style="820" customWidth="1"/>
    <col min="2" max="2" width="12.140625" style="820" customWidth="1"/>
    <col min="3" max="3" width="9.42578125" style="820" customWidth="1"/>
    <col min="4" max="4" width="9.28515625" style="820" customWidth="1"/>
    <col min="5" max="5" width="8.5703125" style="820" customWidth="1"/>
    <col min="6" max="6" width="8.140625" style="820" customWidth="1"/>
    <col min="7" max="7" width="9.5703125" style="820" customWidth="1"/>
    <col min="8" max="8" width="14.140625" style="820" customWidth="1"/>
    <col min="9" max="9" width="8" style="820" customWidth="1"/>
    <col min="10" max="10" width="9.140625" style="820" hidden="1" customWidth="1"/>
    <col min="11" max="11" width="9.140625" style="820" customWidth="1"/>
    <col min="12" max="12" width="12.5703125" style="820" customWidth="1"/>
    <col min="13" max="13" width="9.28515625" style="820" bestFit="1" customWidth="1"/>
    <col min="14" max="14" width="10" style="820" customWidth="1"/>
    <col min="15" max="15" width="12.28515625" style="866" customWidth="1"/>
    <col min="16" max="16" width="11" style="820" customWidth="1"/>
    <col min="17" max="17" width="11.85546875" style="820" customWidth="1"/>
    <col min="18" max="18" width="8" style="819" customWidth="1"/>
    <col min="19" max="19" width="8.42578125" style="820" customWidth="1"/>
    <col min="20" max="20" width="10.140625" style="820" customWidth="1"/>
    <col min="21" max="16384" width="9.140625" style="820"/>
  </cols>
  <sheetData>
    <row r="1" spans="1:22" x14ac:dyDescent="0.2">
      <c r="A1" s="817"/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8"/>
      <c r="P1" s="817"/>
      <c r="Q1" s="817"/>
    </row>
    <row r="2" spans="1:22" x14ac:dyDescent="0.2">
      <c r="A2" s="818" t="s">
        <v>1141</v>
      </c>
      <c r="B2" s="817"/>
      <c r="C2" s="817"/>
      <c r="D2" s="817"/>
      <c r="E2" s="817"/>
      <c r="G2" s="817"/>
      <c r="H2" s="817"/>
      <c r="I2" s="817"/>
      <c r="J2" s="817"/>
      <c r="K2" s="817"/>
      <c r="L2" s="817"/>
      <c r="M2" s="817"/>
      <c r="N2" s="817"/>
      <c r="O2" s="818"/>
      <c r="P2" s="817"/>
      <c r="Q2" s="817"/>
    </row>
    <row r="3" spans="1:22" ht="13.5" thickBot="1" x14ac:dyDescent="0.25">
      <c r="A3" s="818"/>
      <c r="B3" s="817"/>
      <c r="C3" s="817"/>
      <c r="D3" s="817"/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8"/>
      <c r="Q3" s="821" t="s">
        <v>437</v>
      </c>
    </row>
    <row r="4" spans="1:22" ht="13.5" thickBot="1" x14ac:dyDescent="0.25">
      <c r="A4" s="1082" t="s">
        <v>1142</v>
      </c>
      <c r="B4" s="1094" t="s">
        <v>1143</v>
      </c>
      <c r="C4" s="1081" t="s">
        <v>1144</v>
      </c>
      <c r="D4" s="1081"/>
      <c r="E4" s="1081"/>
      <c r="F4" s="1081"/>
      <c r="G4" s="1081"/>
      <c r="H4" s="1082" t="s">
        <v>1142</v>
      </c>
      <c r="I4" s="1084" t="s">
        <v>45</v>
      </c>
      <c r="J4" s="1085"/>
      <c r="K4" s="1085"/>
      <c r="L4" s="1085"/>
      <c r="M4" s="1085"/>
      <c r="N4" s="1085"/>
      <c r="O4" s="1086"/>
      <c r="P4" s="1087" t="s">
        <v>438</v>
      </c>
      <c r="Q4" s="1089" t="s">
        <v>1145</v>
      </c>
      <c r="S4" s="1091" t="s">
        <v>1146</v>
      </c>
    </row>
    <row r="5" spans="1:22" s="826" customFormat="1" ht="48.75" thickBot="1" x14ac:dyDescent="0.25">
      <c r="A5" s="1093"/>
      <c r="B5" s="1095"/>
      <c r="C5" s="822" t="s">
        <v>1147</v>
      </c>
      <c r="D5" s="823" t="s">
        <v>1148</v>
      </c>
      <c r="E5" s="823" t="s">
        <v>1149</v>
      </c>
      <c r="F5" s="824" t="s">
        <v>1150</v>
      </c>
      <c r="G5" s="825" t="s">
        <v>1151</v>
      </c>
      <c r="H5" s="1083"/>
      <c r="I5" s="822" t="s">
        <v>1152</v>
      </c>
      <c r="K5" s="823" t="s">
        <v>1153</v>
      </c>
      <c r="L5" s="823" t="s">
        <v>1154</v>
      </c>
      <c r="M5" s="823" t="s">
        <v>1155</v>
      </c>
      <c r="N5" s="824" t="s">
        <v>1156</v>
      </c>
      <c r="O5" s="825" t="s">
        <v>1157</v>
      </c>
      <c r="P5" s="1088"/>
      <c r="Q5" s="1090"/>
      <c r="R5" s="827" t="s">
        <v>1158</v>
      </c>
      <c r="S5" s="1092"/>
    </row>
    <row r="6" spans="1:22" x14ac:dyDescent="0.2">
      <c r="A6" s="897" t="s">
        <v>1159</v>
      </c>
      <c r="B6" s="898">
        <f>'[3]TKT műk.'!B39</f>
        <v>2344</v>
      </c>
      <c r="C6" s="899">
        <f>'[3]Társulási hozzájár.'!F9</f>
        <v>1172</v>
      </c>
      <c r="D6" s="900">
        <f>'[3]TKT műk.'!E39</f>
        <v>125.08408796895213</v>
      </c>
      <c r="E6" s="901">
        <f>[3]Ügyelet!E26</f>
        <v>15200.315972449162</v>
      </c>
      <c r="F6" s="902">
        <f>[3]Labor!H27</f>
        <v>4932</v>
      </c>
      <c r="G6" s="903">
        <f t="shared" ref="G6:G18" si="0">SUM(C6:F6)</f>
        <v>21429.400060418113</v>
      </c>
      <c r="H6" s="904" t="s">
        <v>1159</v>
      </c>
      <c r="I6" s="905">
        <f>'[3]Püg.,TV, étkeztetés '!E20</f>
        <v>3510</v>
      </c>
      <c r="J6" s="895"/>
      <c r="K6" s="900">
        <f>[3]Jelzőrendszer!E18</f>
        <v>109.48</v>
      </c>
      <c r="L6" s="900">
        <f>SUM('[3]Családsegítés, gyerm.jólét'!V41)</f>
        <v>395.67390583333349</v>
      </c>
      <c r="M6" s="901">
        <f>[3]Óvoda!H22+[3]Óvoda!C34</f>
        <v>0</v>
      </c>
      <c r="N6" s="906">
        <f>'[3]Püg.,TV, étkeztetés '!D20</f>
        <v>730</v>
      </c>
      <c r="O6" s="903">
        <f>I6+K6+L6+M6+N6</f>
        <v>4745.1539058333337</v>
      </c>
      <c r="P6" s="903">
        <f>G6+O6-1</f>
        <v>26173.553966251446</v>
      </c>
      <c r="Q6" s="907">
        <v>28273</v>
      </c>
      <c r="R6" s="838">
        <f>P6-Q6</f>
        <v>-2099.4460337485543</v>
      </c>
      <c r="S6" s="839">
        <v>0</v>
      </c>
      <c r="V6" s="840"/>
    </row>
    <row r="7" spans="1:22" x14ac:dyDescent="0.2">
      <c r="A7" s="841" t="s">
        <v>1160</v>
      </c>
      <c r="B7" s="829">
        <f>'[3]TKT műk.'!B40</f>
        <v>549</v>
      </c>
      <c r="C7" s="830">
        <f>'[3]Társulási hozzájár.'!F10</f>
        <v>275</v>
      </c>
      <c r="D7" s="831">
        <f>'[3]TKT műk.'!E40</f>
        <v>29.296571798188875</v>
      </c>
      <c r="E7" s="832">
        <f>[3]Ügyelet!E27</f>
        <v>2909.5689608434536</v>
      </c>
      <c r="F7" s="833">
        <f>[3]Labor!H28</f>
        <v>1155</v>
      </c>
      <c r="G7" s="834">
        <f t="shared" si="0"/>
        <v>4368.8655326416429</v>
      </c>
      <c r="H7" s="842" t="s">
        <v>1160</v>
      </c>
      <c r="I7" s="835">
        <f>'[3]Püg.,TV, étkeztetés '!E21</f>
        <v>165</v>
      </c>
      <c r="K7" s="831">
        <f>[3]Jelzőrendszer!E19</f>
        <v>78.2</v>
      </c>
      <c r="L7" s="831">
        <f>SUM('[3]Családsegítés, gyerm.jólét'!V54)</f>
        <v>143.80529583333333</v>
      </c>
      <c r="M7" s="843">
        <v>0</v>
      </c>
      <c r="N7" s="836">
        <f>'[3]Püg.,TV, étkeztetés '!D21</f>
        <v>0</v>
      </c>
      <c r="O7" s="834">
        <f t="shared" ref="O7:O18" si="1">I7+K7+L7+M7+N7</f>
        <v>387.00529583333332</v>
      </c>
      <c r="P7" s="837">
        <f t="shared" ref="P7:P19" si="2">G7+O7</f>
        <v>4755.8708284749764</v>
      </c>
      <c r="Q7" s="844">
        <v>4022</v>
      </c>
      <c r="R7" s="838">
        <f t="shared" ref="R7:R20" si="3">P7-Q7</f>
        <v>733.87082847497641</v>
      </c>
      <c r="S7" s="845">
        <v>0</v>
      </c>
      <c r="V7" s="840"/>
    </row>
    <row r="8" spans="1:22" x14ac:dyDescent="0.2">
      <c r="A8" s="841" t="s">
        <v>1161</v>
      </c>
      <c r="B8" s="829">
        <f>'[3]TKT műk.'!B41</f>
        <v>2254</v>
      </c>
      <c r="C8" s="830">
        <f>'[3]Társulási hozzájár.'!F11</f>
        <v>1127</v>
      </c>
      <c r="D8" s="831">
        <f>'[3]TKT műk.'!E41</f>
        <v>120.28137128072446</v>
      </c>
      <c r="E8" s="832">
        <f>[3]Ügyelet!E28</f>
        <v>11904.41915200997</v>
      </c>
      <c r="F8" s="833">
        <f>[3]Labor!H29</f>
        <v>4742</v>
      </c>
      <c r="G8" s="834">
        <f>SUM(C8:F8)-1</f>
        <v>17892.700523290696</v>
      </c>
      <c r="H8" s="842" t="s">
        <v>1161</v>
      </c>
      <c r="I8" s="835">
        <f>'[3]Püg.,TV, étkeztetés '!E22</f>
        <v>0</v>
      </c>
      <c r="K8" s="831">
        <f>[3]Jelzőrendszer!E20</f>
        <v>547.4</v>
      </c>
      <c r="L8" s="831">
        <f>SUM('[3]Családsegítés, gyerm.jólét'!V49)</f>
        <v>1196.8236115434283</v>
      </c>
      <c r="M8" s="843">
        <v>0</v>
      </c>
      <c r="N8" s="836">
        <f>'[3]Püg.,TV, étkeztetés '!D22</f>
        <v>0</v>
      </c>
      <c r="O8" s="834">
        <f t="shared" si="1"/>
        <v>1744.2236115434284</v>
      </c>
      <c r="P8" s="837">
        <f t="shared" si="2"/>
        <v>19636.924134834124</v>
      </c>
      <c r="Q8" s="844">
        <v>15212</v>
      </c>
      <c r="R8" s="838">
        <f t="shared" si="3"/>
        <v>4424.9241348341238</v>
      </c>
      <c r="S8" s="845">
        <v>0</v>
      </c>
      <c r="V8" s="840"/>
    </row>
    <row r="9" spans="1:22" x14ac:dyDescent="0.2">
      <c r="A9" s="841" t="s">
        <v>1162</v>
      </c>
      <c r="B9" s="829">
        <f>'[3]TKT műk.'!B42</f>
        <v>1826</v>
      </c>
      <c r="C9" s="830">
        <f>'[3]Társulási hozzájár.'!F12</f>
        <v>913</v>
      </c>
      <c r="D9" s="831">
        <f>'[3]TKT műk.'!E42</f>
        <v>98.441785252263898</v>
      </c>
      <c r="E9" s="832">
        <f>[3]Ügyelet!E29</f>
        <v>9990.2631919183241</v>
      </c>
      <c r="F9" s="833">
        <f>[3]Labor!H30</f>
        <v>3842</v>
      </c>
      <c r="G9" s="834">
        <f>SUM(C9:F9)-1</f>
        <v>14842.704977170588</v>
      </c>
      <c r="H9" s="842" t="s">
        <v>1162</v>
      </c>
      <c r="I9" s="835">
        <f>'[3]Püg.,TV, étkeztetés '!E23</f>
        <v>0</v>
      </c>
      <c r="K9" s="831">
        <f>[3]Jelzőrendszer!E21</f>
        <v>93.84</v>
      </c>
      <c r="L9" s="831">
        <f>SUM('[3]Családsegítés, gyerm.jólét'!V53)</f>
        <v>462.37694666666653</v>
      </c>
      <c r="M9" s="843">
        <v>0</v>
      </c>
      <c r="N9" s="836">
        <f>'[3]Püg.,TV, étkeztetés '!D23</f>
        <v>0</v>
      </c>
      <c r="O9" s="834">
        <f t="shared" si="1"/>
        <v>556.21694666666656</v>
      </c>
      <c r="P9" s="837">
        <f>G9+O9</f>
        <v>15398.921923837255</v>
      </c>
      <c r="Q9" s="844">
        <v>11268</v>
      </c>
      <c r="R9" s="838">
        <f t="shared" si="3"/>
        <v>4130.9219238372552</v>
      </c>
      <c r="S9" s="845">
        <v>2690</v>
      </c>
      <c r="V9" s="840"/>
    </row>
    <row r="10" spans="1:22" x14ac:dyDescent="0.2">
      <c r="A10" s="841" t="s">
        <v>1163</v>
      </c>
      <c r="B10" s="829">
        <f>'[3]TKT műk.'!B43</f>
        <v>608</v>
      </c>
      <c r="C10" s="830">
        <f>'[3]Társulási hozzájár.'!F13</f>
        <v>304</v>
      </c>
      <c r="D10" s="831">
        <f>'[3]TKT műk.'!E43</f>
        <v>33.445019404915911</v>
      </c>
      <c r="E10" s="832">
        <f>[3]Ügyelet!E30</f>
        <v>804.69041095890418</v>
      </c>
      <c r="F10" s="833">
        <f>[3]Labor!H31</f>
        <v>853</v>
      </c>
      <c r="G10" s="834">
        <f t="shared" si="0"/>
        <v>1995.13543036382</v>
      </c>
      <c r="H10" s="842" t="s">
        <v>1163</v>
      </c>
      <c r="I10" s="835">
        <f>'[3]Püg.,TV, étkeztetés '!E24</f>
        <v>165</v>
      </c>
      <c r="K10" s="831">
        <f>[3]Jelzőrendszer!E22</f>
        <v>15.64</v>
      </c>
      <c r="L10" s="831">
        <f>SUM('[3]Családsegítés, gyerm.jólét'!V42)</f>
        <v>253.42884916666665</v>
      </c>
      <c r="M10" s="843">
        <f>[3]Óvoda!H18+[3]Óvoda!E34</f>
        <v>0</v>
      </c>
      <c r="N10" s="836">
        <f>'[3]Püg.,TV, étkeztetés '!D24</f>
        <v>1570</v>
      </c>
      <c r="O10" s="834">
        <f t="shared" si="1"/>
        <v>2004.0688491666665</v>
      </c>
      <c r="P10" s="837">
        <f t="shared" si="2"/>
        <v>3999.2042795304865</v>
      </c>
      <c r="Q10" s="844">
        <v>5718</v>
      </c>
      <c r="R10" s="838">
        <f t="shared" si="3"/>
        <v>-1718.7957204695135</v>
      </c>
      <c r="S10" s="845">
        <v>0</v>
      </c>
      <c r="V10" s="840"/>
    </row>
    <row r="11" spans="1:22" x14ac:dyDescent="0.2">
      <c r="A11" s="841" t="s">
        <v>1164</v>
      </c>
      <c r="B11" s="829">
        <f>'[3]TKT műk.'!B44</f>
        <v>543</v>
      </c>
      <c r="C11" s="830">
        <f>'[3]Társulási hozzájár.'!F14</f>
        <v>272</v>
      </c>
      <c r="D11" s="831">
        <f>'[3]TKT műk.'!E44</f>
        <v>28.976390685640364</v>
      </c>
      <c r="E11" s="832">
        <f>[3]Ügyelet!E31</f>
        <v>610.45479452054792</v>
      </c>
      <c r="F11" s="833">
        <f>[3]Labor!H32</f>
        <v>762</v>
      </c>
      <c r="G11" s="834">
        <f t="shared" si="0"/>
        <v>1673.4311852061883</v>
      </c>
      <c r="H11" s="842" t="s">
        <v>1164</v>
      </c>
      <c r="I11" s="835">
        <f>'[3]Püg.,TV, étkeztetés '!E25</f>
        <v>165</v>
      </c>
      <c r="K11" s="831">
        <f>[3]Jelzőrendszer!E23</f>
        <v>0</v>
      </c>
      <c r="L11" s="831">
        <f>SUM('[3]Családsegítés, gyerm.jólét'!V43)</f>
        <v>342.58200958333356</v>
      </c>
      <c r="M11" s="843">
        <f>[3]Óvoda!H19</f>
        <v>0</v>
      </c>
      <c r="N11" s="836">
        <f>'[3]Püg.,TV, étkeztetés '!D25</f>
        <v>0</v>
      </c>
      <c r="O11" s="834">
        <f t="shared" si="1"/>
        <v>507.58200958333356</v>
      </c>
      <c r="P11" s="837">
        <f>G11+O11</f>
        <v>2181.013194789522</v>
      </c>
      <c r="Q11" s="844">
        <v>2837</v>
      </c>
      <c r="R11" s="838">
        <f t="shared" si="3"/>
        <v>-655.986805210478</v>
      </c>
      <c r="S11" s="845">
        <v>0</v>
      </c>
      <c r="V11" s="840"/>
    </row>
    <row r="12" spans="1:22" x14ac:dyDescent="0.2">
      <c r="A12" s="841" t="s">
        <v>1165</v>
      </c>
      <c r="B12" s="829">
        <f>'[3]TKT műk.'!B45</f>
        <v>1420</v>
      </c>
      <c r="C12" s="830">
        <f>'[3]Társulási hozzájár.'!F15</f>
        <v>710</v>
      </c>
      <c r="D12" s="831">
        <f>'[3]TKT műk.'!E45</f>
        <v>75.776196636481245</v>
      </c>
      <c r="E12" s="832">
        <f>[3]Ügyelet!E32</f>
        <v>2830.2904109589044</v>
      </c>
      <c r="F12" s="833">
        <f>[3]Labor!H33</f>
        <v>1992</v>
      </c>
      <c r="G12" s="834">
        <f t="shared" si="0"/>
        <v>5608.0666075953859</v>
      </c>
      <c r="H12" s="842" t="s">
        <v>1165</v>
      </c>
      <c r="I12" s="835">
        <f>'[3]Püg.,TV, étkeztetés '!E26</f>
        <v>0</v>
      </c>
      <c r="K12" s="831">
        <f>[3]Jelzőrendszer!E24</f>
        <v>46.92</v>
      </c>
      <c r="L12" s="831">
        <f>SUM('[3]Családsegítés, gyerm.jólét'!V56)</f>
        <v>0</v>
      </c>
      <c r="M12" s="843">
        <v>0</v>
      </c>
      <c r="N12" s="836">
        <f>'[3]Püg.,TV, étkeztetés '!D26</f>
        <v>600</v>
      </c>
      <c r="O12" s="834">
        <f t="shared" si="1"/>
        <v>646.91999999999996</v>
      </c>
      <c r="P12" s="837">
        <f t="shared" si="2"/>
        <v>6254.986607595386</v>
      </c>
      <c r="Q12" s="844">
        <v>4986</v>
      </c>
      <c r="R12" s="838">
        <f t="shared" si="3"/>
        <v>1268.986607595386</v>
      </c>
      <c r="S12" s="845">
        <v>0</v>
      </c>
      <c r="V12" s="840"/>
    </row>
    <row r="13" spans="1:22" x14ac:dyDescent="0.2">
      <c r="A13" s="841" t="s">
        <v>1166</v>
      </c>
      <c r="B13" s="829">
        <f>'[3]TKT műk.'!B46</f>
        <v>544</v>
      </c>
      <c r="C13" s="830">
        <f>'[3]Társulási hozzájár.'!F16</f>
        <v>272</v>
      </c>
      <c r="D13" s="831">
        <f>'[3]TKT műk.'!E46</f>
        <v>29.029754204398451</v>
      </c>
      <c r="E13" s="832">
        <f>[3]Ügyelet!E33</f>
        <v>471.71506849315074</v>
      </c>
      <c r="F13" s="833">
        <f>[3]Labor!H34</f>
        <v>763</v>
      </c>
      <c r="G13" s="834">
        <f t="shared" si="0"/>
        <v>1535.7448226975491</v>
      </c>
      <c r="H13" s="842" t="s">
        <v>1166</v>
      </c>
      <c r="I13" s="835">
        <f>'[3]Püg.,TV, étkeztetés '!E27</f>
        <v>165</v>
      </c>
      <c r="K13" s="831">
        <f>[3]Jelzőrendszer!E25</f>
        <v>15.64</v>
      </c>
      <c r="L13" s="831">
        <f>SUM('[3]Családsegítés, gyerm.jólét'!V50)</f>
        <v>362.30524122065719</v>
      </c>
      <c r="M13" s="843">
        <v>0</v>
      </c>
      <c r="N13" s="836">
        <f>'[3]Püg.,TV, étkeztetés '!D27</f>
        <v>0</v>
      </c>
      <c r="O13" s="834">
        <f t="shared" si="1"/>
        <v>542.94524122065718</v>
      </c>
      <c r="P13" s="837">
        <f t="shared" si="2"/>
        <v>2078.6900639182063</v>
      </c>
      <c r="Q13" s="844">
        <v>2339</v>
      </c>
      <c r="R13" s="838">
        <f t="shared" si="3"/>
        <v>-260.30993608179369</v>
      </c>
      <c r="S13" s="845">
        <v>0</v>
      </c>
      <c r="T13" s="846"/>
      <c r="V13" s="840"/>
    </row>
    <row r="14" spans="1:22" x14ac:dyDescent="0.2">
      <c r="A14" s="841" t="s">
        <v>1167</v>
      </c>
      <c r="B14" s="829">
        <f>'[3]TKT műk.'!B47</f>
        <v>378</v>
      </c>
      <c r="C14" s="830">
        <f>'[3]Társulási hozzájár.'!F17</f>
        <v>189</v>
      </c>
      <c r="D14" s="831">
        <f>'[3]TKT műk.'!E47</f>
        <v>20.171410090556275</v>
      </c>
      <c r="E14" s="832">
        <f>[3]Ügyelet!E34</f>
        <v>499.46301369863016</v>
      </c>
      <c r="F14" s="833">
        <f>[3]Labor!H35</f>
        <v>530</v>
      </c>
      <c r="G14" s="834">
        <f>SUM(C14:F14)-1</f>
        <v>1237.6344237891865</v>
      </c>
      <c r="H14" s="842" t="s">
        <v>1167</v>
      </c>
      <c r="I14" s="835">
        <f>'[3]Püg.,TV, étkeztetés '!E28</f>
        <v>165</v>
      </c>
      <c r="K14" s="831">
        <f>[3]Jelzőrendszer!E26</f>
        <v>46.92</v>
      </c>
      <c r="L14" s="831">
        <f>SUM('[3]Családsegítés, gyerm.jólét'!V51)</f>
        <v>720.61048244131439</v>
      </c>
      <c r="M14" s="843">
        <v>0</v>
      </c>
      <c r="N14" s="836">
        <f>'[3]Püg.,TV, étkeztetés '!D28</f>
        <v>0</v>
      </c>
      <c r="O14" s="834">
        <f t="shared" si="1"/>
        <v>932.53048244131446</v>
      </c>
      <c r="P14" s="837">
        <f>G14+O14+1</f>
        <v>2171.1649062305009</v>
      </c>
      <c r="Q14" s="844">
        <v>1886</v>
      </c>
      <c r="R14" s="838">
        <f t="shared" si="3"/>
        <v>285.16490623050095</v>
      </c>
      <c r="S14" s="845">
        <v>0</v>
      </c>
      <c r="T14" s="847"/>
      <c r="V14" s="840"/>
    </row>
    <row r="15" spans="1:22" x14ac:dyDescent="0.2">
      <c r="A15" s="841" t="s">
        <v>1168</v>
      </c>
      <c r="B15" s="829">
        <f>'[3]TKT műk.'!B48</f>
        <v>389</v>
      </c>
      <c r="C15" s="830">
        <f>'[3]Társulási hozzájár.'!F18</f>
        <v>194</v>
      </c>
      <c r="D15" s="831">
        <f>'[3]TKT műk.'!E48</f>
        <v>20.758408796895214</v>
      </c>
      <c r="E15" s="832">
        <f>[3]Ügyelet!E35</f>
        <v>527.21095890410959</v>
      </c>
      <c r="F15" s="833">
        <f>[3]Labor!H36</f>
        <v>546</v>
      </c>
      <c r="G15" s="834">
        <f t="shared" si="0"/>
        <v>1287.9693677010048</v>
      </c>
      <c r="H15" s="842" t="s">
        <v>1168</v>
      </c>
      <c r="I15" s="835">
        <f>'[3]Püg.,TV, étkeztetés '!E29</f>
        <v>0</v>
      </c>
      <c r="K15" s="831">
        <f>[3]Jelzőrendszer!E27</f>
        <v>15.64</v>
      </c>
      <c r="L15" s="831">
        <f>SUM('[3]Családsegítés, gyerm.jólét'!V44)</f>
        <v>189.24688458333341</v>
      </c>
      <c r="M15" s="843">
        <f>[3]Óvoda!H20</f>
        <v>0</v>
      </c>
      <c r="N15" s="836">
        <f>'[3]Püg.,TV, étkeztetés '!D29</f>
        <v>0</v>
      </c>
      <c r="O15" s="834">
        <f t="shared" si="1"/>
        <v>204.88688458333343</v>
      </c>
      <c r="P15" s="837">
        <f>G15+O15</f>
        <v>1492.8562522843381</v>
      </c>
      <c r="Q15" s="844">
        <v>1868</v>
      </c>
      <c r="R15" s="838">
        <f t="shared" si="3"/>
        <v>-375.1437477156619</v>
      </c>
      <c r="S15" s="845">
        <v>0</v>
      </c>
      <c r="T15" s="847"/>
      <c r="V15" s="840"/>
    </row>
    <row r="16" spans="1:22" x14ac:dyDescent="0.2">
      <c r="A16" s="841" t="s">
        <v>1169</v>
      </c>
      <c r="B16" s="829">
        <f>'[3]TKT műk.'!B49</f>
        <v>698</v>
      </c>
      <c r="C16" s="830">
        <f>'[3]Társulási hozzájár.'!F19</f>
        <v>349</v>
      </c>
      <c r="D16" s="831">
        <f>'[3]TKT műk.'!E49</f>
        <v>37.247736093143601</v>
      </c>
      <c r="E16" s="832">
        <f>[3]Ügyelet!E36</f>
        <v>3284.2272433270286</v>
      </c>
      <c r="F16" s="833">
        <f>[3]Labor!H37</f>
        <v>1468</v>
      </c>
      <c r="G16" s="834">
        <f t="shared" si="0"/>
        <v>5138.4749794201725</v>
      </c>
      <c r="H16" s="842" t="s">
        <v>1169</v>
      </c>
      <c r="I16" s="835">
        <f>'[3]Püg.,TV, étkeztetés '!E30</f>
        <v>165</v>
      </c>
      <c r="K16" s="831">
        <f>[3]Jelzőrendszer!E28</f>
        <v>186.68</v>
      </c>
      <c r="L16" s="831">
        <f>SUM('[3]Családsegítés, gyerm.jólét'!V45)</f>
        <v>199.33695291666675</v>
      </c>
      <c r="M16" s="843">
        <f>[3]Óvoda!H21</f>
        <v>0</v>
      </c>
      <c r="N16" s="836">
        <f>'[3]Püg.,TV, étkeztetés '!D30</f>
        <v>0</v>
      </c>
      <c r="O16" s="834">
        <f t="shared" si="1"/>
        <v>551.0169529166667</v>
      </c>
      <c r="P16" s="837">
        <f t="shared" si="2"/>
        <v>5689.4919323368395</v>
      </c>
      <c r="Q16" s="844">
        <v>5278</v>
      </c>
      <c r="R16" s="838">
        <f t="shared" si="3"/>
        <v>411.49193233683945</v>
      </c>
      <c r="S16" s="845">
        <v>0</v>
      </c>
      <c r="T16" s="847"/>
      <c r="V16" s="840"/>
    </row>
    <row r="17" spans="1:22" x14ac:dyDescent="0.2">
      <c r="A17" s="841" t="s">
        <v>1170</v>
      </c>
      <c r="B17" s="829">
        <f>'[3]TKT műk.'!B50</f>
        <v>589</v>
      </c>
      <c r="C17" s="830">
        <f>'[3]Társulási hozzájár.'!F20</f>
        <v>294</v>
      </c>
      <c r="D17" s="848">
        <f>'[3]TKT műk.'!E50</f>
        <v>31.431112548512292</v>
      </c>
      <c r="E17" s="843">
        <f>[3]Ügyelet!E37</f>
        <v>860.18630136986303</v>
      </c>
      <c r="F17" s="833">
        <f>[3]Labor!H38</f>
        <v>826</v>
      </c>
      <c r="G17" s="849">
        <f>SUM(C17:F17)-1</f>
        <v>2010.6174139183754</v>
      </c>
      <c r="H17" s="842" t="s">
        <v>1170</v>
      </c>
      <c r="I17" s="850">
        <f>'[3]Püg.,TV, étkeztetés '!E31</f>
        <v>0</v>
      </c>
      <c r="K17" s="831">
        <f>[3]Jelzőrendszer!E29</f>
        <v>15.64</v>
      </c>
      <c r="L17" s="848">
        <f>SUM('[3]Családsegítés, gyerm.jólét'!V46)</f>
        <v>363.01323958333353</v>
      </c>
      <c r="M17" s="843">
        <v>0</v>
      </c>
      <c r="N17" s="836">
        <f>'[3]Püg.,TV, étkeztetés '!D31</f>
        <v>0</v>
      </c>
      <c r="O17" s="834">
        <f t="shared" si="1"/>
        <v>378.65323958333352</v>
      </c>
      <c r="P17" s="851">
        <f>G17+O17+1</f>
        <v>2390.2706535017087</v>
      </c>
      <c r="Q17" s="844">
        <v>2246</v>
      </c>
      <c r="R17" s="838">
        <f t="shared" si="3"/>
        <v>144.27065350170869</v>
      </c>
      <c r="S17" s="845">
        <v>0</v>
      </c>
      <c r="T17" s="847"/>
      <c r="V17" s="840"/>
    </row>
    <row r="18" spans="1:22" x14ac:dyDescent="0.2">
      <c r="A18" s="841" t="s">
        <v>1171</v>
      </c>
      <c r="B18" s="829">
        <f>'[3]TKT műk.'!B51</f>
        <v>226</v>
      </c>
      <c r="C18" s="830">
        <f>'[3]Társulási hozzájár.'!F21</f>
        <v>113</v>
      </c>
      <c r="D18" s="848">
        <f>'[3]TKT műk.'!E51</f>
        <v>12.060155239327297</v>
      </c>
      <c r="E18" s="843">
        <f>[3]Ügyelet!E38</f>
        <v>749.19452054794522</v>
      </c>
      <c r="F18" s="833">
        <f>[3]Labor!H39</f>
        <v>317</v>
      </c>
      <c r="G18" s="849">
        <f t="shared" si="0"/>
        <v>1191.2546757872724</v>
      </c>
      <c r="H18" s="842" t="s">
        <v>1171</v>
      </c>
      <c r="I18" s="850">
        <f>'[3]Püg.,TV, étkeztetés '!E32</f>
        <v>0</v>
      </c>
      <c r="K18" s="831">
        <f>[3]Jelzőrendszer!E30</f>
        <v>0</v>
      </c>
      <c r="L18" s="848">
        <f>SUM('[3]Családsegítés, gyerm.jólét'!V47)</f>
        <v>925.84468062793417</v>
      </c>
      <c r="M18" s="843">
        <v>0</v>
      </c>
      <c r="N18" s="836">
        <f>'[3]Püg.,TV, étkeztetés '!D32</f>
        <v>0</v>
      </c>
      <c r="O18" s="834">
        <f t="shared" si="1"/>
        <v>925.84468062793417</v>
      </c>
      <c r="P18" s="851">
        <f>G18+O18</f>
        <v>2117.0993564152068</v>
      </c>
      <c r="Q18" s="844">
        <v>1662</v>
      </c>
      <c r="R18" s="838">
        <f t="shared" si="3"/>
        <v>455.09935641520678</v>
      </c>
      <c r="S18" s="845">
        <v>0</v>
      </c>
      <c r="T18" s="846"/>
      <c r="V18" s="840"/>
    </row>
    <row r="19" spans="1:22" hidden="1" x14ac:dyDescent="0.2">
      <c r="A19" s="852" t="s">
        <v>1172</v>
      </c>
      <c r="B19" s="853"/>
      <c r="C19" s="830"/>
      <c r="D19" s="848"/>
      <c r="E19" s="843"/>
      <c r="F19" s="854"/>
      <c r="G19" s="849"/>
      <c r="H19" s="855" t="s">
        <v>1172</v>
      </c>
      <c r="I19" s="850"/>
      <c r="K19" s="831">
        <f>[3]Jelzőrendszer!E31</f>
        <v>1173</v>
      </c>
      <c r="L19" s="848">
        <f>SUM('[3]Családsegítés, gyerm.jólét'!V57)</f>
        <v>0</v>
      </c>
      <c r="M19" s="843"/>
      <c r="N19" s="836">
        <f>'[3]Püg.,TV, étkeztetés '!D33+'[3]Püg.,TV, étkeztetés '!J33</f>
        <v>2900</v>
      </c>
      <c r="O19" s="849" t="e">
        <f>I19+#REF!+L19+M19+N19</f>
        <v>#REF!</v>
      </c>
      <c r="P19" s="851" t="e">
        <f t="shared" si="2"/>
        <v>#REF!</v>
      </c>
      <c r="Q19" s="844" t="e">
        <v>#REF!</v>
      </c>
      <c r="R19" s="838" t="e">
        <f t="shared" si="3"/>
        <v>#REF!</v>
      </c>
      <c r="S19" s="845"/>
    </row>
    <row r="20" spans="1:22" ht="13.5" thickBot="1" x14ac:dyDescent="0.25">
      <c r="A20" s="856" t="s">
        <v>47</v>
      </c>
      <c r="B20" s="857">
        <f>SUM(B6:B19)</f>
        <v>12368</v>
      </c>
      <c r="C20" s="858">
        <f>SUM(C6:C18)</f>
        <v>6184</v>
      </c>
      <c r="D20" s="858">
        <f>SUM(D6:D18)-2</f>
        <v>659.99999999999989</v>
      </c>
      <c r="E20" s="859">
        <f>SUM(E6:E18)-2</f>
        <v>50639.999999999978</v>
      </c>
      <c r="F20" s="860">
        <f>SUM(F6:F18)</f>
        <v>22728</v>
      </c>
      <c r="G20" s="857">
        <f>SUM(G6:G18)</f>
        <v>80212.000000000015</v>
      </c>
      <c r="H20" s="861" t="s">
        <v>47</v>
      </c>
      <c r="I20" s="858">
        <f>SUM(I6:I18)</f>
        <v>4500</v>
      </c>
      <c r="J20" s="858">
        <f>SUM(J6:J18)</f>
        <v>0</v>
      </c>
      <c r="K20" s="858">
        <f>SUM(K6:K18)+1</f>
        <v>1173</v>
      </c>
      <c r="L20" s="859">
        <f>SUM(L6:L19)</f>
        <v>5555.0481000000018</v>
      </c>
      <c r="M20" s="859">
        <f>SUM(M6:M18)</f>
        <v>0</v>
      </c>
      <c r="N20" s="862">
        <f>SUM(N6:N18)</f>
        <v>2900</v>
      </c>
      <c r="O20" s="857">
        <f>SUM(I20:N20)</f>
        <v>14128.048100000002</v>
      </c>
      <c r="P20" s="857">
        <f>SUM(P6:P18)</f>
        <v>94340.048100000015</v>
      </c>
      <c r="Q20" s="863">
        <f>SUM(Q6:Q18)</f>
        <v>87595</v>
      </c>
      <c r="R20" s="838">
        <f t="shared" si="3"/>
        <v>6745.0481000000145</v>
      </c>
      <c r="S20" s="864">
        <f>SUM(S6:S18)</f>
        <v>2690</v>
      </c>
      <c r="V20" s="865"/>
    </row>
    <row r="21" spans="1:22" x14ac:dyDescent="0.2">
      <c r="A21" s="866"/>
      <c r="B21" s="866"/>
      <c r="C21" s="866"/>
      <c r="D21" s="867">
        <f>SUM(C20+D20)</f>
        <v>6844</v>
      </c>
      <c r="E21" s="868"/>
      <c r="F21" s="868"/>
      <c r="G21" s="868"/>
      <c r="H21" s="866"/>
      <c r="I21" s="866"/>
      <c r="J21" s="866"/>
      <c r="K21" s="866"/>
      <c r="L21" s="866"/>
      <c r="M21" s="868"/>
      <c r="N21" s="868"/>
      <c r="O21" s="868"/>
      <c r="P21" s="868"/>
      <c r="Q21" s="869"/>
      <c r="R21" s="838"/>
    </row>
    <row r="22" spans="1:22" ht="13.5" thickBot="1" x14ac:dyDescent="0.25">
      <c r="J22" s="866"/>
      <c r="K22" s="866"/>
    </row>
    <row r="23" spans="1:22" ht="20.25" customHeight="1" thickBot="1" x14ac:dyDescent="0.25">
      <c r="A23" s="1082" t="s">
        <v>1142</v>
      </c>
      <c r="B23" s="1096" t="s">
        <v>1173</v>
      </c>
      <c r="C23" s="1098" t="s">
        <v>1174</v>
      </c>
      <c r="E23" s="870"/>
      <c r="H23" s="1075" t="s">
        <v>1142</v>
      </c>
      <c r="I23" s="1077" t="s">
        <v>1175</v>
      </c>
      <c r="J23" s="1078"/>
      <c r="K23" s="1078"/>
      <c r="L23" s="1078"/>
      <c r="M23" s="1078"/>
      <c r="N23" s="1078"/>
      <c r="O23" s="1078"/>
      <c r="P23" s="1079"/>
    </row>
    <row r="24" spans="1:22" ht="57" customHeight="1" thickBot="1" x14ac:dyDescent="0.25">
      <c r="A24" s="1093"/>
      <c r="B24" s="1097"/>
      <c r="C24" s="1099"/>
      <c r="H24" s="1076"/>
      <c r="I24" s="871" t="s">
        <v>1176</v>
      </c>
      <c r="J24" s="872" t="s">
        <v>1148</v>
      </c>
      <c r="K24" s="872" t="s">
        <v>1177</v>
      </c>
      <c r="L24" s="873" t="s">
        <v>1178</v>
      </c>
      <c r="M24" s="871" t="s">
        <v>1179</v>
      </c>
      <c r="N24" s="872" t="s">
        <v>1180</v>
      </c>
      <c r="O24" s="873" t="s">
        <v>1181</v>
      </c>
      <c r="P24" s="873" t="s">
        <v>1182</v>
      </c>
      <c r="R24" s="1080" t="s">
        <v>1183</v>
      </c>
      <c r="S24" s="1080"/>
    </row>
    <row r="25" spans="1:22" x14ac:dyDescent="0.2">
      <c r="A25" s="828" t="s">
        <v>1159</v>
      </c>
      <c r="B25" s="874">
        <f>'[3]Házi segítségnyújtás'!E37</f>
        <v>0</v>
      </c>
      <c r="C25" s="875">
        <v>3592.0256410256402</v>
      </c>
      <c r="H25" s="876" t="s">
        <v>1159</v>
      </c>
      <c r="I25" s="877">
        <v>6348</v>
      </c>
      <c r="J25" s="831">
        <f>'[4]TKT műk.'!K58</f>
        <v>0</v>
      </c>
      <c r="K25" s="832">
        <v>8959</v>
      </c>
      <c r="L25" s="878">
        <f>SUM(E6-K25)</f>
        <v>6241.3159724491616</v>
      </c>
      <c r="M25" s="877">
        <v>4459</v>
      </c>
      <c r="N25" s="832">
        <v>4617</v>
      </c>
      <c r="O25" s="879">
        <f>SUM(F6-N25)</f>
        <v>315</v>
      </c>
      <c r="P25" s="880">
        <f>SUM(L25+O25)</f>
        <v>6556.3159724491616</v>
      </c>
      <c r="R25" s="819">
        <f>SUM(R6-P25)</f>
        <v>-8655.7620061977159</v>
      </c>
    </row>
    <row r="26" spans="1:22" x14ac:dyDescent="0.2">
      <c r="A26" s="841" t="s">
        <v>1160</v>
      </c>
      <c r="B26" s="874">
        <f>'[3]Házi segítségnyújtás'!E38</f>
        <v>0</v>
      </c>
      <c r="C26" s="875">
        <v>861.84615384615404</v>
      </c>
      <c r="H26" s="855" t="s">
        <v>1160</v>
      </c>
      <c r="I26" s="881">
        <v>1591</v>
      </c>
      <c r="J26" s="831">
        <f>'[4]TKT műk.'!K59</f>
        <v>0</v>
      </c>
      <c r="K26" s="832">
        <v>2246</v>
      </c>
      <c r="L26" s="882">
        <f t="shared" ref="L26:L37" si="4">SUM(E7-K26)</f>
        <v>663.56896084345362</v>
      </c>
      <c r="M26" s="877">
        <v>1087</v>
      </c>
      <c r="N26" s="832">
        <v>1125</v>
      </c>
      <c r="O26" s="883">
        <f t="shared" ref="O26:O37" si="5">SUM(F7-N26)</f>
        <v>30</v>
      </c>
      <c r="P26" s="884">
        <f t="shared" ref="P26:P38" si="6">SUM(L26+O26)</f>
        <v>693.56896084345362</v>
      </c>
      <c r="R26" s="819">
        <f t="shared" ref="R26:R37" si="7">SUM(R7-P26)</f>
        <v>40.301867631522782</v>
      </c>
    </row>
    <row r="27" spans="1:22" x14ac:dyDescent="0.2">
      <c r="A27" s="841" t="s">
        <v>1161</v>
      </c>
      <c r="B27" s="874">
        <f>'[3]Házi segítségnyújtás'!E39</f>
        <v>0</v>
      </c>
      <c r="C27" s="875">
        <v>0</v>
      </c>
      <c r="H27" s="855" t="s">
        <v>1161</v>
      </c>
      <c r="I27" s="881">
        <v>5956</v>
      </c>
      <c r="J27" s="831">
        <f>'[4]TKT műk.'!K60</f>
        <v>0</v>
      </c>
      <c r="K27" s="832">
        <v>8405</v>
      </c>
      <c r="L27" s="882">
        <f t="shared" si="4"/>
        <v>3499.4191520099703</v>
      </c>
      <c r="M27" s="877">
        <v>4324</v>
      </c>
      <c r="N27" s="832">
        <v>4477</v>
      </c>
      <c r="O27" s="883">
        <f t="shared" si="5"/>
        <v>265</v>
      </c>
      <c r="P27" s="884">
        <f t="shared" si="6"/>
        <v>3764.4191520099703</v>
      </c>
      <c r="R27" s="819">
        <f t="shared" si="7"/>
        <v>660.50498282415356</v>
      </c>
    </row>
    <row r="28" spans="1:22" x14ac:dyDescent="0.2">
      <c r="A28" s="841" t="s">
        <v>1162</v>
      </c>
      <c r="B28" s="874">
        <f>'[3]Házi segítségnyújtás'!E40</f>
        <v>0</v>
      </c>
      <c r="C28" s="875">
        <v>0</v>
      </c>
      <c r="H28" s="855" t="s">
        <v>1162</v>
      </c>
      <c r="I28" s="881">
        <v>4340</v>
      </c>
      <c r="J28" s="831">
        <f>'[4]TKT műk.'!K61</f>
        <v>0</v>
      </c>
      <c r="K28" s="832">
        <v>6124</v>
      </c>
      <c r="L28" s="882">
        <f t="shared" si="4"/>
        <v>3866.2631919183241</v>
      </c>
      <c r="M28" s="877">
        <v>3539</v>
      </c>
      <c r="N28" s="832">
        <v>3664</v>
      </c>
      <c r="O28" s="883">
        <f t="shared" si="5"/>
        <v>178</v>
      </c>
      <c r="P28" s="884">
        <f t="shared" si="6"/>
        <v>4044.2631919183241</v>
      </c>
      <c r="R28" s="819">
        <f t="shared" si="7"/>
        <v>86.658731918931153</v>
      </c>
    </row>
    <row r="29" spans="1:22" x14ac:dyDescent="0.2">
      <c r="A29" s="841" t="s">
        <v>1163</v>
      </c>
      <c r="B29" s="874">
        <f>'[3]Házi segítségnyújtás'!E41</f>
        <v>0</v>
      </c>
      <c r="C29" s="875">
        <v>861.84615384615404</v>
      </c>
      <c r="H29" s="855" t="s">
        <v>1163</v>
      </c>
      <c r="I29" s="881">
        <v>264</v>
      </c>
      <c r="J29" s="831">
        <f>'[4]TKT műk.'!K62</f>
        <v>0</v>
      </c>
      <c r="K29" s="832">
        <v>373</v>
      </c>
      <c r="L29" s="882">
        <f t="shared" si="4"/>
        <v>431.69041095890418</v>
      </c>
      <c r="M29" s="877">
        <v>770</v>
      </c>
      <c r="N29" s="832">
        <v>797</v>
      </c>
      <c r="O29" s="883">
        <f t="shared" si="5"/>
        <v>56</v>
      </c>
      <c r="P29" s="884">
        <f t="shared" si="6"/>
        <v>487.69041095890418</v>
      </c>
      <c r="R29" s="819">
        <f t="shared" si="7"/>
        <v>-2206.4861314284176</v>
      </c>
    </row>
    <row r="30" spans="1:22" x14ac:dyDescent="0.2">
      <c r="A30" s="841" t="s">
        <v>1164</v>
      </c>
      <c r="B30" s="874">
        <f>'[3]Házi segítségnyújtás'!E42</f>
        <v>0</v>
      </c>
      <c r="C30" s="875">
        <v>1005.4871794871796</v>
      </c>
      <c r="H30" s="855" t="s">
        <v>1164</v>
      </c>
      <c r="I30" s="881">
        <v>264</v>
      </c>
      <c r="J30" s="831">
        <f>'[4]TKT műk.'!K63</f>
        <v>0</v>
      </c>
      <c r="K30" s="832">
        <v>373</v>
      </c>
      <c r="L30" s="882">
        <f t="shared" si="4"/>
        <v>237.45479452054792</v>
      </c>
      <c r="M30" s="877">
        <v>711</v>
      </c>
      <c r="N30" s="832">
        <v>737</v>
      </c>
      <c r="O30" s="883">
        <f t="shared" si="5"/>
        <v>25</v>
      </c>
      <c r="P30" s="884">
        <f t="shared" si="6"/>
        <v>262.45479452054792</v>
      </c>
      <c r="R30" s="819">
        <f t="shared" si="7"/>
        <v>-918.44159973102592</v>
      </c>
    </row>
    <row r="31" spans="1:22" x14ac:dyDescent="0.2">
      <c r="A31" s="841" t="s">
        <v>1165</v>
      </c>
      <c r="B31" s="874">
        <f>'[3]Házi segítségnyújtás'!E43</f>
        <v>0</v>
      </c>
      <c r="C31" s="875">
        <v>1292.7692307692309</v>
      </c>
      <c r="H31" s="855" t="s">
        <v>1165</v>
      </c>
      <c r="I31" s="881">
        <v>1243</v>
      </c>
      <c r="J31" s="831">
        <f>'[4]TKT műk.'!K64</f>
        <v>0</v>
      </c>
      <c r="K31" s="832">
        <v>1754</v>
      </c>
      <c r="L31" s="882">
        <f t="shared" si="4"/>
        <v>1076.2904109589044</v>
      </c>
      <c r="M31" s="877">
        <v>1847</v>
      </c>
      <c r="N31" s="832">
        <v>1912</v>
      </c>
      <c r="O31" s="883">
        <f t="shared" si="5"/>
        <v>80</v>
      </c>
      <c r="P31" s="884">
        <f t="shared" si="6"/>
        <v>1156.2904109589044</v>
      </c>
      <c r="R31" s="819">
        <f t="shared" si="7"/>
        <v>112.69619663648155</v>
      </c>
    </row>
    <row r="32" spans="1:22" x14ac:dyDescent="0.2">
      <c r="A32" s="841" t="s">
        <v>1166</v>
      </c>
      <c r="B32" s="874">
        <f>'[3]Házi segítségnyújtás'!E44</f>
        <v>0</v>
      </c>
      <c r="C32" s="875">
        <v>1005.4871794871796</v>
      </c>
      <c r="H32" s="855" t="s">
        <v>1166</v>
      </c>
      <c r="I32" s="881">
        <v>520</v>
      </c>
      <c r="J32" s="831">
        <f>'[4]TKT műk.'!K65</f>
        <v>0</v>
      </c>
      <c r="K32" s="832">
        <v>734</v>
      </c>
      <c r="L32" s="882">
        <f t="shared" si="4"/>
        <v>-262.28493150684926</v>
      </c>
      <c r="M32" s="877">
        <v>699</v>
      </c>
      <c r="N32" s="832">
        <v>723</v>
      </c>
      <c r="O32" s="883">
        <f t="shared" si="5"/>
        <v>40</v>
      </c>
      <c r="P32" s="884">
        <f t="shared" si="6"/>
        <v>-222.28493150684926</v>
      </c>
      <c r="R32" s="819">
        <f t="shared" si="7"/>
        <v>-38.025004574944433</v>
      </c>
    </row>
    <row r="33" spans="1:18" x14ac:dyDescent="0.2">
      <c r="A33" s="841" t="s">
        <v>1167</v>
      </c>
      <c r="B33" s="874">
        <f>'[3]Házi segítségnyújtás'!E45</f>
        <v>0</v>
      </c>
      <c r="C33" s="875">
        <v>1005.48717948718</v>
      </c>
      <c r="H33" s="855" t="s">
        <v>1167</v>
      </c>
      <c r="I33" s="881">
        <v>185</v>
      </c>
      <c r="J33" s="831">
        <f>'[4]TKT műk.'!K66</f>
        <v>0</v>
      </c>
      <c r="K33" s="832">
        <v>261</v>
      </c>
      <c r="L33" s="882">
        <f t="shared" si="4"/>
        <v>238.46301369863016</v>
      </c>
      <c r="M33" s="877">
        <v>502</v>
      </c>
      <c r="N33" s="832">
        <v>520</v>
      </c>
      <c r="O33" s="883">
        <f t="shared" si="5"/>
        <v>10</v>
      </c>
      <c r="P33" s="884">
        <f t="shared" si="6"/>
        <v>248.46301369863016</v>
      </c>
      <c r="R33" s="819">
        <f t="shared" si="7"/>
        <v>36.701892531870783</v>
      </c>
    </row>
    <row r="34" spans="1:18" x14ac:dyDescent="0.2">
      <c r="A34" s="841" t="s">
        <v>1168</v>
      </c>
      <c r="B34" s="874">
        <f>'[3]Házi segítségnyújtás'!E46</f>
        <v>0</v>
      </c>
      <c r="C34" s="875">
        <v>0</v>
      </c>
      <c r="H34" s="855" t="s">
        <v>1168</v>
      </c>
      <c r="I34" s="881">
        <v>132</v>
      </c>
      <c r="J34" s="831">
        <f>'[4]TKT műk.'!K67</f>
        <v>0</v>
      </c>
      <c r="K34" s="832">
        <v>187</v>
      </c>
      <c r="L34" s="882">
        <f t="shared" si="4"/>
        <v>340.21095890410959</v>
      </c>
      <c r="M34" s="877">
        <v>500</v>
      </c>
      <c r="N34" s="832">
        <v>518</v>
      </c>
      <c r="O34" s="883">
        <f t="shared" si="5"/>
        <v>28</v>
      </c>
      <c r="P34" s="884">
        <f t="shared" si="6"/>
        <v>368.21095890410959</v>
      </c>
      <c r="R34" s="819">
        <f t="shared" si="7"/>
        <v>-743.35470661977149</v>
      </c>
    </row>
    <row r="35" spans="1:18" x14ac:dyDescent="0.2">
      <c r="A35" s="841" t="s">
        <v>1169</v>
      </c>
      <c r="B35" s="874">
        <f>'[3]Házi segítségnyújtás'!E47</f>
        <v>0</v>
      </c>
      <c r="C35" s="875">
        <v>574.56410256410265</v>
      </c>
      <c r="H35" s="855" t="s">
        <v>1169</v>
      </c>
      <c r="I35" s="881">
        <v>1775</v>
      </c>
      <c r="J35" s="831">
        <f>'[4]TKT műk.'!K68</f>
        <v>0</v>
      </c>
      <c r="K35" s="832">
        <v>2506</v>
      </c>
      <c r="L35" s="882">
        <f t="shared" si="4"/>
        <v>778.22724332702865</v>
      </c>
      <c r="M35" s="877">
        <v>1337</v>
      </c>
      <c r="N35" s="832">
        <v>1384</v>
      </c>
      <c r="O35" s="883">
        <f t="shared" si="5"/>
        <v>84</v>
      </c>
      <c r="P35" s="884">
        <f t="shared" si="6"/>
        <v>862.22724332702865</v>
      </c>
      <c r="R35" s="819">
        <f t="shared" si="7"/>
        <v>-450.73531099018919</v>
      </c>
    </row>
    <row r="36" spans="1:18" x14ac:dyDescent="0.2">
      <c r="A36" s="841" t="s">
        <v>1170</v>
      </c>
      <c r="B36" s="885">
        <f>'[3]Házi segítségnyújtás'!E48</f>
        <v>0</v>
      </c>
      <c r="C36" s="886">
        <v>1005.4871794871796</v>
      </c>
      <c r="H36" s="855" t="s">
        <v>1170</v>
      </c>
      <c r="I36" s="881">
        <v>485</v>
      </c>
      <c r="J36" s="848">
        <f>'[4]TKT műk.'!K69</f>
        <v>0</v>
      </c>
      <c r="K36" s="843">
        <v>684</v>
      </c>
      <c r="L36" s="882">
        <f t="shared" si="4"/>
        <v>176.18630136986303</v>
      </c>
      <c r="M36" s="881">
        <v>757</v>
      </c>
      <c r="N36" s="843">
        <v>784</v>
      </c>
      <c r="O36" s="883">
        <f t="shared" si="5"/>
        <v>42</v>
      </c>
      <c r="P36" s="884">
        <f t="shared" si="6"/>
        <v>218.18630136986303</v>
      </c>
      <c r="R36" s="819">
        <f t="shared" si="7"/>
        <v>-73.915647868154338</v>
      </c>
    </row>
    <row r="37" spans="1:18" x14ac:dyDescent="0.2">
      <c r="A37" s="841" t="s">
        <v>1171</v>
      </c>
      <c r="B37" s="885">
        <f>'[3]Házi segítségnyújtás'!E49</f>
        <v>0</v>
      </c>
      <c r="C37" s="886">
        <v>0</v>
      </c>
      <c r="H37" s="855" t="s">
        <v>1171</v>
      </c>
      <c r="I37" s="881">
        <v>335</v>
      </c>
      <c r="J37" s="848">
        <f>'[4]TKT műk.'!K70</f>
        <v>0</v>
      </c>
      <c r="K37" s="843">
        <v>473</v>
      </c>
      <c r="L37" s="882">
        <f t="shared" si="4"/>
        <v>276.19452054794522</v>
      </c>
      <c r="M37" s="881">
        <v>299</v>
      </c>
      <c r="N37" s="843">
        <v>310</v>
      </c>
      <c r="O37" s="883">
        <f t="shared" si="5"/>
        <v>7</v>
      </c>
      <c r="P37" s="884">
        <f t="shared" si="6"/>
        <v>283.19452054794522</v>
      </c>
      <c r="R37" s="819">
        <f t="shared" si="7"/>
        <v>171.90483586726157</v>
      </c>
    </row>
    <row r="38" spans="1:18" ht="13.5" thickBot="1" x14ac:dyDescent="0.25">
      <c r="A38" s="856" t="s">
        <v>47</v>
      </c>
      <c r="B38" s="887">
        <f>SUM(B25:B37)</f>
        <v>0</v>
      </c>
      <c r="C38" s="888">
        <v>11204.000000000004</v>
      </c>
      <c r="H38" s="861" t="s">
        <v>47</v>
      </c>
      <c r="I38" s="889">
        <f t="shared" ref="I38:O38" si="8">SUM(I25:I37)</f>
        <v>23438</v>
      </c>
      <c r="J38" s="858">
        <f t="shared" si="8"/>
        <v>0</v>
      </c>
      <c r="K38" s="859">
        <f t="shared" si="8"/>
        <v>33079</v>
      </c>
      <c r="L38" s="890">
        <f>SUM(L25:L37)-2</f>
        <v>17561</v>
      </c>
      <c r="M38" s="889">
        <f t="shared" si="8"/>
        <v>20831</v>
      </c>
      <c r="N38" s="859">
        <f t="shared" si="8"/>
        <v>21568</v>
      </c>
      <c r="O38" s="891">
        <f t="shared" si="8"/>
        <v>1160</v>
      </c>
      <c r="P38" s="892">
        <f t="shared" si="6"/>
        <v>18721</v>
      </c>
      <c r="R38" s="819">
        <f>SUM(R25:R37)</f>
        <v>-11977.951899999996</v>
      </c>
    </row>
    <row r="39" spans="1:18" x14ac:dyDescent="0.2">
      <c r="L39" s="893">
        <f>SUM(E20-K38)</f>
        <v>17560.999999999978</v>
      </c>
      <c r="O39" s="893">
        <f>SUM(F20-N38)</f>
        <v>1160</v>
      </c>
      <c r="P39" s="893">
        <f>SUM(P25:P37)-2</f>
        <v>18721</v>
      </c>
      <c r="R39" s="893">
        <f>SUM(R20-P38)</f>
        <v>-11975.951899999985</v>
      </c>
    </row>
    <row r="40" spans="1:18" ht="38.25" x14ac:dyDescent="0.2">
      <c r="H40" s="894" t="s">
        <v>1184</v>
      </c>
      <c r="I40" s="895"/>
      <c r="J40" s="895"/>
      <c r="K40" s="895"/>
      <c r="L40" s="896">
        <f>SUM(E20-I38)</f>
        <v>27201.999999999978</v>
      </c>
      <c r="M40" s="895"/>
      <c r="N40" s="895"/>
      <c r="O40" s="896">
        <f>SUM(F20-M38)</f>
        <v>1897</v>
      </c>
      <c r="P40" s="896">
        <f>SUM(L40+O40)</f>
        <v>29098.999999999978</v>
      </c>
    </row>
  </sheetData>
  <mergeCells count="14">
    <mergeCell ref="A4:A5"/>
    <mergeCell ref="B4:B5"/>
    <mergeCell ref="A23:A24"/>
    <mergeCell ref="B23:B24"/>
    <mergeCell ref="C23:C24"/>
    <mergeCell ref="H23:H24"/>
    <mergeCell ref="I23:P23"/>
    <mergeCell ref="R24:S24"/>
    <mergeCell ref="C4:G4"/>
    <mergeCell ref="H4:H5"/>
    <mergeCell ref="I4:O4"/>
    <mergeCell ref="P4:P5"/>
    <mergeCell ref="Q4:Q5"/>
    <mergeCell ref="S4:S5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P746"/>
  <sheetViews>
    <sheetView topLeftCell="A102" zoomScaleNormal="100" zoomScaleSheetLayoutView="80" workbookViewId="0">
      <selection activeCell="B63" sqref="B63"/>
    </sheetView>
  </sheetViews>
  <sheetFormatPr defaultRowHeight="12.75" x14ac:dyDescent="0.2"/>
  <cols>
    <col min="1" max="1" width="6.28515625" style="2" customWidth="1"/>
    <col min="2" max="2" width="80.7109375" customWidth="1"/>
    <col min="3" max="3" width="14" style="237" hidden="1" customWidth="1"/>
    <col min="4" max="4" width="18.7109375" style="237" customWidth="1"/>
    <col min="5" max="5" width="14" style="237" hidden="1" customWidth="1"/>
    <col min="6" max="6" width="11.28515625" style="237" hidden="1" customWidth="1"/>
    <col min="7" max="7" width="13.5703125" style="237" hidden="1" customWidth="1"/>
    <col min="8" max="8" width="13.140625" style="237" hidden="1" customWidth="1"/>
    <col min="9" max="9" width="10.5703125" customWidth="1"/>
    <col min="10" max="15" width="9.140625" hidden="1" customWidth="1"/>
    <col min="16" max="16" width="9.140625" customWidth="1"/>
    <col min="17" max="18" width="9.140625" hidden="1" customWidth="1"/>
    <col min="19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D1" s="66" t="s">
        <v>869</v>
      </c>
      <c r="F1" s="66" t="s">
        <v>869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932" t="s">
        <v>27</v>
      </c>
      <c r="B2" s="932"/>
      <c r="C2" s="932"/>
      <c r="D2" s="941"/>
      <c r="E2" s="941"/>
      <c r="F2" s="941"/>
      <c r="G2" s="941"/>
      <c r="H2" s="94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9.5" x14ac:dyDescent="0.35">
      <c r="A3" s="932" t="s">
        <v>868</v>
      </c>
      <c r="B3" s="932"/>
      <c r="C3" s="932"/>
      <c r="D3" s="941"/>
      <c r="E3" s="941"/>
      <c r="F3" s="941"/>
      <c r="G3" s="941"/>
      <c r="H3" s="94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3.5" thickBot="1" x14ac:dyDescent="0.25">
      <c r="A4" s="65"/>
      <c r="B4" s="1"/>
      <c r="D4" s="66" t="s">
        <v>0</v>
      </c>
      <c r="F4" s="66" t="s"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79.5" thickBot="1" x14ac:dyDescent="0.25">
      <c r="A5" s="268" t="s">
        <v>119</v>
      </c>
      <c r="B5" s="54" t="s">
        <v>210</v>
      </c>
      <c r="C5" s="54" t="s">
        <v>382</v>
      </c>
      <c r="D5" s="55" t="str">
        <f>'1.Bev-kiad.'!C7</f>
        <v>2021. évi eredeti előirányzat</v>
      </c>
      <c r="E5" s="651" t="str">
        <f>'1.Bev-kiad.'!D7</f>
        <v>Módosított előirányzat 2021.07. havi</v>
      </c>
      <c r="F5" s="54" t="str">
        <f>'1.Bev-kiad.'!E7</f>
        <v>Módosított előirányzat 2021.10. havi</v>
      </c>
      <c r="G5" s="384"/>
      <c r="H5" s="55" t="s">
        <v>756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20.25" customHeight="1" x14ac:dyDescent="0.2">
      <c r="A6" s="168" t="s">
        <v>120</v>
      </c>
      <c r="B6" s="278" t="s">
        <v>355</v>
      </c>
      <c r="C6" s="203" t="e">
        <f t="shared" ref="C6:H6" si="0">SUM(C11+C18+C24)</f>
        <v>#REF!</v>
      </c>
      <c r="D6" s="203">
        <f t="shared" si="0"/>
        <v>43249</v>
      </c>
      <c r="E6" s="203">
        <f t="shared" si="0"/>
        <v>53817</v>
      </c>
      <c r="F6" s="203">
        <f t="shared" si="0"/>
        <v>65817</v>
      </c>
      <c r="G6" s="203" t="e">
        <f t="shared" si="0"/>
        <v>#REF!</v>
      </c>
      <c r="H6" s="203">
        <f t="shared" si="0"/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2.75" hidden="1" customHeight="1" x14ac:dyDescent="0.2">
      <c r="A7" s="9" t="s">
        <v>123</v>
      </c>
      <c r="B7" s="9" t="s">
        <v>127</v>
      </c>
      <c r="C7" s="7"/>
      <c r="D7" s="7"/>
      <c r="E7" s="7"/>
      <c r="F7" s="7"/>
      <c r="G7" s="7"/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2.75" hidden="1" customHeight="1" x14ac:dyDescent="0.2">
      <c r="A8" s="9" t="s">
        <v>124</v>
      </c>
      <c r="B8" s="9" t="s">
        <v>128</v>
      </c>
      <c r="C8" s="232"/>
      <c r="D8" s="232"/>
      <c r="E8" s="232"/>
      <c r="F8" s="232"/>
      <c r="G8" s="232"/>
      <c r="H8" s="23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125</v>
      </c>
      <c r="B9" s="9" t="s">
        <v>129</v>
      </c>
      <c r="C9" s="232"/>
      <c r="D9" s="232"/>
      <c r="E9" s="232"/>
      <c r="F9" s="232"/>
      <c r="G9" s="232"/>
      <c r="H9" s="23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126</v>
      </c>
      <c r="B10" s="9" t="s">
        <v>131</v>
      </c>
      <c r="C10" s="232"/>
      <c r="D10" s="232"/>
      <c r="E10" s="232"/>
      <c r="F10" s="232"/>
      <c r="G10" s="232"/>
      <c r="H10" s="23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8" customHeight="1" x14ac:dyDescent="0.25">
      <c r="A11" s="18" t="s">
        <v>132</v>
      </c>
      <c r="B11" s="30" t="s">
        <v>251</v>
      </c>
      <c r="C11" s="46" t="e">
        <f t="shared" ref="C11:H11" si="1">C12+C15</f>
        <v>#REF!</v>
      </c>
      <c r="D11" s="46">
        <f t="shared" si="1"/>
        <v>10249</v>
      </c>
      <c r="E11" s="46">
        <f t="shared" si="1"/>
        <v>44746</v>
      </c>
      <c r="F11" s="46">
        <f t="shared" si="1"/>
        <v>44746</v>
      </c>
      <c r="G11" s="46" t="e">
        <f t="shared" si="1"/>
        <v>#REF!</v>
      </c>
      <c r="H11" s="46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customHeight="1" x14ac:dyDescent="0.2">
      <c r="A12" s="9" t="s">
        <v>133</v>
      </c>
      <c r="B12" s="9" t="s">
        <v>336</v>
      </c>
      <c r="C12" s="232" t="e">
        <f>#REF!+#REF!</f>
        <v>#REF!</v>
      </c>
      <c r="D12" s="232">
        <f>SUM(D13:D13)</f>
        <v>10249</v>
      </c>
      <c r="E12" s="232">
        <f>SUM(E13:E13)</f>
        <v>11148</v>
      </c>
      <c r="F12" s="232">
        <f>SUM(F13:F13)</f>
        <v>11148</v>
      </c>
      <c r="G12" s="232" t="e">
        <f>#REF!+#REF!</f>
        <v>#REF!</v>
      </c>
      <c r="H12" s="232"/>
      <c r="I12" s="2"/>
      <c r="P12" s="8">
        <f>SUM(D13+D20+D26)</f>
        <v>43249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9" t="s">
        <v>844</v>
      </c>
      <c r="C13" s="17">
        <v>0</v>
      </c>
      <c r="D13" s="325">
        <v>10249</v>
      </c>
      <c r="E13" s="17">
        <f>15000-3852</f>
        <v>11148</v>
      </c>
      <c r="F13" s="17">
        <f>15000-3852</f>
        <v>11148</v>
      </c>
      <c r="G13" s="17"/>
      <c r="H13" s="17"/>
      <c r="I13" s="2"/>
      <c r="J13" s="2"/>
      <c r="K13" s="609"/>
      <c r="L13" s="389"/>
      <c r="M13" s="610"/>
      <c r="N13" s="389"/>
      <c r="O13" s="38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x14ac:dyDescent="0.2">
      <c r="A14" s="9"/>
      <c r="B14" s="9"/>
      <c r="C14" s="17"/>
      <c r="D14" s="17"/>
      <c r="E14" s="17"/>
      <c r="F14" s="17"/>
      <c r="G14" s="17"/>
      <c r="H14" s="17"/>
      <c r="I14" s="2"/>
      <c r="J14" s="2"/>
      <c r="K14" s="609" t="s">
        <v>811</v>
      </c>
      <c r="L14" s="611"/>
      <c r="M14" s="610"/>
      <c r="N14" s="611"/>
      <c r="O14" s="61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 t="s">
        <v>173</v>
      </c>
      <c r="B15" s="9" t="s">
        <v>337</v>
      </c>
      <c r="C15" s="232">
        <f t="shared" ref="C15:H15" si="2">SUM(C16:C17)</f>
        <v>33598</v>
      </c>
      <c r="D15" s="232">
        <f t="shared" si="2"/>
        <v>0</v>
      </c>
      <c r="E15" s="232">
        <f t="shared" si="2"/>
        <v>33598</v>
      </c>
      <c r="F15" s="232">
        <f t="shared" si="2"/>
        <v>33598</v>
      </c>
      <c r="G15" s="232">
        <f t="shared" si="2"/>
        <v>33598</v>
      </c>
      <c r="H15" s="232">
        <f t="shared" si="2"/>
        <v>0</v>
      </c>
      <c r="I15" s="2"/>
      <c r="J15" s="2" t="s">
        <v>812</v>
      </c>
      <c r="K15" s="17">
        <v>104400</v>
      </c>
      <c r="L15" s="8">
        <v>115800</v>
      </c>
      <c r="M15" s="8">
        <f>(L15-K15)</f>
        <v>11400</v>
      </c>
      <c r="N15" s="8">
        <v>4200</v>
      </c>
      <c r="O15" s="612">
        <f>SUM(L15+N15)</f>
        <v>120000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idden="1" x14ac:dyDescent="0.2">
      <c r="A16" s="9"/>
      <c r="B16" s="26" t="s">
        <v>802</v>
      </c>
      <c r="C16" s="17">
        <v>31233</v>
      </c>
      <c r="D16" s="17"/>
      <c r="E16" s="17">
        <v>31233</v>
      </c>
      <c r="F16" s="17">
        <v>31233</v>
      </c>
      <c r="G16" s="17">
        <v>31233</v>
      </c>
      <c r="H16" s="17"/>
      <c r="I16" s="2"/>
      <c r="J16" s="2" t="s">
        <v>813</v>
      </c>
      <c r="K16" s="17">
        <v>226930</v>
      </c>
      <c r="L16" s="8">
        <v>229295</v>
      </c>
      <c r="M16" s="8">
        <f>(L16-K16)</f>
        <v>2365</v>
      </c>
      <c r="N16" s="8">
        <v>5500</v>
      </c>
      <c r="O16" s="612">
        <f>SUM(L16+N16)</f>
        <v>234795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idden="1" x14ac:dyDescent="0.2">
      <c r="A17" s="9"/>
      <c r="B17" s="26" t="s">
        <v>803</v>
      </c>
      <c r="C17" s="17">
        <v>2365</v>
      </c>
      <c r="D17" s="17"/>
      <c r="E17" s="17">
        <v>2365</v>
      </c>
      <c r="F17" s="17">
        <v>2365</v>
      </c>
      <c r="G17" s="17">
        <v>2365</v>
      </c>
      <c r="H17" s="17"/>
      <c r="I17" s="2"/>
      <c r="J17" s="2"/>
      <c r="K17" s="8"/>
      <c r="L17" s="8"/>
      <c r="M17" s="8"/>
      <c r="N17" s="8"/>
      <c r="O17" s="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7.25" customHeight="1" x14ac:dyDescent="0.25">
      <c r="A18" s="18" t="s">
        <v>179</v>
      </c>
      <c r="B18" s="30" t="s">
        <v>252</v>
      </c>
      <c r="C18" s="46">
        <f t="shared" ref="C18:H18" si="3">SUM(C19:C23)</f>
        <v>0</v>
      </c>
      <c r="D18" s="46">
        <f t="shared" si="3"/>
        <v>22700</v>
      </c>
      <c r="E18" s="46">
        <f t="shared" si="3"/>
        <v>1056</v>
      </c>
      <c r="F18" s="46">
        <f>SUM(F19:F23)</f>
        <v>13056</v>
      </c>
      <c r="G18" s="46">
        <f t="shared" si="3"/>
        <v>0</v>
      </c>
      <c r="H18" s="46">
        <f t="shared" si="3"/>
        <v>0</v>
      </c>
      <c r="I18" s="2"/>
      <c r="J18" s="2"/>
      <c r="K18" s="8"/>
      <c r="L18" s="8"/>
      <c r="M18" s="8"/>
      <c r="N18" s="8"/>
      <c r="O18" s="8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3.5" customHeight="1" x14ac:dyDescent="0.2">
      <c r="A19" s="9" t="s">
        <v>180</v>
      </c>
      <c r="B19" s="26" t="s">
        <v>421</v>
      </c>
      <c r="C19" s="232"/>
      <c r="D19" s="232"/>
      <c r="E19" s="232"/>
      <c r="F19" s="232"/>
      <c r="G19" s="232"/>
      <c r="H19" s="232"/>
      <c r="I19" s="2"/>
      <c r="J19" s="2"/>
      <c r="K19" s="2">
        <v>226638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3.5" customHeight="1" x14ac:dyDescent="0.2">
      <c r="A20" s="9" t="s">
        <v>181</v>
      </c>
      <c r="B20" s="26" t="s">
        <v>870</v>
      </c>
      <c r="C20" s="16">
        <v>0</v>
      </c>
      <c r="D20" s="325">
        <f>(10700+12000)</f>
        <v>22700</v>
      </c>
      <c r="E20" s="16">
        <v>1056</v>
      </c>
      <c r="F20" s="16">
        <f>1056+12000</f>
        <v>13056</v>
      </c>
      <c r="G20" s="16"/>
      <c r="H20" s="16"/>
      <c r="I20" s="37" t="s">
        <v>876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182</v>
      </c>
      <c r="B21" s="26" t="s">
        <v>475</v>
      </c>
      <c r="C21" s="232"/>
      <c r="D21" s="232"/>
      <c r="E21" s="232"/>
      <c r="F21" s="232"/>
      <c r="G21" s="232"/>
      <c r="H21" s="232"/>
      <c r="I21" s="36" t="s">
        <v>875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183</v>
      </c>
      <c r="B22" s="26" t="s">
        <v>253</v>
      </c>
      <c r="C22" s="232"/>
      <c r="D22" s="232"/>
      <c r="E22" s="232"/>
      <c r="F22" s="232"/>
      <c r="G22" s="232"/>
      <c r="H22" s="23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184</v>
      </c>
      <c r="B23" s="26" t="s">
        <v>254</v>
      </c>
      <c r="C23" s="232"/>
      <c r="D23" s="232"/>
      <c r="E23" s="232"/>
      <c r="F23" s="232"/>
      <c r="G23" s="232"/>
      <c r="H23" s="23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8" customHeight="1" x14ac:dyDescent="0.25">
      <c r="A24" s="18" t="s">
        <v>191</v>
      </c>
      <c r="B24" s="30" t="s">
        <v>406</v>
      </c>
      <c r="C24" s="46">
        <f t="shared" ref="C24:H24" si="4">C26</f>
        <v>8015</v>
      </c>
      <c r="D24" s="46">
        <f t="shared" si="4"/>
        <v>10300</v>
      </c>
      <c r="E24" s="46">
        <f t="shared" si="4"/>
        <v>8015</v>
      </c>
      <c r="F24" s="46">
        <f t="shared" si="4"/>
        <v>8015</v>
      </c>
      <c r="G24" s="46">
        <f t="shared" si="4"/>
        <v>8015</v>
      </c>
      <c r="H24" s="46">
        <f t="shared" si="4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hidden="1" customHeight="1" x14ac:dyDescent="0.2">
      <c r="A25" s="9" t="s">
        <v>191</v>
      </c>
      <c r="B25" s="26" t="s">
        <v>412</v>
      </c>
      <c r="C25" s="58"/>
      <c r="D25" s="58"/>
      <c r="E25" s="58"/>
      <c r="F25" s="58"/>
      <c r="G25" s="58"/>
      <c r="H25" s="5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3.5" customHeight="1" x14ac:dyDescent="0.2">
      <c r="A26" s="9" t="s">
        <v>517</v>
      </c>
      <c r="B26" s="26" t="s">
        <v>895</v>
      </c>
      <c r="C26" s="194">
        <f t="shared" ref="C26:H26" si="5">C27</f>
        <v>8015</v>
      </c>
      <c r="D26" s="661">
        <v>10300</v>
      </c>
      <c r="E26" s="194">
        <f t="shared" si="5"/>
        <v>8015</v>
      </c>
      <c r="F26" s="194">
        <f t="shared" si="5"/>
        <v>8015</v>
      </c>
      <c r="G26" s="194">
        <f t="shared" si="5"/>
        <v>8015</v>
      </c>
      <c r="H26" s="194">
        <f t="shared" si="5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customHeight="1" x14ac:dyDescent="0.2">
      <c r="A27" s="9"/>
      <c r="B27" s="26"/>
      <c r="C27" s="194">
        <v>8015</v>
      </c>
      <c r="D27" s="194"/>
      <c r="E27" s="194">
        <v>8015</v>
      </c>
      <c r="F27" s="194">
        <v>8015</v>
      </c>
      <c r="G27" s="194">
        <v>8015</v>
      </c>
      <c r="H27" s="19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20.25" customHeight="1" x14ac:dyDescent="0.25">
      <c r="A28" s="9"/>
      <c r="B28" s="202" t="s">
        <v>356</v>
      </c>
      <c r="C28" s="184">
        <f t="shared" ref="C28:H28" si="6">SUM(C29+C34)</f>
        <v>1273797</v>
      </c>
      <c r="D28" s="184">
        <f t="shared" si="6"/>
        <v>949598</v>
      </c>
      <c r="E28" s="184">
        <f t="shared" si="6"/>
        <v>1273797</v>
      </c>
      <c r="F28" s="184">
        <f t="shared" si="6"/>
        <v>1273797</v>
      </c>
      <c r="G28" s="184">
        <f t="shared" si="6"/>
        <v>1273797</v>
      </c>
      <c r="H28" s="184">
        <f t="shared" si="6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6.5" customHeight="1" x14ac:dyDescent="0.25">
      <c r="A29" s="9"/>
      <c r="B29" s="23" t="s">
        <v>256</v>
      </c>
      <c r="C29" s="234">
        <f t="shared" ref="C29:H29" si="7">C30</f>
        <v>1095597</v>
      </c>
      <c r="D29" s="234">
        <f t="shared" si="7"/>
        <v>749598</v>
      </c>
      <c r="E29" s="234">
        <f t="shared" si="7"/>
        <v>1095597</v>
      </c>
      <c r="F29" s="234">
        <f t="shared" si="7"/>
        <v>1095597</v>
      </c>
      <c r="G29" s="234">
        <f t="shared" si="7"/>
        <v>1095597</v>
      </c>
      <c r="H29" s="234">
        <f t="shared" si="7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customHeight="1" x14ac:dyDescent="0.2">
      <c r="A30" s="9"/>
      <c r="B30" s="39" t="s">
        <v>446</v>
      </c>
      <c r="C30" s="232">
        <v>1095597</v>
      </c>
      <c r="D30" s="232">
        <f>SUM(D31:D32)</f>
        <v>749598</v>
      </c>
      <c r="E30" s="232">
        <v>1095597</v>
      </c>
      <c r="F30" s="232">
        <v>1095597</v>
      </c>
      <c r="G30" s="232">
        <v>1095597</v>
      </c>
      <c r="H30" s="23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x14ac:dyDescent="0.2">
      <c r="A31" s="9"/>
      <c r="B31" s="39" t="s">
        <v>905</v>
      </c>
      <c r="C31" s="232"/>
      <c r="D31" s="16">
        <f>(632574-19378-10058-5652)</f>
        <v>597486</v>
      </c>
      <c r="E31" s="232"/>
      <c r="F31" s="232"/>
      <c r="G31" s="232"/>
      <c r="H31" s="23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x14ac:dyDescent="0.2">
      <c r="A32" s="9"/>
      <c r="B32" s="39" t="s">
        <v>906</v>
      </c>
      <c r="C32" s="232"/>
      <c r="D32" s="16">
        <f>(226930-68956-3881-1049-246-686)</f>
        <v>152112</v>
      </c>
      <c r="E32" s="232"/>
      <c r="F32" s="232"/>
      <c r="G32" s="232"/>
      <c r="H32" s="2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customHeight="1" x14ac:dyDescent="0.2">
      <c r="A33" s="9"/>
      <c r="B33" s="39"/>
      <c r="C33" s="232"/>
      <c r="D33" s="232"/>
      <c r="E33" s="232"/>
      <c r="F33" s="232"/>
      <c r="G33" s="232"/>
      <c r="H33" s="2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6.5" customHeight="1" x14ac:dyDescent="0.25">
      <c r="A34" s="9"/>
      <c r="B34" s="226" t="s">
        <v>257</v>
      </c>
      <c r="C34" s="233">
        <f>SUM(C35:C36)</f>
        <v>178200</v>
      </c>
      <c r="D34" s="233">
        <f>SUM(D35:D37)</f>
        <v>200000</v>
      </c>
      <c r="E34" s="233">
        <f>SUM(E35:E36)</f>
        <v>178200</v>
      </c>
      <c r="F34" s="233">
        <f>SUM(F35:F36)</f>
        <v>178200</v>
      </c>
      <c r="G34" s="233">
        <f>SUM(G35:G36)</f>
        <v>178200</v>
      </c>
      <c r="H34" s="233">
        <f>SUM(H36)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3.5" customHeight="1" x14ac:dyDescent="0.25">
      <c r="A35" s="14"/>
      <c r="B35" s="25" t="s">
        <v>908</v>
      </c>
      <c r="C35" s="171">
        <v>78200</v>
      </c>
      <c r="D35" s="647">
        <v>100000</v>
      </c>
      <c r="E35" s="171">
        <v>78200</v>
      </c>
      <c r="F35" s="171">
        <v>78200</v>
      </c>
      <c r="G35" s="171">
        <v>78200</v>
      </c>
      <c r="H35" s="60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x14ac:dyDescent="0.2">
      <c r="A36" s="9"/>
      <c r="B36" s="25" t="s">
        <v>871</v>
      </c>
      <c r="C36" s="171">
        <v>100000</v>
      </c>
      <c r="D36" s="647">
        <v>100000</v>
      </c>
      <c r="E36" s="171">
        <v>100000</v>
      </c>
      <c r="F36" s="171">
        <v>100000</v>
      </c>
      <c r="G36" s="187">
        <v>100000</v>
      </c>
      <c r="H36" s="18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3.5" customHeight="1" thickBot="1" x14ac:dyDescent="0.25">
      <c r="A37" s="14"/>
      <c r="B37" s="192"/>
      <c r="C37" s="187"/>
      <c r="D37" s="187"/>
      <c r="E37" s="187"/>
      <c r="F37" s="187"/>
      <c r="G37" s="643"/>
      <c r="H37" s="64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20.25" thickBot="1" x14ac:dyDescent="0.4">
      <c r="A38" s="268"/>
      <c r="B38" s="267" t="s">
        <v>393</v>
      </c>
      <c r="C38" s="279" t="e">
        <f t="shared" ref="C38:H38" si="8">SUM(C6+C28)</f>
        <v>#REF!</v>
      </c>
      <c r="D38" s="279">
        <f t="shared" si="8"/>
        <v>992847</v>
      </c>
      <c r="E38" s="279">
        <f t="shared" si="8"/>
        <v>1327614</v>
      </c>
      <c r="F38" s="312">
        <f t="shared" si="8"/>
        <v>1339614</v>
      </c>
      <c r="G38" s="645" t="e">
        <f t="shared" si="8"/>
        <v>#REF!</v>
      </c>
      <c r="H38" s="312">
        <f t="shared" si="8"/>
        <v>0</v>
      </c>
      <c r="I38" s="1100" t="s">
        <v>920</v>
      </c>
      <c r="J38" s="1101"/>
      <c r="K38" s="1101"/>
      <c r="L38" s="1101"/>
      <c r="M38" s="1101"/>
      <c r="N38" s="1101"/>
      <c r="O38" s="1101"/>
      <c r="P38" s="1101"/>
      <c r="Q38" s="1101"/>
      <c r="R38" s="1101"/>
      <c r="S38" s="1101"/>
      <c r="T38" s="110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36.75" customHeight="1" x14ac:dyDescent="0.25">
      <c r="A39" s="168" t="s">
        <v>369</v>
      </c>
      <c r="B39" s="277" t="s">
        <v>357</v>
      </c>
      <c r="C39" s="235" t="e">
        <f t="shared" ref="C39:H39" si="9">SUM(C40+C77+C93+C96)</f>
        <v>#REF!</v>
      </c>
      <c r="D39" s="235">
        <f t="shared" si="9"/>
        <v>1066397</v>
      </c>
      <c r="E39" s="235" t="e">
        <f t="shared" si="9"/>
        <v>#REF!</v>
      </c>
      <c r="F39" s="235" t="e">
        <f t="shared" si="9"/>
        <v>#REF!</v>
      </c>
      <c r="G39" s="235" t="e">
        <f t="shared" si="9"/>
        <v>#REF!</v>
      </c>
      <c r="H39" s="235" t="e">
        <f t="shared" si="9"/>
        <v>#REF!</v>
      </c>
      <c r="I39" s="666" t="s">
        <v>917</v>
      </c>
      <c r="J39" s="667"/>
      <c r="K39" s="667"/>
      <c r="L39" s="667"/>
      <c r="M39" s="667"/>
      <c r="N39" s="667"/>
      <c r="O39" s="667"/>
      <c r="P39" s="666" t="s">
        <v>918</v>
      </c>
      <c r="Q39" s="611"/>
      <c r="R39" s="611"/>
      <c r="S39" s="666" t="s">
        <v>919</v>
      </c>
      <c r="T39" s="666" t="s">
        <v>916</v>
      </c>
      <c r="U39" s="666" t="s">
        <v>438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5.75" x14ac:dyDescent="0.25">
      <c r="A40" s="18" t="s">
        <v>255</v>
      </c>
      <c r="B40" s="30" t="s">
        <v>5</v>
      </c>
      <c r="C40" s="184" t="e">
        <f t="shared" ref="C40:H40" si="10">SUM(C41+C68)</f>
        <v>#REF!</v>
      </c>
      <c r="D40" s="184">
        <f t="shared" si="10"/>
        <v>63555</v>
      </c>
      <c r="E40" s="184">
        <f t="shared" si="10"/>
        <v>137991</v>
      </c>
      <c r="F40" s="184">
        <f t="shared" si="10"/>
        <v>138464</v>
      </c>
      <c r="G40" s="184">
        <f t="shared" si="10"/>
        <v>105263</v>
      </c>
      <c r="H40" s="184">
        <f t="shared" si="10"/>
        <v>0</v>
      </c>
      <c r="I40" s="13" t="e">
        <f>SUM(D41+D85+'8.Önk.'!#REF!)</f>
        <v>#REF!</v>
      </c>
      <c r="J40" s="9"/>
      <c r="K40" s="9"/>
      <c r="L40" s="9"/>
      <c r="M40" s="9"/>
      <c r="N40" s="9"/>
      <c r="O40" s="9"/>
      <c r="P40" s="13" t="e">
        <f>SUM(D80+I80+D83+I83+D81+I81+'8.Önk.'!#REF!)</f>
        <v>#REF!</v>
      </c>
      <c r="Q40" s="2"/>
      <c r="R40" s="2"/>
      <c r="S40" s="13" t="e">
        <f>SUM(D79+I79+D82+I82+'8.Önk.'!#REF!)</f>
        <v>#REF!</v>
      </c>
      <c r="T40" s="13" t="e">
        <f>SUM(P40:S40)</f>
        <v>#REF!</v>
      </c>
      <c r="U40" s="13" t="e">
        <f>SUM(I40+T40)</f>
        <v>#REF!</v>
      </c>
      <c r="V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8" customHeight="1" x14ac:dyDescent="0.2">
      <c r="A41" s="18"/>
      <c r="B41" s="31" t="s">
        <v>358</v>
      </c>
      <c r="C41" s="169">
        <f t="shared" ref="C41:H41" si="11">SUM(C42+C47+C67)</f>
        <v>115700</v>
      </c>
      <c r="D41" s="169">
        <f t="shared" si="11"/>
        <v>62555</v>
      </c>
      <c r="E41" s="169">
        <f t="shared" si="11"/>
        <v>136991</v>
      </c>
      <c r="F41" s="169">
        <f t="shared" si="11"/>
        <v>137464</v>
      </c>
      <c r="G41" s="169">
        <f t="shared" si="11"/>
        <v>104259</v>
      </c>
      <c r="H41" s="169">
        <f t="shared" si="11"/>
        <v>0</v>
      </c>
      <c r="I41" s="1102" t="e">
        <f>SUM(I40+P40)</f>
        <v>#REF!</v>
      </c>
      <c r="J41" s="1102"/>
      <c r="K41" s="1102"/>
      <c r="L41" s="1102"/>
      <c r="M41" s="1102"/>
      <c r="N41" s="1102"/>
      <c r="O41" s="1102"/>
      <c r="P41" s="1102"/>
      <c r="Q41" s="2"/>
      <c r="R41" s="2"/>
      <c r="S41" s="9"/>
      <c r="T41" s="9"/>
      <c r="U41" s="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4.25" x14ac:dyDescent="0.2">
      <c r="A42" s="18"/>
      <c r="B42" s="31" t="s">
        <v>362</v>
      </c>
      <c r="C42" s="169">
        <f>SUM(C43:C45)</f>
        <v>11441</v>
      </c>
      <c r="D42" s="169">
        <f>SUM(D45:D46)</f>
        <v>0</v>
      </c>
      <c r="E42" s="169">
        <f>SUM(E43:E45)</f>
        <v>20326</v>
      </c>
      <c r="F42" s="169">
        <f>SUM(F43:F45)</f>
        <v>20326</v>
      </c>
      <c r="G42" s="169">
        <f>SUM(G43:G43)</f>
        <v>0</v>
      </c>
      <c r="H42" s="169">
        <f>H43</f>
        <v>0</v>
      </c>
      <c r="I42" s="66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3.5" hidden="1" customHeight="1" x14ac:dyDescent="0.2">
      <c r="A43" s="18"/>
      <c r="B43" s="24" t="s">
        <v>804</v>
      </c>
      <c r="C43" s="232">
        <v>11441</v>
      </c>
      <c r="D43" s="232">
        <v>0</v>
      </c>
      <c r="E43" s="232">
        <v>0</v>
      </c>
      <c r="F43" s="232">
        <v>0</v>
      </c>
      <c r="G43" s="232">
        <v>0</v>
      </c>
      <c r="H43" s="16"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3.5" hidden="1" customHeight="1" x14ac:dyDescent="0.2">
      <c r="A44" s="18"/>
      <c r="B44" s="9" t="s">
        <v>849</v>
      </c>
      <c r="C44" s="232">
        <v>0</v>
      </c>
      <c r="D44" s="232">
        <v>0</v>
      </c>
      <c r="E44" s="232">
        <v>11995</v>
      </c>
      <c r="F44" s="232">
        <v>11995</v>
      </c>
      <c r="G44" s="232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3.5" hidden="1" customHeight="1" x14ac:dyDescent="0.2">
      <c r="A45" s="18"/>
      <c r="B45" s="9" t="s">
        <v>850</v>
      </c>
      <c r="C45" s="232">
        <v>0</v>
      </c>
      <c r="D45" s="232">
        <v>0</v>
      </c>
      <c r="E45" s="232">
        <v>8331</v>
      </c>
      <c r="F45" s="232">
        <v>8331</v>
      </c>
      <c r="G45" s="232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3.5" customHeight="1" x14ac:dyDescent="0.2">
      <c r="A46" s="18"/>
      <c r="B46" s="9"/>
      <c r="C46" s="232"/>
      <c r="D46" s="232"/>
      <c r="E46" s="232"/>
      <c r="F46" s="232"/>
      <c r="G46" s="232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3.5" customHeight="1" x14ac:dyDescent="0.2">
      <c r="A47" s="18"/>
      <c r="B47" s="29" t="s">
        <v>361</v>
      </c>
      <c r="C47" s="15">
        <f t="shared" ref="C47:H47" si="12">SUM(C48:C59)</f>
        <v>26059</v>
      </c>
      <c r="D47" s="15">
        <f>SUM(D60:D66)</f>
        <v>62555</v>
      </c>
      <c r="E47" s="15">
        <f>SUM(E48:E59)</f>
        <v>38465</v>
      </c>
      <c r="F47" s="15">
        <f>SUM(F48:F59)</f>
        <v>38938</v>
      </c>
      <c r="G47" s="15">
        <f t="shared" si="12"/>
        <v>26059</v>
      </c>
      <c r="H47" s="15">
        <f t="shared" si="12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idden="1" x14ac:dyDescent="0.2">
      <c r="A48" s="18"/>
      <c r="B48" s="25" t="s">
        <v>487</v>
      </c>
      <c r="C48" s="16">
        <v>22000</v>
      </c>
      <c r="D48" s="16"/>
      <c r="E48" s="16">
        <f>22000+12-4680</f>
        <v>17332</v>
      </c>
      <c r="F48" s="16">
        <f>22000+12-4680</f>
        <v>17332</v>
      </c>
      <c r="G48" s="607">
        <v>22000</v>
      </c>
      <c r="H48" s="17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idden="1" x14ac:dyDescent="0.2">
      <c r="A49" s="18"/>
      <c r="B49" s="25" t="s">
        <v>805</v>
      </c>
      <c r="C49" s="16">
        <v>850</v>
      </c>
      <c r="D49" s="16"/>
      <c r="E49" s="16">
        <v>850</v>
      </c>
      <c r="F49" s="16">
        <f>850+120</f>
        <v>970</v>
      </c>
      <c r="G49" s="607">
        <v>850</v>
      </c>
      <c r="H49" s="232"/>
      <c r="I49" s="8">
        <f>F49-E49</f>
        <v>120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idden="1" x14ac:dyDescent="0.2">
      <c r="A50" s="18"/>
      <c r="B50" s="25" t="s">
        <v>806</v>
      </c>
      <c r="C50" s="16">
        <v>709</v>
      </c>
      <c r="D50" s="16"/>
      <c r="E50" s="16">
        <v>709</v>
      </c>
      <c r="F50" s="16">
        <v>709</v>
      </c>
      <c r="G50" s="607">
        <v>709</v>
      </c>
      <c r="H50" s="232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idden="1" x14ac:dyDescent="0.2">
      <c r="A51" s="18"/>
      <c r="B51" s="25" t="s">
        <v>489</v>
      </c>
      <c r="C51" s="17">
        <v>2500</v>
      </c>
      <c r="D51" s="17"/>
      <c r="E51" s="17">
        <f>2500+500</f>
        <v>3000</v>
      </c>
      <c r="F51" s="17">
        <f>2500+500</f>
        <v>3000</v>
      </c>
      <c r="G51" s="607">
        <v>2500</v>
      </c>
      <c r="H51" s="232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idden="1" x14ac:dyDescent="0.2">
      <c r="A52" s="18"/>
      <c r="B52" s="24" t="s">
        <v>841</v>
      </c>
      <c r="C52" s="17">
        <v>0</v>
      </c>
      <c r="D52" s="17"/>
      <c r="E52" s="17">
        <v>11441</v>
      </c>
      <c r="F52" s="17">
        <v>11441</v>
      </c>
      <c r="G52" s="607"/>
      <c r="H52" s="232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idden="1" x14ac:dyDescent="0.2">
      <c r="A53" s="18"/>
      <c r="B53" s="25" t="s">
        <v>845</v>
      </c>
      <c r="C53" s="17">
        <v>0</v>
      </c>
      <c r="D53" s="17">
        <v>0</v>
      </c>
      <c r="E53" s="17">
        <v>573</v>
      </c>
      <c r="F53" s="17">
        <v>573</v>
      </c>
      <c r="G53" s="607"/>
      <c r="H53" s="232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idden="1" x14ac:dyDescent="0.2">
      <c r="A54" s="18"/>
      <c r="B54" s="25" t="s">
        <v>846</v>
      </c>
      <c r="C54" s="17">
        <v>0</v>
      </c>
      <c r="D54" s="17">
        <v>0</v>
      </c>
      <c r="E54" s="17">
        <v>3747</v>
      </c>
      <c r="F54" s="17">
        <v>3747</v>
      </c>
      <c r="G54" s="607"/>
      <c r="H54" s="232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idden="1" x14ac:dyDescent="0.2">
      <c r="A55" s="18"/>
      <c r="B55" s="25" t="s">
        <v>853</v>
      </c>
      <c r="C55" s="17">
        <v>0</v>
      </c>
      <c r="D55" s="17">
        <v>0</v>
      </c>
      <c r="E55" s="17">
        <v>114</v>
      </c>
      <c r="F55" s="17">
        <v>114</v>
      </c>
      <c r="G55" s="607"/>
      <c r="H55" s="232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idden="1" x14ac:dyDescent="0.2">
      <c r="A56" s="18"/>
      <c r="B56" s="25" t="s">
        <v>864</v>
      </c>
      <c r="C56" s="17">
        <v>0</v>
      </c>
      <c r="D56" s="17">
        <v>0</v>
      </c>
      <c r="E56" s="17">
        <v>298</v>
      </c>
      <c r="F56" s="17">
        <v>298</v>
      </c>
      <c r="G56" s="607"/>
      <c r="H56" s="232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hidden="1" x14ac:dyDescent="0.2">
      <c r="A57" s="18"/>
      <c r="B57" s="25" t="s">
        <v>854</v>
      </c>
      <c r="C57" s="17">
        <v>0</v>
      </c>
      <c r="D57" s="17">
        <v>0</v>
      </c>
      <c r="E57" s="17">
        <v>401</v>
      </c>
      <c r="F57" s="17">
        <v>401</v>
      </c>
      <c r="G57" s="607"/>
      <c r="H57" s="232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hidden="1" x14ac:dyDescent="0.2">
      <c r="A58" s="18"/>
      <c r="B58" s="25" t="s">
        <v>863</v>
      </c>
      <c r="C58" s="17">
        <v>0</v>
      </c>
      <c r="D58" s="17">
        <v>0</v>
      </c>
      <c r="E58" s="17">
        <v>0</v>
      </c>
      <c r="F58" s="17">
        <v>237</v>
      </c>
      <c r="G58" s="17">
        <v>0</v>
      </c>
      <c r="H58" s="17">
        <v>0</v>
      </c>
      <c r="I58" s="8">
        <f>F58-E58</f>
        <v>237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idden="1" x14ac:dyDescent="0.2">
      <c r="A59" s="18"/>
      <c r="B59" s="24" t="s">
        <v>865</v>
      </c>
      <c r="C59" s="17">
        <v>0</v>
      </c>
      <c r="D59" s="17">
        <v>0</v>
      </c>
      <c r="E59" s="17">
        <v>0</v>
      </c>
      <c r="F59" s="17">
        <v>116</v>
      </c>
      <c r="G59" s="17">
        <v>0</v>
      </c>
      <c r="H59" s="17">
        <v>0</v>
      </c>
      <c r="I59" s="8">
        <f>F59-E59</f>
        <v>116</v>
      </c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x14ac:dyDescent="0.2">
      <c r="A60" s="18"/>
      <c r="B60" s="670" t="s">
        <v>897</v>
      </c>
      <c r="C60" s="17"/>
      <c r="D60" s="668">
        <v>26000</v>
      </c>
      <c r="E60" s="17"/>
      <c r="F60" s="17"/>
      <c r="G60" s="17"/>
      <c r="H60" s="17"/>
      <c r="I60" s="669">
        <v>-10000</v>
      </c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x14ac:dyDescent="0.2">
      <c r="A61" s="18"/>
      <c r="B61" s="24" t="s">
        <v>898</v>
      </c>
      <c r="C61" s="17"/>
      <c r="D61" s="325">
        <v>10800</v>
      </c>
      <c r="E61" s="17"/>
      <c r="F61" s="17"/>
      <c r="G61" s="17"/>
      <c r="H61" s="17"/>
      <c r="I61" s="669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x14ac:dyDescent="0.2">
      <c r="A62" s="18"/>
      <c r="B62" s="24" t="s">
        <v>899</v>
      </c>
      <c r="C62" s="17"/>
      <c r="D62" s="325"/>
      <c r="E62" s="17"/>
      <c r="F62" s="17"/>
      <c r="G62" s="17"/>
      <c r="H62" s="17"/>
      <c r="I62" s="669">
        <v>-13200</v>
      </c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x14ac:dyDescent="0.2">
      <c r="A63" s="18"/>
      <c r="B63" s="24" t="s">
        <v>911</v>
      </c>
      <c r="C63" s="17"/>
      <c r="D63" s="325">
        <v>3200</v>
      </c>
      <c r="E63" s="17"/>
      <c r="F63" s="17"/>
      <c r="G63" s="17"/>
      <c r="H63" s="17"/>
      <c r="I63" s="669"/>
      <c r="J63" s="2"/>
      <c r="K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x14ac:dyDescent="0.2">
      <c r="A64" s="18"/>
      <c r="B64" s="670" t="s">
        <v>900</v>
      </c>
      <c r="C64" s="17"/>
      <c r="D64" s="325">
        <v>18745</v>
      </c>
      <c r="E64" s="17"/>
      <c r="F64" s="17"/>
      <c r="G64" s="17"/>
      <c r="H64" s="17"/>
      <c r="I64" s="8"/>
      <c r="J64" s="2"/>
      <c r="K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">
      <c r="A65" s="18"/>
      <c r="B65" s="24" t="s">
        <v>907</v>
      </c>
      <c r="C65" s="17"/>
      <c r="D65" s="325">
        <v>3810</v>
      </c>
      <c r="E65" s="17"/>
      <c r="F65" s="17"/>
      <c r="G65" s="17"/>
      <c r="H65" s="17"/>
      <c r="I65" s="8"/>
      <c r="J65" s="2"/>
      <c r="K65" s="2"/>
      <c r="M65" s="2"/>
      <c r="N65" s="2"/>
      <c r="O65" s="2"/>
      <c r="P65" s="2">
        <v>15.6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18"/>
      <c r="B66" s="24"/>
      <c r="C66" s="17"/>
      <c r="D66" s="17"/>
      <c r="E66" s="17"/>
      <c r="F66" s="17"/>
      <c r="G66" s="17"/>
      <c r="H66" s="17"/>
      <c r="I66" s="8"/>
      <c r="J66" s="2"/>
      <c r="K66" s="2"/>
      <c r="M66" s="2"/>
      <c r="N66" s="2"/>
      <c r="O66" s="2"/>
      <c r="P66" s="2">
        <v>86.7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18"/>
      <c r="B67" s="29" t="s">
        <v>807</v>
      </c>
      <c r="C67" s="15">
        <v>78200</v>
      </c>
      <c r="D67" s="15"/>
      <c r="E67" s="15">
        <v>78200</v>
      </c>
      <c r="F67" s="15">
        <v>78200</v>
      </c>
      <c r="G67" s="15">
        <v>78200</v>
      </c>
      <c r="H67" s="17"/>
      <c r="I67" s="2"/>
      <c r="J67" s="2"/>
      <c r="K67" s="2"/>
      <c r="L67" s="2"/>
      <c r="M67" s="2"/>
      <c r="N67" s="2"/>
      <c r="O67" s="2"/>
      <c r="P67" s="8">
        <v>502.4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ht="13.5" customHeight="1" x14ac:dyDescent="0.2">
      <c r="A68" s="18"/>
      <c r="B68" s="29" t="s">
        <v>401</v>
      </c>
      <c r="C68" s="15" t="e">
        <f>SUM(C69)</f>
        <v>#REF!</v>
      </c>
      <c r="D68" s="15">
        <f>SUM(D69)</f>
        <v>1000</v>
      </c>
      <c r="E68" s="15">
        <f>SUM(E69)</f>
        <v>1000</v>
      </c>
      <c r="F68" s="15">
        <f>SUM(F69)</f>
        <v>1000</v>
      </c>
      <c r="G68" s="15">
        <f>SUM(G69)</f>
        <v>1004</v>
      </c>
      <c r="H68" s="15">
        <f>SUM(H69:H76)</f>
        <v>0</v>
      </c>
      <c r="I68" s="2"/>
      <c r="J68" s="2"/>
      <c r="K68" s="2"/>
      <c r="L68" s="2"/>
      <c r="M68" s="2"/>
      <c r="N68" s="2"/>
      <c r="O68" s="2"/>
      <c r="P68" s="2">
        <f>SUM(P65:P67)</f>
        <v>604.69999999999993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ht="13.5" customHeight="1" x14ac:dyDescent="0.2">
      <c r="A69" s="18"/>
      <c r="B69" s="25" t="s">
        <v>872</v>
      </c>
      <c r="C69" s="16" t="e">
        <f>'9.Hivatal'!#REF!</f>
        <v>#REF!</v>
      </c>
      <c r="D69" s="325">
        <f>SUM('9.Hivatal'!R78)</f>
        <v>1000</v>
      </c>
      <c r="E69" s="16">
        <f>'9.Hivatal'!R76</f>
        <v>1000</v>
      </c>
      <c r="F69" s="16">
        <f>'9.Hivatal'!S76</f>
        <v>1000</v>
      </c>
      <c r="G69" s="16">
        <f>'9.Hivatal'!U76</f>
        <v>1004</v>
      </c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hidden="1" x14ac:dyDescent="0.2">
      <c r="A70" s="18"/>
      <c r="B70" s="25"/>
      <c r="C70" s="16"/>
      <c r="D70" s="16"/>
      <c r="E70" s="16"/>
      <c r="F70" s="16"/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hidden="1" x14ac:dyDescent="0.2">
      <c r="A71" s="18"/>
      <c r="B71" s="25"/>
      <c r="C71" s="16"/>
      <c r="D71" s="16"/>
      <c r="E71" s="16"/>
      <c r="F71" s="16"/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idden="1" x14ac:dyDescent="0.2">
      <c r="A72" s="18"/>
      <c r="B72" s="25"/>
      <c r="C72" s="16"/>
      <c r="D72" s="16"/>
      <c r="E72" s="16"/>
      <c r="F72" s="16"/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idden="1" x14ac:dyDescent="0.2">
      <c r="A73" s="18"/>
      <c r="B73" s="25"/>
      <c r="C73" s="16"/>
      <c r="D73" s="16"/>
      <c r="E73" s="16"/>
      <c r="F73" s="16"/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idden="1" x14ac:dyDescent="0.2">
      <c r="A74" s="18"/>
      <c r="B74" s="196"/>
      <c r="C74" s="228"/>
      <c r="D74" s="228"/>
      <c r="E74" s="228"/>
      <c r="F74" s="228"/>
      <c r="G74" s="228"/>
      <c r="H74" s="228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hidden="1" x14ac:dyDescent="0.2">
      <c r="A75" s="18"/>
      <c r="B75" s="25"/>
      <c r="C75" s="228"/>
      <c r="D75" s="228"/>
      <c r="E75" s="228"/>
      <c r="F75" s="228"/>
      <c r="G75" s="228"/>
      <c r="H75" s="228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">
      <c r="A76" s="18"/>
      <c r="B76" s="25"/>
      <c r="C76" s="228"/>
      <c r="D76" s="228"/>
      <c r="E76" s="228"/>
      <c r="F76" s="228"/>
      <c r="G76" s="228"/>
      <c r="H76" s="228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89" customFormat="1" ht="18" customHeight="1" x14ac:dyDescent="0.25">
      <c r="A77" s="29" t="s">
        <v>372</v>
      </c>
      <c r="B77" s="227" t="s">
        <v>1</v>
      </c>
      <c r="C77" s="246">
        <f>SUM(C78+C85)</f>
        <v>512995</v>
      </c>
      <c r="D77" s="246">
        <f>SUM(D78+D85)</f>
        <v>1002842</v>
      </c>
      <c r="E77" s="246">
        <f>SUM(E78+E85)</f>
        <v>552629</v>
      </c>
      <c r="F77" s="246">
        <f>SUM(F78+F85)</f>
        <v>535599</v>
      </c>
      <c r="G77" s="246">
        <f>SUM(G78+G85)</f>
        <v>512995</v>
      </c>
      <c r="H77" s="246">
        <f>SUM(H78+H86)</f>
        <v>0</v>
      </c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</row>
    <row r="78" spans="1:42" s="89" customFormat="1" ht="13.5" customHeight="1" x14ac:dyDescent="0.2">
      <c r="A78" s="29"/>
      <c r="B78" s="29" t="s">
        <v>2</v>
      </c>
      <c r="C78" s="224">
        <f t="shared" ref="C78:H78" si="13">SUM(C79:C82)</f>
        <v>511995</v>
      </c>
      <c r="D78" s="224">
        <f t="shared" si="13"/>
        <v>612402</v>
      </c>
      <c r="E78" s="224">
        <f t="shared" si="13"/>
        <v>529053</v>
      </c>
      <c r="F78" s="224">
        <f t="shared" si="13"/>
        <v>514393</v>
      </c>
      <c r="G78" s="224">
        <f t="shared" si="13"/>
        <v>511995</v>
      </c>
      <c r="H78" s="224">
        <f t="shared" si="13"/>
        <v>0</v>
      </c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</row>
    <row r="79" spans="1:42" s="89" customFormat="1" ht="13.5" customHeight="1" x14ac:dyDescent="0.2">
      <c r="A79" s="29"/>
      <c r="B79" s="26" t="s">
        <v>896</v>
      </c>
      <c r="C79" s="171">
        <f>'13.2.EU projekt részletesen'!M15/1000</f>
        <v>212795</v>
      </c>
      <c r="D79" s="647">
        <v>126690</v>
      </c>
      <c r="E79" s="171">
        <f>212795</f>
        <v>212795</v>
      </c>
      <c r="F79" s="171">
        <f>212795-14660</f>
        <v>198135</v>
      </c>
      <c r="G79" s="171">
        <v>212795</v>
      </c>
      <c r="H79" s="171"/>
      <c r="I79" s="658">
        <f>SUM(D79*0.27)</f>
        <v>34206.300000000003</v>
      </c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</row>
    <row r="80" spans="1:42" s="89" customFormat="1" ht="13.5" customHeight="1" x14ac:dyDescent="0.2">
      <c r="A80" s="29"/>
      <c r="B80" s="26" t="s">
        <v>890</v>
      </c>
      <c r="C80" s="171">
        <v>0</v>
      </c>
      <c r="D80" s="647">
        <v>13431</v>
      </c>
      <c r="E80" s="171">
        <v>17058</v>
      </c>
      <c r="F80" s="171">
        <v>17058</v>
      </c>
      <c r="G80" s="171"/>
      <c r="H80" s="171"/>
      <c r="I80" s="658">
        <f>SUM(D80*0.27)</f>
        <v>3626.3700000000003</v>
      </c>
      <c r="J80" s="179"/>
      <c r="K80" s="179"/>
      <c r="L80" s="179"/>
      <c r="M80" s="179"/>
      <c r="N80" s="179"/>
      <c r="O80" s="179"/>
      <c r="P80" s="179"/>
      <c r="Q80" s="642">
        <v>180986</v>
      </c>
      <c r="R80" s="642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</row>
    <row r="81" spans="1:42" s="89" customFormat="1" ht="13.5" customHeight="1" x14ac:dyDescent="0.2">
      <c r="A81" s="29"/>
      <c r="B81" s="26" t="s">
        <v>910</v>
      </c>
      <c r="C81" s="171"/>
      <c r="D81" s="647">
        <v>1100</v>
      </c>
      <c r="E81" s="171"/>
      <c r="F81" s="171"/>
      <c r="G81" s="171"/>
      <c r="H81" s="171"/>
      <c r="I81" s="658">
        <f>SUM(D81*0.27)</f>
        <v>297</v>
      </c>
      <c r="J81" s="179"/>
      <c r="K81" s="179"/>
      <c r="L81" s="179"/>
      <c r="M81" s="179"/>
      <c r="N81" s="179"/>
      <c r="O81" s="179"/>
      <c r="P81" s="179"/>
      <c r="Q81" s="642"/>
      <c r="R81" s="642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</row>
    <row r="82" spans="1:42" s="89" customFormat="1" ht="13.5" customHeight="1" x14ac:dyDescent="0.2">
      <c r="A82" s="29"/>
      <c r="B82" s="275" t="s">
        <v>913</v>
      </c>
      <c r="C82" s="171">
        <f>'13.2.EU projekt részletesen'!D15/1000/2</f>
        <v>299200</v>
      </c>
      <c r="D82" s="647">
        <v>471181</v>
      </c>
      <c r="E82" s="171">
        <v>299200</v>
      </c>
      <c r="F82" s="171">
        <v>299200</v>
      </c>
      <c r="G82" s="171">
        <v>299200</v>
      </c>
      <c r="H82" s="171"/>
      <c r="I82" s="658">
        <f>SUM(D82*0.27)</f>
        <v>127218.87000000001</v>
      </c>
      <c r="J82" s="179"/>
      <c r="K82" s="179"/>
      <c r="L82" s="179"/>
      <c r="M82" s="179"/>
      <c r="N82" s="179"/>
      <c r="O82" s="179"/>
      <c r="P82" s="179"/>
      <c r="Q82" s="642">
        <v>54296</v>
      </c>
      <c r="R82" s="642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</row>
    <row r="83" spans="1:42" s="89" customFormat="1" ht="13.5" customHeight="1" x14ac:dyDescent="0.2">
      <c r="A83" s="29"/>
      <c r="B83" s="275" t="s">
        <v>914</v>
      </c>
      <c r="C83" s="171"/>
      <c r="D83" s="647">
        <f>(60000/1.27)</f>
        <v>47244.094488188974</v>
      </c>
      <c r="E83" s="171"/>
      <c r="F83" s="171"/>
      <c r="G83" s="171"/>
      <c r="H83" s="171"/>
      <c r="I83" s="658">
        <f>SUM(D83*0.27)</f>
        <v>12755.905511811025</v>
      </c>
      <c r="J83" s="179"/>
      <c r="K83" s="179"/>
      <c r="L83" s="179"/>
      <c r="M83" s="179"/>
      <c r="N83" s="179"/>
      <c r="O83" s="179"/>
      <c r="P83" s="179" t="s">
        <v>915</v>
      </c>
      <c r="Q83" s="642"/>
      <c r="R83" s="642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</row>
    <row r="84" spans="1:42" s="89" customFormat="1" ht="13.5" customHeight="1" x14ac:dyDescent="0.2">
      <c r="A84" s="29"/>
      <c r="B84" s="275"/>
      <c r="C84" s="171"/>
      <c r="D84" s="171"/>
      <c r="E84" s="171"/>
      <c r="F84" s="171"/>
      <c r="G84" s="171"/>
      <c r="H84" s="171"/>
      <c r="I84" s="642"/>
      <c r="J84" s="179"/>
      <c r="K84" s="179"/>
      <c r="L84" s="179"/>
      <c r="M84" s="179"/>
      <c r="N84" s="179"/>
      <c r="O84" s="179"/>
      <c r="P84" s="179"/>
      <c r="Q84" s="642">
        <f>(Q80-Q82)</f>
        <v>126690</v>
      </c>
      <c r="R84" s="642">
        <f>(Q84*0.27)</f>
        <v>34206.300000000003</v>
      </c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</row>
    <row r="85" spans="1:42" s="89" customFormat="1" ht="13.5" customHeight="1" x14ac:dyDescent="0.2">
      <c r="A85" s="29"/>
      <c r="B85" s="29" t="s">
        <v>359</v>
      </c>
      <c r="C85" s="224">
        <f>SUM(C86:C92)</f>
        <v>1000</v>
      </c>
      <c r="D85" s="224">
        <f>SUM(D86:D92)</f>
        <v>390440</v>
      </c>
      <c r="E85" s="224">
        <f>SUM(E86:E92)</f>
        <v>23576</v>
      </c>
      <c r="F85" s="224">
        <f>SUM(F86:F92)</f>
        <v>21206</v>
      </c>
      <c r="G85" s="224">
        <f>SUM(G86:G87)</f>
        <v>1000</v>
      </c>
      <c r="H85" s="224">
        <f>SUM(H86:H87)</f>
        <v>0</v>
      </c>
      <c r="I85" s="642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</row>
    <row r="86" spans="1:42" s="89" customFormat="1" x14ac:dyDescent="0.2">
      <c r="A86" s="29"/>
      <c r="B86" s="25" t="s">
        <v>881</v>
      </c>
      <c r="C86" s="16">
        <v>1000</v>
      </c>
      <c r="D86" s="325">
        <v>1000</v>
      </c>
      <c r="E86" s="16">
        <v>1000</v>
      </c>
      <c r="F86" s="16">
        <v>1000</v>
      </c>
      <c r="G86" s="16">
        <v>1000</v>
      </c>
      <c r="H86" s="16"/>
      <c r="I86" s="642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</row>
    <row r="87" spans="1:42" s="89" customFormat="1" x14ac:dyDescent="0.2">
      <c r="A87" s="25"/>
      <c r="B87" s="9" t="s">
        <v>904</v>
      </c>
      <c r="C87" s="16">
        <v>0</v>
      </c>
      <c r="D87" s="325">
        <v>16140</v>
      </c>
      <c r="E87" s="16">
        <f>30000-7703</f>
        <v>22297</v>
      </c>
      <c r="F87" s="16">
        <f>30000-7703-2370</f>
        <v>19927</v>
      </c>
      <c r="G87" s="16"/>
      <c r="H87" s="16"/>
      <c r="I87" s="642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</row>
    <row r="88" spans="1:42" s="89" customFormat="1" x14ac:dyDescent="0.2">
      <c r="A88" s="25"/>
      <c r="B88" s="670" t="s">
        <v>901</v>
      </c>
      <c r="C88" s="16">
        <v>0</v>
      </c>
      <c r="D88" s="325">
        <v>6900</v>
      </c>
      <c r="E88" s="16">
        <v>279</v>
      </c>
      <c r="F88" s="16">
        <v>279</v>
      </c>
      <c r="G88" s="16"/>
      <c r="H88" s="16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</row>
    <row r="89" spans="1:42" s="89" customFormat="1" x14ac:dyDescent="0.2">
      <c r="A89" s="25"/>
      <c r="B89" s="25" t="s">
        <v>902</v>
      </c>
      <c r="C89" s="16"/>
      <c r="D89" s="325">
        <v>3500</v>
      </c>
      <c r="E89" s="16"/>
      <c r="F89" s="16"/>
      <c r="G89" s="16"/>
      <c r="H89" s="16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</row>
    <row r="90" spans="1:42" s="89" customFormat="1" x14ac:dyDescent="0.2">
      <c r="A90" s="25"/>
      <c r="B90" s="670" t="s">
        <v>912</v>
      </c>
      <c r="C90" s="16"/>
      <c r="D90" s="325">
        <v>17500</v>
      </c>
      <c r="E90" s="16"/>
      <c r="F90" s="16"/>
      <c r="G90" s="16"/>
      <c r="H90" s="16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</row>
    <row r="91" spans="1:42" s="89" customFormat="1" x14ac:dyDescent="0.2">
      <c r="A91" s="25"/>
      <c r="B91" s="25" t="s">
        <v>903</v>
      </c>
      <c r="C91" s="16"/>
      <c r="D91" s="325">
        <v>345400</v>
      </c>
      <c r="E91" s="16"/>
      <c r="F91" s="16"/>
      <c r="G91" s="16"/>
      <c r="H91" s="16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</row>
    <row r="92" spans="1:42" s="89" customFormat="1" x14ac:dyDescent="0.2">
      <c r="A92" s="25"/>
      <c r="B92" s="196"/>
      <c r="C92" s="285"/>
      <c r="D92" s="285"/>
      <c r="E92" s="285"/>
      <c r="F92" s="285"/>
      <c r="G92" s="285"/>
      <c r="H92" s="285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</row>
    <row r="93" spans="1:42" s="89" customFormat="1" ht="15" x14ac:dyDescent="0.25">
      <c r="A93" s="29" t="s">
        <v>371</v>
      </c>
      <c r="B93" s="227" t="s">
        <v>13</v>
      </c>
      <c r="C93" s="204" t="e">
        <f t="shared" ref="C93:H93" si="14">C94</f>
        <v>#REF!</v>
      </c>
      <c r="D93" s="204">
        <f t="shared" si="14"/>
        <v>0</v>
      </c>
      <c r="E93" s="204" t="e">
        <f t="shared" si="14"/>
        <v>#REF!</v>
      </c>
      <c r="F93" s="204" t="e">
        <f t="shared" si="14"/>
        <v>#REF!</v>
      </c>
      <c r="G93" s="204" t="e">
        <f t="shared" si="14"/>
        <v>#REF!</v>
      </c>
      <c r="H93" s="204" t="e">
        <f t="shared" si="14"/>
        <v>#REF!</v>
      </c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</row>
    <row r="94" spans="1:42" s="89" customFormat="1" ht="13.5" customHeight="1" x14ac:dyDescent="0.2">
      <c r="A94" s="29"/>
      <c r="B94" s="29" t="s">
        <v>808</v>
      </c>
      <c r="C94" s="15" t="e">
        <f>SUM(#REF!)</f>
        <v>#REF!</v>
      </c>
      <c r="D94" s="15"/>
      <c r="E94" s="15" t="e">
        <f>SUM(#REF!)</f>
        <v>#REF!</v>
      </c>
      <c r="F94" s="15" t="e">
        <f>SUM(#REF!)</f>
        <v>#REF!</v>
      </c>
      <c r="G94" s="15" t="e">
        <f>SUM(#REF!)</f>
        <v>#REF!</v>
      </c>
      <c r="H94" s="15" t="e">
        <f>SUM(#REF!)</f>
        <v>#REF!</v>
      </c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</row>
    <row r="95" spans="1:42" s="89" customFormat="1" x14ac:dyDescent="0.2">
      <c r="A95" s="29"/>
      <c r="B95" s="25"/>
      <c r="C95" s="16"/>
      <c r="D95" s="16"/>
      <c r="E95" s="16"/>
      <c r="F95" s="16"/>
      <c r="G95" s="16"/>
      <c r="H95" s="16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</row>
    <row r="96" spans="1:42" s="89" customFormat="1" ht="15.75" x14ac:dyDescent="0.25">
      <c r="A96" s="29"/>
      <c r="B96" s="226" t="s">
        <v>426</v>
      </c>
      <c r="C96" s="204">
        <f>SUM(C97:C97)</f>
        <v>250000</v>
      </c>
      <c r="D96" s="204">
        <f>SUM(D97:D99)</f>
        <v>0</v>
      </c>
      <c r="E96" s="204">
        <f>SUM(E97:E99)</f>
        <v>252561</v>
      </c>
      <c r="F96" s="204">
        <f>SUM(F97:F99)</f>
        <v>264088</v>
      </c>
      <c r="G96" s="204">
        <f>SUM(G97:G97)</f>
        <v>250000</v>
      </c>
      <c r="H96" s="204">
        <f>SUM(H97:H97)</f>
        <v>0</v>
      </c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</row>
    <row r="97" spans="1:42" s="89" customFormat="1" ht="13.5" customHeight="1" x14ac:dyDescent="0.2">
      <c r="A97" s="29"/>
      <c r="B97" s="26" t="s">
        <v>880</v>
      </c>
      <c r="C97" s="207">
        <v>250000</v>
      </c>
      <c r="D97" s="207"/>
      <c r="E97" s="207">
        <v>250000</v>
      </c>
      <c r="F97" s="207">
        <v>250000</v>
      </c>
      <c r="G97" s="207">
        <v>250000</v>
      </c>
      <c r="H97" s="207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</row>
    <row r="98" spans="1:42" s="89" customFormat="1" ht="13.5" customHeight="1" x14ac:dyDescent="0.2">
      <c r="A98" s="29"/>
      <c r="B98" s="26"/>
      <c r="C98" s="207">
        <v>0</v>
      </c>
      <c r="D98" s="207"/>
      <c r="E98" s="207">
        <f>-6325-500+1144+1056+5000-573+3851-813-279</f>
        <v>2561</v>
      </c>
      <c r="F98" s="207">
        <f>-6325-500+1144+1056+5000-573+3851-813-279+12000-473</f>
        <v>14088</v>
      </c>
      <c r="G98" s="207"/>
      <c r="H98" s="207"/>
      <c r="I98" s="642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</row>
    <row r="99" spans="1:42" s="89" customFormat="1" ht="13.5" hidden="1" customHeight="1" x14ac:dyDescent="0.2">
      <c r="A99" s="29"/>
      <c r="B99" s="282"/>
      <c r="C99" s="207"/>
      <c r="D99" s="207"/>
      <c r="E99" s="207"/>
      <c r="F99" s="207"/>
      <c r="G99" s="207"/>
      <c r="H99" s="207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</row>
    <row r="100" spans="1:42" s="89" customFormat="1" ht="13.5" hidden="1" customHeight="1" x14ac:dyDescent="0.2">
      <c r="A100" s="29"/>
      <c r="B100" s="282"/>
      <c r="C100" s="207"/>
      <c r="D100" s="207"/>
      <c r="E100" s="207"/>
      <c r="F100" s="207"/>
      <c r="G100" s="207"/>
      <c r="H100" s="207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</row>
    <row r="101" spans="1:42" s="89" customFormat="1" ht="13.5" hidden="1" customHeight="1" x14ac:dyDescent="0.2">
      <c r="A101" s="29"/>
      <c r="B101" s="282"/>
      <c r="C101" s="207"/>
      <c r="D101" s="207"/>
      <c r="E101" s="207"/>
      <c r="F101" s="207"/>
      <c r="G101" s="207"/>
      <c r="H101" s="207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</row>
    <row r="102" spans="1:42" ht="15.75" x14ac:dyDescent="0.2">
      <c r="A102" s="18" t="s">
        <v>207</v>
      </c>
      <c r="B102" s="220" t="s">
        <v>360</v>
      </c>
      <c r="C102" s="221">
        <v>0</v>
      </c>
      <c r="D102" s="649">
        <f>SUM(D103+D106+D107)</f>
        <v>15600</v>
      </c>
      <c r="E102" s="221">
        <v>0</v>
      </c>
      <c r="F102" s="221">
        <v>0</v>
      </c>
      <c r="G102" s="221">
        <v>0</v>
      </c>
      <c r="H102" s="221"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" customHeight="1" x14ac:dyDescent="0.2">
      <c r="A103" s="18"/>
      <c r="B103" s="222" t="s">
        <v>396</v>
      </c>
      <c r="C103" s="221"/>
      <c r="D103" s="650">
        <f>SUM(D105)</f>
        <v>15600</v>
      </c>
      <c r="E103" s="221"/>
      <c r="F103" s="221"/>
      <c r="G103" s="221"/>
      <c r="H103" s="22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3.5" hidden="1" customHeight="1" x14ac:dyDescent="0.2">
      <c r="A104" s="18"/>
      <c r="B104" s="276" t="s">
        <v>397</v>
      </c>
      <c r="C104" s="221"/>
      <c r="D104" s="221"/>
      <c r="E104" s="221"/>
      <c r="F104" s="221"/>
      <c r="G104" s="221"/>
      <c r="H104" s="22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3.5" customHeight="1" x14ac:dyDescent="0.2">
      <c r="A105" s="18"/>
      <c r="B105" s="276" t="s">
        <v>909</v>
      </c>
      <c r="C105" s="221"/>
      <c r="D105" s="297">
        <f>(10400+5200)</f>
        <v>15600</v>
      </c>
      <c r="E105" s="221"/>
      <c r="F105" s="221"/>
      <c r="G105" s="221"/>
      <c r="H105" s="22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" customHeight="1" x14ac:dyDescent="0.2">
      <c r="A106" s="18"/>
      <c r="B106" s="222" t="s">
        <v>398</v>
      </c>
      <c r="C106" s="221"/>
      <c r="D106" s="221"/>
      <c r="E106" s="221"/>
      <c r="F106" s="221"/>
      <c r="G106" s="221"/>
      <c r="H106" s="22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" customHeight="1" thickBot="1" x14ac:dyDescent="0.25">
      <c r="A107" s="28"/>
      <c r="B107" s="219" t="s">
        <v>399</v>
      </c>
      <c r="C107" s="206"/>
      <c r="D107" s="206"/>
      <c r="E107" s="206"/>
      <c r="F107" s="206"/>
      <c r="G107" s="206"/>
      <c r="H107" s="20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24" customHeight="1" thickBot="1" x14ac:dyDescent="0.4">
      <c r="A108" s="268"/>
      <c r="B108" s="315" t="s">
        <v>395</v>
      </c>
      <c r="C108" s="316" t="e">
        <f t="shared" ref="C108:H108" si="15">SUM(C39+C102)</f>
        <v>#REF!</v>
      </c>
      <c r="D108" s="317">
        <f t="shared" si="15"/>
        <v>1081997</v>
      </c>
      <c r="E108" s="652" t="e">
        <f t="shared" si="15"/>
        <v>#REF!</v>
      </c>
      <c r="F108" s="316" t="e">
        <f t="shared" si="15"/>
        <v>#REF!</v>
      </c>
      <c r="G108" s="316" t="e">
        <f t="shared" si="15"/>
        <v>#REF!</v>
      </c>
      <c r="H108" s="317" t="e">
        <f t="shared" si="15"/>
        <v>#REF!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2">
      <c r="B109" s="2"/>
      <c r="C109" s="231" t="e">
        <f t="shared" ref="C109:H109" si="16">SUM(C38-C108)</f>
        <v>#REF!</v>
      </c>
      <c r="D109" s="231">
        <f t="shared" si="16"/>
        <v>-89150</v>
      </c>
      <c r="E109" s="231" t="e">
        <f t="shared" si="16"/>
        <v>#REF!</v>
      </c>
      <c r="F109" s="231" t="e">
        <f t="shared" si="16"/>
        <v>#REF!</v>
      </c>
      <c r="G109" s="231" t="e">
        <f t="shared" si="16"/>
        <v>#REF!</v>
      </c>
      <c r="H109" s="231" t="e">
        <f t="shared" si="16"/>
        <v>#REF!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s="199" customFormat="1" ht="13.5" customHeight="1" x14ac:dyDescent="0.2">
      <c r="A110" s="188"/>
      <c r="C110" s="236"/>
      <c r="D110" s="656"/>
      <c r="E110" s="236"/>
      <c r="F110" s="236"/>
      <c r="G110" s="236"/>
      <c r="H110" s="236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</row>
    <row r="111" spans="1:42" s="199" customFormat="1" ht="13.5" customHeight="1" x14ac:dyDescent="0.2">
      <c r="A111" s="188"/>
      <c r="B111" s="328"/>
      <c r="C111" s="237"/>
      <c r="D111" s="237"/>
      <c r="E111" s="237"/>
      <c r="F111" s="237"/>
      <c r="G111" s="237"/>
      <c r="H111" s="237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</row>
    <row r="112" spans="1:42" s="199" customFormat="1" ht="13.5" customHeight="1" x14ac:dyDescent="0.2">
      <c r="A112" s="188"/>
      <c r="C112" s="236"/>
      <c r="D112" s="236"/>
      <c r="E112" s="236"/>
      <c r="F112" s="236"/>
      <c r="G112" s="236"/>
      <c r="H112" s="236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</row>
    <row r="113" spans="1:42" s="199" customFormat="1" ht="13.5" customHeight="1" x14ac:dyDescent="0.2">
      <c r="A113" s="188"/>
      <c r="C113" s="236"/>
      <c r="D113" s="656"/>
      <c r="E113" s="236"/>
      <c r="F113" s="236"/>
      <c r="G113" s="236"/>
      <c r="H113" s="236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</row>
    <row r="114" spans="1:42" s="199" customFormat="1" ht="13.5" customHeight="1" x14ac:dyDescent="0.2">
      <c r="A114" s="188"/>
      <c r="C114" s="236"/>
      <c r="D114" s="236"/>
      <c r="E114" s="236"/>
      <c r="F114" s="236"/>
      <c r="G114" s="236"/>
      <c r="H114" s="236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</row>
    <row r="115" spans="1:42" s="199" customFormat="1" ht="13.5" customHeight="1" x14ac:dyDescent="0.2">
      <c r="A115" s="188"/>
      <c r="C115" s="236"/>
      <c r="D115" s="236"/>
      <c r="E115" s="236"/>
      <c r="F115" s="236"/>
      <c r="G115" s="236"/>
      <c r="H115" s="236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</row>
    <row r="116" spans="1:42" s="199" customFormat="1" ht="13.5" customHeight="1" x14ac:dyDescent="0.2">
      <c r="A116" s="188"/>
      <c r="C116" s="236"/>
      <c r="D116" s="236"/>
      <c r="E116" s="236"/>
      <c r="F116" s="236"/>
      <c r="G116" s="236"/>
      <c r="H116" s="236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</row>
    <row r="117" spans="1:42" s="199" customFormat="1" ht="13.5" customHeight="1" x14ac:dyDescent="0.2">
      <c r="A117" s="188"/>
      <c r="C117" s="236"/>
      <c r="D117" s="236"/>
      <c r="E117" s="236"/>
      <c r="F117" s="236"/>
      <c r="G117" s="236"/>
      <c r="H117" s="236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</row>
    <row r="118" spans="1:42" s="199" customFormat="1" ht="13.5" customHeight="1" x14ac:dyDescent="0.2">
      <c r="A118" s="188"/>
      <c r="C118" s="236"/>
      <c r="D118" s="236"/>
      <c r="E118" s="236"/>
      <c r="F118" s="236"/>
      <c r="G118" s="236"/>
      <c r="H118" s="236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</row>
    <row r="119" spans="1:42" s="199" customFormat="1" ht="13.5" customHeight="1" x14ac:dyDescent="0.2">
      <c r="A119" s="188"/>
      <c r="C119" s="236"/>
      <c r="D119" s="236"/>
      <c r="E119" s="236"/>
      <c r="F119" s="236"/>
      <c r="G119" s="236"/>
      <c r="H119" s="236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</row>
    <row r="120" spans="1:42" s="199" customFormat="1" ht="13.5" customHeight="1" x14ac:dyDescent="0.2">
      <c r="A120" s="188"/>
      <c r="C120" s="236"/>
      <c r="D120" s="236"/>
      <c r="E120" s="236"/>
      <c r="F120" s="236"/>
      <c r="G120" s="236"/>
      <c r="H120" s="236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</row>
    <row r="121" spans="1:42" s="199" customFormat="1" ht="13.5" customHeight="1" x14ac:dyDescent="0.2">
      <c r="A121" s="188"/>
      <c r="C121" s="236"/>
      <c r="D121" s="236"/>
      <c r="E121" s="236"/>
      <c r="F121" s="236"/>
      <c r="G121" s="236"/>
      <c r="H121" s="236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</row>
    <row r="122" spans="1:42" s="199" customFormat="1" ht="13.5" customHeight="1" x14ac:dyDescent="0.2">
      <c r="A122" s="188"/>
      <c r="C122" s="236"/>
      <c r="D122" s="236"/>
      <c r="E122" s="236"/>
      <c r="F122" s="236"/>
      <c r="G122" s="236"/>
      <c r="H122" s="236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</row>
    <row r="123" spans="1:42" s="199" customFormat="1" ht="13.5" customHeight="1" x14ac:dyDescent="0.2">
      <c r="A123" s="188"/>
      <c r="C123" s="236"/>
      <c r="D123" s="236"/>
      <c r="E123" s="236"/>
      <c r="F123" s="236"/>
      <c r="G123" s="236"/>
      <c r="H123" s="236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</row>
    <row r="124" spans="1:42" s="199" customFormat="1" ht="13.5" customHeight="1" x14ac:dyDescent="0.2">
      <c r="A124" s="188"/>
      <c r="C124" s="236"/>
      <c r="D124" s="236"/>
      <c r="E124" s="236"/>
      <c r="F124" s="236"/>
      <c r="G124" s="236"/>
      <c r="H124" s="236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</row>
    <row r="125" spans="1:42" s="199" customFormat="1" ht="13.5" customHeight="1" x14ac:dyDescent="0.2">
      <c r="A125" s="188"/>
      <c r="C125" s="236"/>
      <c r="D125" s="236"/>
      <c r="E125" s="236"/>
      <c r="F125" s="236"/>
      <c r="G125" s="236"/>
      <c r="H125" s="236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</row>
    <row r="126" spans="1:42" ht="15.75" customHeight="1" x14ac:dyDescent="0.2">
      <c r="B126" s="2"/>
      <c r="C126" s="238"/>
      <c r="D126" s="238"/>
      <c r="E126" s="238"/>
      <c r="F126" s="238"/>
      <c r="G126" s="238"/>
      <c r="H126" s="238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B127" s="2"/>
      <c r="C127" s="231"/>
      <c r="D127" s="231"/>
      <c r="E127" s="231"/>
      <c r="F127" s="231"/>
      <c r="G127" s="231"/>
      <c r="H127" s="23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B128" s="2"/>
      <c r="C128" s="231"/>
      <c r="D128" s="231"/>
      <c r="E128" s="231"/>
      <c r="F128" s="231"/>
      <c r="G128" s="231"/>
      <c r="H128" s="23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B129" s="2"/>
      <c r="C129" s="239"/>
      <c r="D129" s="239"/>
      <c r="E129" s="239"/>
      <c r="F129" s="239"/>
      <c r="G129" s="239"/>
      <c r="H129" s="23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B130" s="2"/>
      <c r="C130" s="239"/>
      <c r="D130" s="239"/>
      <c r="E130" s="239"/>
      <c r="F130" s="239"/>
      <c r="G130" s="239"/>
      <c r="H130" s="23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B131" s="2"/>
      <c r="C131" s="239"/>
      <c r="D131" s="239"/>
      <c r="E131" s="239"/>
      <c r="F131" s="239"/>
      <c r="G131" s="239"/>
      <c r="H131" s="23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B132" s="2"/>
      <c r="C132" s="239"/>
      <c r="D132" s="239"/>
      <c r="E132" s="239"/>
      <c r="F132" s="239"/>
      <c r="G132" s="239"/>
      <c r="H132" s="23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B133" s="2"/>
      <c r="C133" s="239"/>
      <c r="D133" s="239"/>
      <c r="E133" s="239"/>
      <c r="F133" s="239"/>
      <c r="G133" s="239"/>
      <c r="H133" s="23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B134" s="2"/>
      <c r="C134" s="239"/>
      <c r="D134" s="239"/>
      <c r="E134" s="239"/>
      <c r="F134" s="239"/>
      <c r="G134" s="239"/>
      <c r="H134" s="23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9"/>
      <c r="D135" s="239"/>
      <c r="E135" s="239"/>
      <c r="F135" s="239"/>
      <c r="G135" s="239"/>
      <c r="H135" s="23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9"/>
      <c r="D136" s="239"/>
      <c r="E136" s="239"/>
      <c r="F136" s="239"/>
      <c r="G136" s="239"/>
      <c r="H136" s="23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9"/>
      <c r="D137" s="239"/>
      <c r="E137" s="239"/>
      <c r="F137" s="239"/>
      <c r="G137" s="239"/>
      <c r="H137" s="23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9"/>
      <c r="D138" s="239"/>
      <c r="E138" s="239"/>
      <c r="F138" s="239"/>
      <c r="G138" s="239"/>
      <c r="H138" s="23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9"/>
      <c r="D139" s="239"/>
      <c r="E139" s="239"/>
      <c r="F139" s="239"/>
      <c r="G139" s="239"/>
      <c r="H139" s="23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9"/>
      <c r="D140" s="239"/>
      <c r="E140" s="239"/>
      <c r="F140" s="239"/>
      <c r="G140" s="239"/>
      <c r="H140" s="23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9"/>
      <c r="D141" s="239"/>
      <c r="E141" s="239"/>
      <c r="F141" s="239"/>
      <c r="G141" s="239"/>
      <c r="H141" s="23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9"/>
      <c r="D142" s="239"/>
      <c r="E142" s="239"/>
      <c r="F142" s="239"/>
      <c r="G142" s="239"/>
      <c r="H142" s="23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9"/>
      <c r="D143" s="239"/>
      <c r="E143" s="239"/>
      <c r="F143" s="239"/>
      <c r="G143" s="239"/>
      <c r="H143" s="23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9"/>
      <c r="D144" s="239"/>
      <c r="E144" s="239"/>
      <c r="F144" s="239"/>
      <c r="G144" s="239"/>
      <c r="H144" s="23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9"/>
      <c r="D145" s="239"/>
      <c r="E145" s="239"/>
      <c r="F145" s="239"/>
      <c r="G145" s="239"/>
      <c r="H145" s="23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9"/>
      <c r="D146" s="239"/>
      <c r="E146" s="239"/>
      <c r="F146" s="239"/>
      <c r="G146" s="239"/>
      <c r="H146" s="23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9"/>
      <c r="D147" s="239"/>
      <c r="E147" s="239"/>
      <c r="F147" s="239"/>
      <c r="G147" s="239"/>
      <c r="H147" s="23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9"/>
      <c r="D148" s="239"/>
      <c r="E148" s="239"/>
      <c r="F148" s="239"/>
      <c r="G148" s="239"/>
      <c r="H148" s="23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9"/>
      <c r="D149" s="239"/>
      <c r="E149" s="239"/>
      <c r="F149" s="239"/>
      <c r="G149" s="239"/>
      <c r="H149" s="23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9"/>
      <c r="D150" s="239"/>
      <c r="E150" s="239"/>
      <c r="F150" s="239"/>
      <c r="G150" s="239"/>
      <c r="H150" s="23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9"/>
      <c r="D151" s="239"/>
      <c r="E151" s="239"/>
      <c r="F151" s="239"/>
      <c r="G151" s="239"/>
      <c r="H151" s="23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9"/>
      <c r="D152" s="239"/>
      <c r="E152" s="239"/>
      <c r="F152" s="239"/>
      <c r="G152" s="239"/>
      <c r="H152" s="23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39"/>
      <c r="D153" s="239"/>
      <c r="E153" s="239"/>
      <c r="F153" s="239"/>
      <c r="G153" s="239"/>
      <c r="H153" s="239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39"/>
      <c r="D154" s="239"/>
      <c r="E154" s="239"/>
      <c r="F154" s="239"/>
      <c r="G154" s="239"/>
      <c r="H154" s="239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39"/>
      <c r="D155" s="239"/>
      <c r="E155" s="239"/>
      <c r="F155" s="239"/>
      <c r="G155" s="239"/>
      <c r="H155" s="23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39"/>
      <c r="D156" s="239"/>
      <c r="E156" s="239"/>
      <c r="F156" s="239"/>
      <c r="G156" s="239"/>
      <c r="H156" s="23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39"/>
      <c r="D157" s="239"/>
      <c r="E157" s="239"/>
      <c r="F157" s="239"/>
      <c r="G157" s="239"/>
      <c r="H157" s="23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39"/>
      <c r="D158" s="239"/>
      <c r="E158" s="239"/>
      <c r="F158" s="239"/>
      <c r="G158" s="239"/>
      <c r="H158" s="23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39"/>
      <c r="D159" s="239"/>
      <c r="E159" s="239"/>
      <c r="F159" s="239"/>
      <c r="G159" s="239"/>
      <c r="H159" s="239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39"/>
      <c r="D160" s="239"/>
      <c r="E160" s="239"/>
      <c r="F160" s="239"/>
      <c r="G160" s="239"/>
      <c r="H160" s="239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39"/>
      <c r="D161" s="239"/>
      <c r="E161" s="239"/>
      <c r="F161" s="239"/>
      <c r="G161" s="239"/>
      <c r="H161" s="23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39"/>
      <c r="D162" s="239"/>
      <c r="E162" s="239"/>
      <c r="F162" s="239"/>
      <c r="G162" s="239"/>
      <c r="H162" s="23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39"/>
      <c r="D163" s="239"/>
      <c r="E163" s="239"/>
      <c r="F163" s="239"/>
      <c r="G163" s="239"/>
      <c r="H163" s="239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39"/>
      <c r="D164" s="239"/>
      <c r="E164" s="239"/>
      <c r="F164" s="239"/>
      <c r="G164" s="239"/>
      <c r="H164" s="239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39"/>
      <c r="D165" s="239"/>
      <c r="E165" s="239"/>
      <c r="F165" s="239"/>
      <c r="G165" s="239"/>
      <c r="H165" s="23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39"/>
      <c r="D166" s="239"/>
      <c r="E166" s="239"/>
      <c r="F166" s="239"/>
      <c r="G166" s="239"/>
      <c r="H166" s="239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39"/>
      <c r="D167" s="239"/>
      <c r="E167" s="239"/>
      <c r="F167" s="239"/>
      <c r="G167" s="239"/>
      <c r="H167" s="239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39"/>
      <c r="D168" s="239"/>
      <c r="E168" s="239"/>
      <c r="F168" s="239"/>
      <c r="G168" s="239"/>
      <c r="H168" s="23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39"/>
      <c r="D169" s="239"/>
      <c r="E169" s="239"/>
      <c r="F169" s="239"/>
      <c r="G169" s="239"/>
      <c r="H169" s="23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40"/>
      <c r="D170" s="240"/>
      <c r="E170" s="240"/>
      <c r="F170" s="240"/>
      <c r="G170" s="240"/>
      <c r="H170" s="240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40"/>
      <c r="D171" s="240"/>
      <c r="E171" s="240"/>
      <c r="F171" s="240"/>
      <c r="G171" s="240"/>
      <c r="H171" s="240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40"/>
      <c r="D172" s="240"/>
      <c r="E172" s="240"/>
      <c r="F172" s="240"/>
      <c r="G172" s="240"/>
      <c r="H172" s="240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40"/>
      <c r="D173" s="240"/>
      <c r="E173" s="240"/>
      <c r="F173" s="240"/>
      <c r="G173" s="240"/>
      <c r="H173" s="24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40"/>
      <c r="D174" s="240"/>
      <c r="E174" s="240"/>
      <c r="F174" s="240"/>
      <c r="G174" s="240"/>
      <c r="H174" s="24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40"/>
      <c r="D175" s="240"/>
      <c r="E175" s="240"/>
      <c r="F175" s="240"/>
      <c r="G175" s="240"/>
      <c r="H175" s="240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40"/>
      <c r="D176" s="240"/>
      <c r="E176" s="240"/>
      <c r="F176" s="240"/>
      <c r="G176" s="240"/>
      <c r="H176" s="240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40"/>
      <c r="D177" s="240"/>
      <c r="E177" s="240"/>
      <c r="F177" s="240"/>
      <c r="G177" s="240"/>
      <c r="H177" s="24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40"/>
      <c r="D178" s="240"/>
      <c r="E178" s="240"/>
      <c r="F178" s="240"/>
      <c r="G178" s="240"/>
      <c r="H178" s="24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40"/>
      <c r="D179" s="240"/>
      <c r="E179" s="240"/>
      <c r="F179" s="240"/>
      <c r="G179" s="240"/>
      <c r="H179" s="24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40"/>
      <c r="D180" s="240"/>
      <c r="E180" s="240"/>
      <c r="F180" s="240"/>
      <c r="G180" s="240"/>
      <c r="H180" s="240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40"/>
      <c r="D181" s="240"/>
      <c r="E181" s="240"/>
      <c r="F181" s="240"/>
      <c r="G181" s="240"/>
      <c r="H181" s="240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40"/>
      <c r="D182" s="240"/>
      <c r="E182" s="240"/>
      <c r="F182" s="240"/>
      <c r="G182" s="240"/>
      <c r="H182" s="240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40"/>
      <c r="D183" s="240"/>
      <c r="E183" s="240"/>
      <c r="F183" s="240"/>
      <c r="G183" s="240"/>
      <c r="H183" s="240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40"/>
      <c r="D184" s="240"/>
      <c r="E184" s="240"/>
      <c r="F184" s="240"/>
      <c r="G184" s="240"/>
      <c r="H184" s="240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40"/>
      <c r="D185" s="240"/>
      <c r="E185" s="240"/>
      <c r="F185" s="240"/>
      <c r="G185" s="240"/>
      <c r="H185" s="240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40"/>
      <c r="D186" s="240"/>
      <c r="E186" s="240"/>
      <c r="F186" s="240"/>
      <c r="G186" s="240"/>
      <c r="H186" s="240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40"/>
      <c r="D187" s="240"/>
      <c r="E187" s="240"/>
      <c r="F187" s="240"/>
      <c r="G187" s="240"/>
      <c r="H187" s="240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40"/>
      <c r="D188" s="240"/>
      <c r="E188" s="240"/>
      <c r="F188" s="240"/>
      <c r="G188" s="240"/>
      <c r="H188" s="240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40"/>
      <c r="D189" s="240"/>
      <c r="E189" s="240"/>
      <c r="F189" s="240"/>
      <c r="G189" s="240"/>
      <c r="H189" s="240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40"/>
      <c r="D190" s="240"/>
      <c r="E190" s="240"/>
      <c r="F190" s="240"/>
      <c r="G190" s="240"/>
      <c r="H190" s="240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40"/>
      <c r="D191" s="240"/>
      <c r="E191" s="240"/>
      <c r="F191" s="240"/>
      <c r="G191" s="240"/>
      <c r="H191" s="240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40"/>
      <c r="D192" s="240"/>
      <c r="E192" s="240"/>
      <c r="F192" s="240"/>
      <c r="G192" s="240"/>
      <c r="H192" s="240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40"/>
      <c r="D193" s="240"/>
      <c r="E193" s="240"/>
      <c r="F193" s="240"/>
      <c r="G193" s="240"/>
      <c r="H193" s="240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40"/>
      <c r="D194" s="240"/>
      <c r="E194" s="240"/>
      <c r="F194" s="240"/>
      <c r="G194" s="240"/>
      <c r="H194" s="240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40"/>
      <c r="D195" s="240"/>
      <c r="E195" s="240"/>
      <c r="F195" s="240"/>
      <c r="G195" s="240"/>
      <c r="H195" s="240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40"/>
      <c r="D196" s="240"/>
      <c r="E196" s="240"/>
      <c r="F196" s="240"/>
      <c r="G196" s="240"/>
      <c r="H196" s="240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40"/>
      <c r="D197" s="240"/>
      <c r="E197" s="240"/>
      <c r="F197" s="240"/>
      <c r="G197" s="240"/>
      <c r="H197" s="240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40"/>
      <c r="D198" s="240"/>
      <c r="E198" s="240"/>
      <c r="F198" s="240"/>
      <c r="G198" s="240"/>
      <c r="H198" s="240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40"/>
      <c r="D199" s="240"/>
      <c r="E199" s="240"/>
      <c r="F199" s="240"/>
      <c r="G199" s="240"/>
      <c r="H199" s="240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40"/>
      <c r="D200" s="240"/>
      <c r="E200" s="240"/>
      <c r="F200" s="240"/>
      <c r="G200" s="240"/>
      <c r="H200" s="240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40"/>
      <c r="D201" s="240"/>
      <c r="E201" s="240"/>
      <c r="F201" s="240"/>
      <c r="G201" s="240"/>
      <c r="H201" s="240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40"/>
      <c r="D202" s="240"/>
      <c r="E202" s="240"/>
      <c r="F202" s="240"/>
      <c r="G202" s="240"/>
      <c r="H202" s="240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40"/>
      <c r="D203" s="240"/>
      <c r="E203" s="240"/>
      <c r="F203" s="240"/>
      <c r="G203" s="240"/>
      <c r="H203" s="240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40"/>
      <c r="D204" s="240"/>
      <c r="E204" s="240"/>
      <c r="F204" s="240"/>
      <c r="G204" s="240"/>
      <c r="H204" s="240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40"/>
      <c r="D205" s="240"/>
      <c r="E205" s="240"/>
      <c r="F205" s="240"/>
      <c r="G205" s="240"/>
      <c r="H205" s="240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40"/>
      <c r="D206" s="240"/>
      <c r="E206" s="240"/>
      <c r="F206" s="240"/>
      <c r="G206" s="240"/>
      <c r="H206" s="240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40"/>
      <c r="D207" s="240"/>
      <c r="E207" s="240"/>
      <c r="F207" s="240"/>
      <c r="G207" s="240"/>
      <c r="H207" s="240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40"/>
      <c r="D208" s="240"/>
      <c r="E208" s="240"/>
      <c r="F208" s="240"/>
      <c r="G208" s="240"/>
      <c r="H208" s="240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40"/>
      <c r="D209" s="240"/>
      <c r="E209" s="240"/>
      <c r="F209" s="240"/>
      <c r="G209" s="240"/>
      <c r="H209" s="240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40"/>
      <c r="D210" s="240"/>
      <c r="E210" s="240"/>
      <c r="F210" s="240"/>
      <c r="G210" s="240"/>
      <c r="H210" s="240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40"/>
      <c r="D211" s="240"/>
      <c r="E211" s="240"/>
      <c r="F211" s="240"/>
      <c r="G211" s="240"/>
      <c r="H211" s="240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40"/>
      <c r="D212" s="240"/>
      <c r="E212" s="240"/>
      <c r="F212" s="240"/>
      <c r="G212" s="240"/>
      <c r="H212" s="240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40"/>
      <c r="D213" s="240"/>
      <c r="E213" s="240"/>
      <c r="F213" s="240"/>
      <c r="G213" s="240"/>
      <c r="H213" s="240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40"/>
      <c r="D214" s="240"/>
      <c r="E214" s="240"/>
      <c r="F214" s="240"/>
      <c r="G214" s="240"/>
      <c r="H214" s="240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40"/>
      <c r="D215" s="240"/>
      <c r="E215" s="240"/>
      <c r="F215" s="240"/>
      <c r="G215" s="240"/>
      <c r="H215" s="240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40"/>
      <c r="D216" s="240"/>
      <c r="E216" s="240"/>
      <c r="F216" s="240"/>
      <c r="G216" s="240"/>
      <c r="H216" s="240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40"/>
      <c r="D217" s="240"/>
      <c r="E217" s="240"/>
      <c r="F217" s="240"/>
      <c r="G217" s="240"/>
      <c r="H217" s="240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40"/>
      <c r="D218" s="240"/>
      <c r="E218" s="240"/>
      <c r="F218" s="240"/>
      <c r="G218" s="240"/>
      <c r="H218" s="24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40"/>
      <c r="D219" s="240"/>
      <c r="E219" s="240"/>
      <c r="F219" s="240"/>
      <c r="G219" s="240"/>
      <c r="H219" s="24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40"/>
      <c r="D220" s="240"/>
      <c r="E220" s="240"/>
      <c r="F220" s="240"/>
      <c r="G220" s="240"/>
      <c r="H220" s="24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40"/>
      <c r="D221" s="240"/>
      <c r="E221" s="240"/>
      <c r="F221" s="240"/>
      <c r="G221" s="240"/>
      <c r="H221" s="24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40"/>
      <c r="D222" s="240"/>
      <c r="E222" s="240"/>
      <c r="F222" s="240"/>
      <c r="G222" s="240"/>
      <c r="H222" s="240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40"/>
      <c r="D223" s="240"/>
      <c r="E223" s="240"/>
      <c r="F223" s="240"/>
      <c r="G223" s="240"/>
      <c r="H223" s="240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40"/>
      <c r="D224" s="240"/>
      <c r="E224" s="240"/>
      <c r="F224" s="240"/>
      <c r="G224" s="240"/>
      <c r="H224" s="240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40"/>
      <c r="D225" s="240"/>
      <c r="E225" s="240"/>
      <c r="F225" s="240"/>
      <c r="G225" s="240"/>
      <c r="H225" s="240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40"/>
      <c r="D226" s="240"/>
      <c r="E226" s="240"/>
      <c r="F226" s="240"/>
      <c r="G226" s="240"/>
      <c r="H226" s="24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40"/>
      <c r="D227" s="240"/>
      <c r="E227" s="240"/>
      <c r="F227" s="240"/>
      <c r="G227" s="240"/>
      <c r="H227" s="240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40"/>
      <c r="D228" s="240"/>
      <c r="E228" s="240"/>
      <c r="F228" s="240"/>
      <c r="G228" s="240"/>
      <c r="H228" s="240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40"/>
      <c r="D229" s="240"/>
      <c r="E229" s="240"/>
      <c r="F229" s="240"/>
      <c r="G229" s="240"/>
      <c r="H229" s="240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40"/>
      <c r="D230" s="240"/>
      <c r="E230" s="240"/>
      <c r="F230" s="240"/>
      <c r="G230" s="240"/>
      <c r="H230" s="240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40"/>
      <c r="D231" s="240"/>
      <c r="E231" s="240"/>
      <c r="F231" s="240"/>
      <c r="G231" s="240"/>
      <c r="H231" s="24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40"/>
      <c r="D232" s="240"/>
      <c r="E232" s="240"/>
      <c r="F232" s="240"/>
      <c r="G232" s="240"/>
      <c r="H232" s="24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40"/>
      <c r="D233" s="240"/>
      <c r="E233" s="240"/>
      <c r="F233" s="240"/>
      <c r="G233" s="240"/>
      <c r="H233" s="24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40"/>
      <c r="D234" s="240"/>
      <c r="E234" s="240"/>
      <c r="F234" s="240"/>
      <c r="G234" s="240"/>
      <c r="H234" s="240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40"/>
      <c r="D235" s="240"/>
      <c r="E235" s="240"/>
      <c r="F235" s="240"/>
      <c r="G235" s="240"/>
      <c r="H235" s="240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40"/>
      <c r="D236" s="240"/>
      <c r="E236" s="240"/>
      <c r="F236" s="240"/>
      <c r="G236" s="240"/>
      <c r="H236" s="240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40"/>
      <c r="D237" s="240"/>
      <c r="E237" s="240"/>
      <c r="F237" s="240"/>
      <c r="G237" s="240"/>
      <c r="H237" s="240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40"/>
      <c r="D238" s="240"/>
      <c r="E238" s="240"/>
      <c r="F238" s="240"/>
      <c r="G238" s="240"/>
      <c r="H238" s="240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40"/>
      <c r="D239" s="240"/>
      <c r="E239" s="240"/>
      <c r="F239" s="240"/>
      <c r="G239" s="240"/>
      <c r="H239" s="240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40"/>
      <c r="D240" s="240"/>
      <c r="E240" s="240"/>
      <c r="F240" s="240"/>
      <c r="G240" s="240"/>
      <c r="H240" s="240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40"/>
      <c r="D241" s="240"/>
      <c r="E241" s="240"/>
      <c r="F241" s="240"/>
      <c r="G241" s="240"/>
      <c r="H241" s="240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40"/>
      <c r="D242" s="240"/>
      <c r="E242" s="240"/>
      <c r="F242" s="240"/>
      <c r="G242" s="240"/>
      <c r="H242" s="240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40"/>
      <c r="D243" s="240"/>
      <c r="E243" s="240"/>
      <c r="F243" s="240"/>
      <c r="G243" s="240"/>
      <c r="H243" s="240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40"/>
      <c r="D244" s="240"/>
      <c r="E244" s="240"/>
      <c r="F244" s="240"/>
      <c r="G244" s="240"/>
      <c r="H244" s="240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40"/>
      <c r="D245" s="240"/>
      <c r="E245" s="240"/>
      <c r="F245" s="240"/>
      <c r="G245" s="240"/>
      <c r="H245" s="240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40"/>
      <c r="D246" s="240"/>
      <c r="E246" s="240"/>
      <c r="F246" s="240"/>
      <c r="G246" s="240"/>
      <c r="H246" s="240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40"/>
      <c r="D247" s="240"/>
      <c r="E247" s="240"/>
      <c r="F247" s="240"/>
      <c r="G247" s="240"/>
      <c r="H247" s="240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40"/>
      <c r="D248" s="240"/>
      <c r="E248" s="240"/>
      <c r="F248" s="240"/>
      <c r="G248" s="240"/>
      <c r="H248" s="240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40"/>
      <c r="D249" s="240"/>
      <c r="E249" s="240"/>
      <c r="F249" s="240"/>
      <c r="G249" s="240"/>
      <c r="H249" s="240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40"/>
      <c r="D250" s="240"/>
      <c r="E250" s="240"/>
      <c r="F250" s="240"/>
      <c r="G250" s="240"/>
      <c r="H250" s="240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40"/>
      <c r="D251" s="240"/>
      <c r="E251" s="240"/>
      <c r="F251" s="240"/>
      <c r="G251" s="240"/>
      <c r="H251" s="240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40"/>
      <c r="D252" s="240"/>
      <c r="E252" s="240"/>
      <c r="F252" s="240"/>
      <c r="G252" s="240"/>
      <c r="H252" s="240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40"/>
      <c r="D253" s="240"/>
      <c r="E253" s="240"/>
      <c r="F253" s="240"/>
      <c r="G253" s="240"/>
      <c r="H253" s="240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40"/>
      <c r="D254" s="240"/>
      <c r="E254" s="240"/>
      <c r="F254" s="240"/>
      <c r="G254" s="240"/>
      <c r="H254" s="24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40"/>
      <c r="D255" s="240"/>
      <c r="E255" s="240"/>
      <c r="F255" s="240"/>
      <c r="G255" s="240"/>
      <c r="H255" s="24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40"/>
      <c r="D256" s="240"/>
      <c r="E256" s="240"/>
      <c r="F256" s="240"/>
      <c r="G256" s="240"/>
      <c r="H256" s="24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40"/>
      <c r="D257" s="240"/>
      <c r="E257" s="240"/>
      <c r="F257" s="240"/>
      <c r="G257" s="240"/>
      <c r="H257" s="24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40"/>
      <c r="D258" s="240"/>
      <c r="E258" s="240"/>
      <c r="F258" s="240"/>
      <c r="G258" s="240"/>
      <c r="H258" s="24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40"/>
      <c r="D259" s="240"/>
      <c r="E259" s="240"/>
      <c r="F259" s="240"/>
      <c r="G259" s="240"/>
      <c r="H259" s="24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40"/>
      <c r="D260" s="240"/>
      <c r="E260" s="240"/>
      <c r="F260" s="240"/>
      <c r="G260" s="240"/>
      <c r="H260" s="24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40"/>
      <c r="D261" s="240"/>
      <c r="E261" s="240"/>
      <c r="F261" s="240"/>
      <c r="G261" s="240"/>
      <c r="H261" s="24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40"/>
      <c r="D262" s="240"/>
      <c r="E262" s="240"/>
      <c r="F262" s="240"/>
      <c r="G262" s="240"/>
      <c r="H262" s="24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40"/>
      <c r="D263" s="240"/>
      <c r="E263" s="240"/>
      <c r="F263" s="240"/>
      <c r="G263" s="240"/>
      <c r="H263" s="24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40"/>
      <c r="D264" s="240"/>
      <c r="E264" s="240"/>
      <c r="F264" s="240"/>
      <c r="G264" s="240"/>
      <c r="H264" s="24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40"/>
      <c r="D265" s="240"/>
      <c r="E265" s="240"/>
      <c r="F265" s="240"/>
      <c r="G265" s="240"/>
      <c r="H265" s="24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40"/>
      <c r="D266" s="240"/>
      <c r="E266" s="240"/>
      <c r="F266" s="240"/>
      <c r="G266" s="240"/>
      <c r="H266" s="24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40"/>
      <c r="D267" s="240"/>
      <c r="E267" s="240"/>
      <c r="F267" s="240"/>
      <c r="G267" s="240"/>
      <c r="H267" s="24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40"/>
      <c r="D268" s="240"/>
      <c r="E268" s="240"/>
      <c r="F268" s="240"/>
      <c r="G268" s="240"/>
      <c r="H268" s="24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40"/>
      <c r="D269" s="240"/>
      <c r="E269" s="240"/>
      <c r="F269" s="240"/>
      <c r="G269" s="240"/>
      <c r="H269" s="24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40"/>
      <c r="D270" s="240"/>
      <c r="E270" s="240"/>
      <c r="F270" s="240"/>
      <c r="G270" s="240"/>
      <c r="H270" s="240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40"/>
      <c r="D271" s="240"/>
      <c r="E271" s="240"/>
      <c r="F271" s="240"/>
      <c r="G271" s="240"/>
      <c r="H271" s="240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40"/>
      <c r="D272" s="240"/>
      <c r="E272" s="240"/>
      <c r="F272" s="240"/>
      <c r="G272" s="240"/>
      <c r="H272" s="24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40"/>
      <c r="D273" s="240"/>
      <c r="E273" s="240"/>
      <c r="F273" s="240"/>
      <c r="G273" s="240"/>
      <c r="H273" s="24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40"/>
      <c r="D274" s="240"/>
      <c r="E274" s="240"/>
      <c r="F274" s="240"/>
      <c r="G274" s="240"/>
      <c r="H274" s="24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40"/>
      <c r="D275" s="240"/>
      <c r="E275" s="240"/>
      <c r="F275" s="240"/>
      <c r="G275" s="240"/>
      <c r="H275" s="24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40"/>
      <c r="D276" s="240"/>
      <c r="E276" s="240"/>
      <c r="F276" s="240"/>
      <c r="G276" s="240"/>
      <c r="H276" s="24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40"/>
      <c r="D277" s="240"/>
      <c r="E277" s="240"/>
      <c r="F277" s="240"/>
      <c r="G277" s="240"/>
      <c r="H277" s="24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40"/>
      <c r="D278" s="240"/>
      <c r="E278" s="240"/>
      <c r="F278" s="240"/>
      <c r="G278" s="240"/>
      <c r="H278" s="24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40"/>
      <c r="D279" s="240"/>
      <c r="E279" s="240"/>
      <c r="F279" s="240"/>
      <c r="G279" s="240"/>
      <c r="H279" s="24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40"/>
      <c r="D280" s="240"/>
      <c r="E280" s="240"/>
      <c r="F280" s="240"/>
      <c r="G280" s="240"/>
      <c r="H280" s="24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40"/>
      <c r="D281" s="240"/>
      <c r="E281" s="240"/>
      <c r="F281" s="240"/>
      <c r="G281" s="240"/>
      <c r="H281" s="24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40"/>
      <c r="D282" s="240"/>
      <c r="E282" s="240"/>
      <c r="F282" s="240"/>
      <c r="G282" s="240"/>
      <c r="H282" s="24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40"/>
      <c r="D283" s="240"/>
      <c r="E283" s="240"/>
      <c r="F283" s="240"/>
      <c r="G283" s="240"/>
      <c r="H283" s="24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40"/>
      <c r="D284" s="240"/>
      <c r="E284" s="240"/>
      <c r="F284" s="240"/>
      <c r="G284" s="240"/>
      <c r="H284" s="24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40"/>
      <c r="D285" s="240"/>
      <c r="E285" s="240"/>
      <c r="F285" s="240"/>
      <c r="G285" s="240"/>
      <c r="H285" s="24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40"/>
      <c r="D286" s="240"/>
      <c r="E286" s="240"/>
      <c r="F286" s="240"/>
      <c r="G286" s="240"/>
      <c r="H286" s="24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40"/>
      <c r="D287" s="240"/>
      <c r="E287" s="240"/>
      <c r="F287" s="240"/>
      <c r="G287" s="240"/>
      <c r="H287" s="24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40"/>
      <c r="D288" s="240"/>
      <c r="E288" s="240"/>
      <c r="F288" s="240"/>
      <c r="G288" s="240"/>
      <c r="H288" s="24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40"/>
      <c r="D289" s="240"/>
      <c r="E289" s="240"/>
      <c r="F289" s="240"/>
      <c r="G289" s="240"/>
      <c r="H289" s="240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40"/>
      <c r="D290" s="240"/>
      <c r="E290" s="240"/>
      <c r="F290" s="240"/>
      <c r="G290" s="240"/>
      <c r="H290" s="24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40"/>
      <c r="D291" s="240"/>
      <c r="E291" s="240"/>
      <c r="F291" s="240"/>
      <c r="G291" s="240"/>
      <c r="H291" s="24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40"/>
      <c r="D292" s="240"/>
      <c r="E292" s="240"/>
      <c r="F292" s="240"/>
      <c r="G292" s="240"/>
      <c r="H292" s="24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40"/>
      <c r="D293" s="240"/>
      <c r="E293" s="240"/>
      <c r="F293" s="240"/>
      <c r="G293" s="240"/>
      <c r="H293" s="24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40"/>
      <c r="D294" s="240"/>
      <c r="E294" s="240"/>
      <c r="F294" s="240"/>
      <c r="G294" s="240"/>
      <c r="H294" s="24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40"/>
      <c r="D295" s="240"/>
      <c r="E295" s="240"/>
      <c r="F295" s="240"/>
      <c r="G295" s="240"/>
      <c r="H295" s="24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40"/>
      <c r="D296" s="240"/>
      <c r="E296" s="240"/>
      <c r="F296" s="240"/>
      <c r="G296" s="240"/>
      <c r="H296" s="24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40"/>
      <c r="D297" s="240"/>
      <c r="E297" s="240"/>
      <c r="F297" s="240"/>
      <c r="G297" s="240"/>
      <c r="H297" s="24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40"/>
      <c r="D298" s="240"/>
      <c r="E298" s="240"/>
      <c r="F298" s="240"/>
      <c r="G298" s="240"/>
      <c r="H298" s="24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40"/>
      <c r="D299" s="240"/>
      <c r="E299" s="240"/>
      <c r="F299" s="240"/>
      <c r="G299" s="240"/>
      <c r="H299" s="24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40"/>
      <c r="D300" s="240"/>
      <c r="E300" s="240"/>
      <c r="F300" s="240"/>
      <c r="G300" s="240"/>
      <c r="H300" s="24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40"/>
      <c r="D301" s="240"/>
      <c r="E301" s="240"/>
      <c r="F301" s="240"/>
      <c r="G301" s="240"/>
      <c r="H301" s="24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40"/>
      <c r="D302" s="240"/>
      <c r="E302" s="240"/>
      <c r="F302" s="240"/>
      <c r="G302" s="240"/>
      <c r="H302" s="24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40"/>
      <c r="D303" s="240"/>
      <c r="E303" s="240"/>
      <c r="F303" s="240"/>
      <c r="G303" s="240"/>
      <c r="H303" s="24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40"/>
      <c r="D304" s="240"/>
      <c r="E304" s="240"/>
      <c r="F304" s="240"/>
      <c r="G304" s="240"/>
      <c r="H304" s="24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40"/>
      <c r="D305" s="240"/>
      <c r="E305" s="240"/>
      <c r="F305" s="240"/>
      <c r="G305" s="240"/>
      <c r="H305" s="24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40"/>
      <c r="D306" s="240"/>
      <c r="E306" s="240"/>
      <c r="F306" s="240"/>
      <c r="G306" s="240"/>
      <c r="H306" s="240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40"/>
      <c r="D307" s="240"/>
      <c r="E307" s="240"/>
      <c r="F307" s="240"/>
      <c r="G307" s="240"/>
      <c r="H307" s="240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40"/>
      <c r="D308" s="240"/>
      <c r="E308" s="240"/>
      <c r="F308" s="240"/>
      <c r="G308" s="240"/>
      <c r="H308" s="24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40"/>
      <c r="D309" s="240"/>
      <c r="E309" s="240"/>
      <c r="F309" s="240"/>
      <c r="G309" s="240"/>
      <c r="H309" s="24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40"/>
      <c r="D310" s="240"/>
      <c r="E310" s="240"/>
      <c r="F310" s="240"/>
      <c r="G310" s="240"/>
      <c r="H310" s="24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40"/>
      <c r="D311" s="240"/>
      <c r="E311" s="240"/>
      <c r="F311" s="240"/>
      <c r="G311" s="240"/>
      <c r="H311" s="24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40"/>
      <c r="D312" s="240"/>
      <c r="E312" s="240"/>
      <c r="F312" s="240"/>
      <c r="G312" s="240"/>
      <c r="H312" s="24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40"/>
      <c r="D313" s="240"/>
      <c r="E313" s="240"/>
      <c r="F313" s="240"/>
      <c r="G313" s="240"/>
      <c r="H313" s="24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40"/>
      <c r="D314" s="240"/>
      <c r="E314" s="240"/>
      <c r="F314" s="240"/>
      <c r="G314" s="240"/>
      <c r="H314" s="24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40"/>
      <c r="D315" s="240"/>
      <c r="E315" s="240"/>
      <c r="F315" s="240"/>
      <c r="G315" s="240"/>
      <c r="H315" s="24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40"/>
      <c r="D316" s="240"/>
      <c r="E316" s="240"/>
      <c r="F316" s="240"/>
      <c r="G316" s="240"/>
      <c r="H316" s="24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40"/>
      <c r="D317" s="240"/>
      <c r="E317" s="240"/>
      <c r="F317" s="240"/>
      <c r="G317" s="240"/>
      <c r="H317" s="24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40"/>
      <c r="D318" s="240"/>
      <c r="E318" s="240"/>
      <c r="F318" s="240"/>
      <c r="G318" s="240"/>
      <c r="H318" s="24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40"/>
      <c r="D319" s="240"/>
      <c r="E319" s="240"/>
      <c r="F319" s="240"/>
      <c r="G319" s="240"/>
      <c r="H319" s="24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40"/>
      <c r="D320" s="240"/>
      <c r="E320" s="240"/>
      <c r="F320" s="240"/>
      <c r="G320" s="240"/>
      <c r="H320" s="240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40"/>
      <c r="D321" s="240"/>
      <c r="E321" s="240"/>
      <c r="F321" s="240"/>
      <c r="G321" s="240"/>
      <c r="H321" s="24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40"/>
      <c r="D322" s="240"/>
      <c r="E322" s="240"/>
      <c r="F322" s="240"/>
      <c r="G322" s="240"/>
      <c r="H322" s="24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40"/>
      <c r="D323" s="240"/>
      <c r="E323" s="240"/>
      <c r="F323" s="240"/>
      <c r="G323" s="240"/>
      <c r="H323" s="24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40"/>
      <c r="D324" s="240"/>
      <c r="E324" s="240"/>
      <c r="F324" s="240"/>
      <c r="G324" s="240"/>
      <c r="H324" s="240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40"/>
      <c r="D325" s="240"/>
      <c r="E325" s="240"/>
      <c r="F325" s="240"/>
      <c r="G325" s="240"/>
      <c r="H325" s="240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40"/>
      <c r="D326" s="240"/>
      <c r="E326" s="240"/>
      <c r="F326" s="240"/>
      <c r="G326" s="240"/>
      <c r="H326" s="24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40"/>
      <c r="D327" s="240"/>
      <c r="E327" s="240"/>
      <c r="F327" s="240"/>
      <c r="G327" s="240"/>
      <c r="H327" s="24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40"/>
      <c r="D328" s="240"/>
      <c r="E328" s="240"/>
      <c r="F328" s="240"/>
      <c r="G328" s="240"/>
      <c r="H328" s="24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40"/>
      <c r="D329" s="240"/>
      <c r="E329" s="240"/>
      <c r="F329" s="240"/>
      <c r="G329" s="240"/>
      <c r="H329" s="24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40"/>
      <c r="D330" s="240"/>
      <c r="E330" s="240"/>
      <c r="F330" s="240"/>
      <c r="G330" s="240"/>
      <c r="H330" s="24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40"/>
      <c r="D331" s="240"/>
      <c r="E331" s="240"/>
      <c r="F331" s="240"/>
      <c r="G331" s="240"/>
      <c r="H331" s="24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40"/>
      <c r="D332" s="240"/>
      <c r="E332" s="240"/>
      <c r="F332" s="240"/>
      <c r="G332" s="240"/>
      <c r="H332" s="24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40"/>
      <c r="D333" s="240"/>
      <c r="E333" s="240"/>
      <c r="F333" s="240"/>
      <c r="G333" s="240"/>
      <c r="H333" s="24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40"/>
      <c r="D334" s="240"/>
      <c r="E334" s="240"/>
      <c r="F334" s="240"/>
      <c r="G334" s="240"/>
      <c r="H334" s="24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40"/>
      <c r="D335" s="240"/>
      <c r="E335" s="240"/>
      <c r="F335" s="240"/>
      <c r="G335" s="240"/>
      <c r="H335" s="24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40"/>
      <c r="D336" s="240"/>
      <c r="E336" s="240"/>
      <c r="F336" s="240"/>
      <c r="G336" s="240"/>
      <c r="H336" s="24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40"/>
      <c r="D337" s="240"/>
      <c r="E337" s="240"/>
      <c r="F337" s="240"/>
      <c r="G337" s="240"/>
      <c r="H337" s="24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40"/>
      <c r="D338" s="240"/>
      <c r="E338" s="240"/>
      <c r="F338" s="240"/>
      <c r="G338" s="240"/>
      <c r="H338" s="240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40"/>
      <c r="D339" s="240"/>
      <c r="E339" s="240"/>
      <c r="F339" s="240"/>
      <c r="G339" s="240"/>
      <c r="H339" s="240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40"/>
      <c r="D340" s="240"/>
      <c r="E340" s="240"/>
      <c r="F340" s="240"/>
      <c r="G340" s="240"/>
      <c r="H340" s="240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40"/>
      <c r="D341" s="240"/>
      <c r="E341" s="240"/>
      <c r="F341" s="240"/>
      <c r="G341" s="240"/>
      <c r="H341" s="240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40"/>
      <c r="D342" s="240"/>
      <c r="E342" s="240"/>
      <c r="F342" s="240"/>
      <c r="G342" s="240"/>
      <c r="H342" s="240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40"/>
      <c r="D343" s="240"/>
      <c r="E343" s="240"/>
      <c r="F343" s="240"/>
      <c r="G343" s="240"/>
      <c r="H343" s="240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40"/>
      <c r="D344" s="240"/>
      <c r="E344" s="240"/>
      <c r="F344" s="240"/>
      <c r="G344" s="240"/>
      <c r="H344" s="24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40"/>
      <c r="D345" s="240"/>
      <c r="E345" s="240"/>
      <c r="F345" s="240"/>
      <c r="G345" s="240"/>
      <c r="H345" s="24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40"/>
      <c r="D346" s="240"/>
      <c r="E346" s="240"/>
      <c r="F346" s="240"/>
      <c r="G346" s="240"/>
      <c r="H346" s="24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40"/>
      <c r="D347" s="240"/>
      <c r="E347" s="240"/>
      <c r="F347" s="240"/>
      <c r="G347" s="240"/>
      <c r="H347" s="24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40"/>
      <c r="D348" s="240"/>
      <c r="E348" s="240"/>
      <c r="F348" s="240"/>
      <c r="G348" s="240"/>
      <c r="H348" s="24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40"/>
      <c r="D349" s="240"/>
      <c r="E349" s="240"/>
      <c r="F349" s="240"/>
      <c r="G349" s="240"/>
      <c r="H349" s="24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40"/>
      <c r="D350" s="240"/>
      <c r="E350" s="240"/>
      <c r="F350" s="240"/>
      <c r="G350" s="240"/>
      <c r="H350" s="24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40"/>
      <c r="D351" s="240"/>
      <c r="E351" s="240"/>
      <c r="F351" s="240"/>
      <c r="G351" s="240"/>
      <c r="H351" s="24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40"/>
      <c r="D352" s="240"/>
      <c r="E352" s="240"/>
      <c r="F352" s="240"/>
      <c r="G352" s="240"/>
      <c r="H352" s="24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40"/>
      <c r="D353" s="240"/>
      <c r="E353" s="240"/>
      <c r="F353" s="240"/>
      <c r="G353" s="240"/>
      <c r="H353" s="24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40"/>
      <c r="D354" s="240"/>
      <c r="E354" s="240"/>
      <c r="F354" s="240"/>
      <c r="G354" s="240"/>
      <c r="H354" s="24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40"/>
      <c r="D355" s="240"/>
      <c r="E355" s="240"/>
      <c r="F355" s="240"/>
      <c r="G355" s="240"/>
      <c r="H355" s="24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40"/>
      <c r="D356" s="240"/>
      <c r="E356" s="240"/>
      <c r="F356" s="240"/>
      <c r="G356" s="240"/>
      <c r="H356" s="24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40"/>
      <c r="D357" s="240"/>
      <c r="E357" s="240"/>
      <c r="F357" s="240"/>
      <c r="G357" s="240"/>
      <c r="H357" s="24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40"/>
      <c r="D358" s="240"/>
      <c r="E358" s="240"/>
      <c r="F358" s="240"/>
      <c r="G358" s="240"/>
      <c r="H358" s="24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40"/>
      <c r="D359" s="240"/>
      <c r="E359" s="240"/>
      <c r="F359" s="240"/>
      <c r="G359" s="240"/>
      <c r="H359" s="24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40"/>
      <c r="D360" s="240"/>
      <c r="E360" s="240"/>
      <c r="F360" s="240"/>
      <c r="G360" s="240"/>
      <c r="H360" s="240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40"/>
      <c r="D361" s="240"/>
      <c r="E361" s="240"/>
      <c r="F361" s="240"/>
      <c r="G361" s="240"/>
      <c r="H361" s="240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40"/>
      <c r="D362" s="240"/>
      <c r="E362" s="240"/>
      <c r="F362" s="240"/>
      <c r="G362" s="240"/>
      <c r="H362" s="240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40"/>
      <c r="D363" s="240"/>
      <c r="E363" s="240"/>
      <c r="F363" s="240"/>
      <c r="G363" s="240"/>
      <c r="H363" s="240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40"/>
      <c r="D364" s="240"/>
      <c r="E364" s="240"/>
      <c r="F364" s="240"/>
      <c r="G364" s="240"/>
      <c r="H364" s="240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40"/>
      <c r="D365" s="240"/>
      <c r="E365" s="240"/>
      <c r="F365" s="240"/>
      <c r="G365" s="240"/>
      <c r="H365" s="240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40"/>
      <c r="D366" s="240"/>
      <c r="E366" s="240"/>
      <c r="F366" s="240"/>
      <c r="G366" s="240"/>
      <c r="H366" s="240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40"/>
      <c r="D367" s="240"/>
      <c r="E367" s="240"/>
      <c r="F367" s="240"/>
      <c r="G367" s="240"/>
      <c r="H367" s="240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40"/>
      <c r="D368" s="240"/>
      <c r="E368" s="240"/>
      <c r="F368" s="240"/>
      <c r="G368" s="240"/>
      <c r="H368" s="240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40"/>
      <c r="D369" s="240"/>
      <c r="E369" s="240"/>
      <c r="F369" s="240"/>
      <c r="G369" s="240"/>
      <c r="H369" s="240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40"/>
      <c r="D370" s="240"/>
      <c r="E370" s="240"/>
      <c r="F370" s="240"/>
      <c r="G370" s="240"/>
      <c r="H370" s="240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40"/>
      <c r="D371" s="240"/>
      <c r="E371" s="240"/>
      <c r="F371" s="240"/>
      <c r="G371" s="240"/>
      <c r="H371" s="240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40"/>
      <c r="D372" s="240"/>
      <c r="E372" s="240"/>
      <c r="F372" s="240"/>
      <c r="G372" s="240"/>
      <c r="H372" s="240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40"/>
      <c r="D373" s="240"/>
      <c r="E373" s="240"/>
      <c r="F373" s="240"/>
      <c r="G373" s="240"/>
      <c r="H373" s="240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40"/>
      <c r="D374" s="240"/>
      <c r="E374" s="240"/>
      <c r="F374" s="240"/>
      <c r="G374" s="240"/>
      <c r="H374" s="240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40"/>
      <c r="D375" s="240"/>
      <c r="E375" s="240"/>
      <c r="F375" s="240"/>
      <c r="G375" s="240"/>
      <c r="H375" s="240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40"/>
      <c r="D376" s="240"/>
      <c r="E376" s="240"/>
      <c r="F376" s="240"/>
      <c r="G376" s="240"/>
      <c r="H376" s="24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40"/>
      <c r="D377" s="240"/>
      <c r="E377" s="240"/>
      <c r="F377" s="240"/>
      <c r="G377" s="240"/>
      <c r="H377" s="24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40"/>
      <c r="D378" s="240"/>
      <c r="E378" s="240"/>
      <c r="F378" s="240"/>
      <c r="G378" s="240"/>
      <c r="H378" s="240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40"/>
      <c r="D379" s="240"/>
      <c r="E379" s="240"/>
      <c r="F379" s="240"/>
      <c r="G379" s="240"/>
      <c r="H379" s="240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40"/>
      <c r="D380" s="240"/>
      <c r="E380" s="240"/>
      <c r="F380" s="240"/>
      <c r="G380" s="240"/>
      <c r="H380" s="240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40"/>
      <c r="D381" s="240"/>
      <c r="E381" s="240"/>
      <c r="F381" s="240"/>
      <c r="G381" s="240"/>
      <c r="H381" s="240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40"/>
      <c r="D382" s="240"/>
      <c r="E382" s="240"/>
      <c r="F382" s="240"/>
      <c r="G382" s="240"/>
      <c r="H382" s="240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40"/>
      <c r="D383" s="240"/>
      <c r="E383" s="240"/>
      <c r="F383" s="240"/>
      <c r="G383" s="240"/>
      <c r="H383" s="240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40"/>
      <c r="D384" s="240"/>
      <c r="E384" s="240"/>
      <c r="F384" s="240"/>
      <c r="G384" s="240"/>
      <c r="H384" s="240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40"/>
      <c r="D385" s="240"/>
      <c r="E385" s="240"/>
      <c r="F385" s="240"/>
      <c r="G385" s="240"/>
      <c r="H385" s="240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40"/>
      <c r="D386" s="240"/>
      <c r="E386" s="240"/>
      <c r="F386" s="240"/>
      <c r="G386" s="240"/>
      <c r="H386" s="240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40"/>
      <c r="D387" s="240"/>
      <c r="E387" s="240"/>
      <c r="F387" s="240"/>
      <c r="G387" s="240"/>
      <c r="H387" s="240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40"/>
      <c r="D388" s="240"/>
      <c r="E388" s="240"/>
      <c r="F388" s="240"/>
      <c r="G388" s="240"/>
      <c r="H388" s="240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40"/>
      <c r="D389" s="240"/>
      <c r="E389" s="240"/>
      <c r="F389" s="240"/>
      <c r="G389" s="240"/>
      <c r="H389" s="240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40"/>
      <c r="D390" s="240"/>
      <c r="E390" s="240"/>
      <c r="F390" s="240"/>
      <c r="G390" s="240"/>
      <c r="H390" s="240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40"/>
      <c r="D391" s="240"/>
      <c r="E391" s="240"/>
      <c r="F391" s="240"/>
      <c r="G391" s="240"/>
      <c r="H391" s="240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40"/>
      <c r="D392" s="240"/>
      <c r="E392" s="240"/>
      <c r="F392" s="240"/>
      <c r="G392" s="240"/>
      <c r="H392" s="240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40"/>
      <c r="D393" s="240"/>
      <c r="E393" s="240"/>
      <c r="F393" s="240"/>
      <c r="G393" s="240"/>
      <c r="H393" s="240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40"/>
      <c r="D394" s="240"/>
      <c r="E394" s="240"/>
      <c r="F394" s="240"/>
      <c r="G394" s="240"/>
      <c r="H394" s="240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40"/>
      <c r="D395" s="240"/>
      <c r="E395" s="240"/>
      <c r="F395" s="240"/>
      <c r="G395" s="240"/>
      <c r="H395" s="240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40"/>
      <c r="D396" s="240"/>
      <c r="E396" s="240"/>
      <c r="F396" s="240"/>
      <c r="G396" s="240"/>
      <c r="H396" s="240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40"/>
      <c r="D397" s="240"/>
      <c r="E397" s="240"/>
      <c r="F397" s="240"/>
      <c r="G397" s="240"/>
      <c r="H397" s="240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40"/>
      <c r="D398" s="240"/>
      <c r="E398" s="240"/>
      <c r="F398" s="240"/>
      <c r="G398" s="240"/>
      <c r="H398" s="24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40"/>
      <c r="D399" s="240"/>
      <c r="E399" s="240"/>
      <c r="F399" s="240"/>
      <c r="G399" s="240"/>
      <c r="H399" s="24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40"/>
      <c r="D400" s="240"/>
      <c r="E400" s="240"/>
      <c r="F400" s="240"/>
      <c r="G400" s="240"/>
      <c r="H400" s="24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40"/>
      <c r="D401" s="240"/>
      <c r="E401" s="240"/>
      <c r="F401" s="240"/>
      <c r="G401" s="240"/>
      <c r="H401" s="24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40"/>
      <c r="D402" s="240"/>
      <c r="E402" s="240"/>
      <c r="F402" s="240"/>
      <c r="G402" s="240"/>
      <c r="H402" s="24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40"/>
      <c r="D403" s="240"/>
      <c r="E403" s="240"/>
      <c r="F403" s="240"/>
      <c r="G403" s="240"/>
      <c r="H403" s="24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40"/>
      <c r="D404" s="240"/>
      <c r="E404" s="240"/>
      <c r="F404" s="240"/>
      <c r="G404" s="240"/>
      <c r="H404" s="24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40"/>
      <c r="D405" s="240"/>
      <c r="E405" s="240"/>
      <c r="F405" s="240"/>
      <c r="G405" s="240"/>
      <c r="H405" s="24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40"/>
      <c r="D406" s="240"/>
      <c r="E406" s="240"/>
      <c r="F406" s="240"/>
      <c r="G406" s="240"/>
      <c r="H406" s="24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40"/>
      <c r="D407" s="240"/>
      <c r="E407" s="240"/>
      <c r="F407" s="240"/>
      <c r="G407" s="240"/>
      <c r="H407" s="24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40"/>
      <c r="D408" s="240"/>
      <c r="E408" s="240"/>
      <c r="F408" s="240"/>
      <c r="G408" s="240"/>
      <c r="H408" s="24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40"/>
      <c r="D409" s="240"/>
      <c r="E409" s="240"/>
      <c r="F409" s="240"/>
      <c r="G409" s="240"/>
      <c r="H409" s="24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40"/>
      <c r="D410" s="240"/>
      <c r="E410" s="240"/>
      <c r="F410" s="240"/>
      <c r="G410" s="240"/>
      <c r="H410" s="24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40"/>
      <c r="D411" s="240"/>
      <c r="E411" s="240"/>
      <c r="F411" s="240"/>
      <c r="G411" s="240"/>
      <c r="H411" s="24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40"/>
      <c r="D412" s="240"/>
      <c r="E412" s="240"/>
      <c r="F412" s="240"/>
      <c r="G412" s="240"/>
      <c r="H412" s="24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40"/>
      <c r="D413" s="240"/>
      <c r="E413" s="240"/>
      <c r="F413" s="240"/>
      <c r="G413" s="240"/>
      <c r="H413" s="24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40"/>
      <c r="D414" s="240"/>
      <c r="E414" s="240"/>
      <c r="F414" s="240"/>
      <c r="G414" s="240"/>
      <c r="H414" s="240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40"/>
      <c r="D415" s="240"/>
      <c r="E415" s="240"/>
      <c r="F415" s="240"/>
      <c r="G415" s="240"/>
      <c r="H415" s="240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40"/>
      <c r="D416" s="240"/>
      <c r="E416" s="240"/>
      <c r="F416" s="240"/>
      <c r="G416" s="240"/>
      <c r="H416" s="24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40"/>
      <c r="D417" s="240"/>
      <c r="E417" s="240"/>
      <c r="F417" s="240"/>
      <c r="G417" s="240"/>
      <c r="H417" s="24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40"/>
      <c r="D418" s="240"/>
      <c r="E418" s="240"/>
      <c r="F418" s="240"/>
      <c r="G418" s="240"/>
      <c r="H418" s="24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40"/>
      <c r="D419" s="240"/>
      <c r="E419" s="240"/>
      <c r="F419" s="240"/>
      <c r="G419" s="240"/>
      <c r="H419" s="24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40"/>
      <c r="D420" s="240"/>
      <c r="E420" s="240"/>
      <c r="F420" s="240"/>
      <c r="G420" s="240"/>
      <c r="H420" s="24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40"/>
      <c r="D421" s="240"/>
      <c r="E421" s="240"/>
      <c r="F421" s="240"/>
      <c r="G421" s="240"/>
      <c r="H421" s="24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40"/>
      <c r="D422" s="240"/>
      <c r="E422" s="240"/>
      <c r="F422" s="240"/>
      <c r="G422" s="240"/>
      <c r="H422" s="24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40"/>
      <c r="D423" s="240"/>
      <c r="E423" s="240"/>
      <c r="F423" s="240"/>
      <c r="G423" s="240"/>
      <c r="H423" s="24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40"/>
      <c r="D424" s="240"/>
      <c r="E424" s="240"/>
      <c r="F424" s="240"/>
      <c r="G424" s="240"/>
      <c r="H424" s="24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40"/>
      <c r="D425" s="240"/>
      <c r="E425" s="240"/>
      <c r="F425" s="240"/>
      <c r="G425" s="240"/>
      <c r="H425" s="240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40"/>
      <c r="D426" s="240"/>
      <c r="E426" s="240"/>
      <c r="F426" s="240"/>
      <c r="G426" s="240"/>
      <c r="H426" s="240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40"/>
      <c r="D427" s="240"/>
      <c r="E427" s="240"/>
      <c r="F427" s="240"/>
      <c r="G427" s="240"/>
      <c r="H427" s="240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40"/>
      <c r="D428" s="240"/>
      <c r="E428" s="240"/>
      <c r="F428" s="240"/>
      <c r="G428" s="240"/>
      <c r="H428" s="240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40"/>
      <c r="D429" s="240"/>
      <c r="E429" s="240"/>
      <c r="F429" s="240"/>
      <c r="G429" s="240"/>
      <c r="H429" s="240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40"/>
      <c r="D430" s="240"/>
      <c r="E430" s="240"/>
      <c r="F430" s="240"/>
      <c r="G430" s="240"/>
      <c r="H430" s="240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40"/>
      <c r="D431" s="240"/>
      <c r="E431" s="240"/>
      <c r="F431" s="240"/>
      <c r="G431" s="240"/>
      <c r="H431" s="240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40"/>
      <c r="D432" s="240"/>
      <c r="E432" s="240"/>
      <c r="F432" s="240"/>
      <c r="G432" s="240"/>
      <c r="H432" s="240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40"/>
      <c r="D433" s="240"/>
      <c r="E433" s="240"/>
      <c r="F433" s="240"/>
      <c r="G433" s="240"/>
      <c r="H433" s="240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40"/>
      <c r="D434" s="240"/>
      <c r="E434" s="240"/>
      <c r="F434" s="240"/>
      <c r="G434" s="240"/>
      <c r="H434" s="240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40"/>
      <c r="D435" s="240"/>
      <c r="E435" s="240"/>
      <c r="F435" s="240"/>
      <c r="G435" s="240"/>
      <c r="H435" s="240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40"/>
      <c r="D436" s="240"/>
      <c r="E436" s="240"/>
      <c r="F436" s="240"/>
      <c r="G436" s="240"/>
      <c r="H436" s="240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40"/>
      <c r="D437" s="240"/>
      <c r="E437" s="240"/>
      <c r="F437" s="240"/>
      <c r="G437" s="240"/>
      <c r="H437" s="240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40"/>
      <c r="D438" s="240"/>
      <c r="E438" s="240"/>
      <c r="F438" s="240"/>
      <c r="G438" s="240"/>
      <c r="H438" s="240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40"/>
      <c r="D439" s="240"/>
      <c r="E439" s="240"/>
      <c r="F439" s="240"/>
      <c r="G439" s="240"/>
      <c r="H439" s="240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40"/>
      <c r="D440" s="240"/>
      <c r="E440" s="240"/>
      <c r="F440" s="240"/>
      <c r="G440" s="240"/>
      <c r="H440" s="240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40"/>
      <c r="D441" s="240"/>
      <c r="E441" s="240"/>
      <c r="F441" s="240"/>
      <c r="G441" s="240"/>
      <c r="H441" s="240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40"/>
      <c r="D442" s="240"/>
      <c r="E442" s="240"/>
      <c r="F442" s="240"/>
      <c r="G442" s="240"/>
      <c r="H442" s="240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40"/>
      <c r="D443" s="240"/>
      <c r="E443" s="240"/>
      <c r="F443" s="240"/>
      <c r="G443" s="240"/>
      <c r="H443" s="240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40"/>
      <c r="D444" s="240"/>
      <c r="E444" s="240"/>
      <c r="F444" s="240"/>
      <c r="G444" s="240"/>
      <c r="H444" s="240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40"/>
      <c r="D445" s="240"/>
      <c r="E445" s="240"/>
      <c r="F445" s="240"/>
      <c r="G445" s="240"/>
      <c r="H445" s="240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40"/>
      <c r="D446" s="240"/>
      <c r="E446" s="240"/>
      <c r="F446" s="240"/>
      <c r="G446" s="240"/>
      <c r="H446" s="240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40"/>
      <c r="D447" s="240"/>
      <c r="E447" s="240"/>
      <c r="F447" s="240"/>
      <c r="G447" s="240"/>
      <c r="H447" s="240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40"/>
      <c r="D448" s="240"/>
      <c r="E448" s="240"/>
      <c r="F448" s="240"/>
      <c r="G448" s="240"/>
      <c r="H448" s="24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40"/>
      <c r="D449" s="240"/>
      <c r="E449" s="240"/>
      <c r="F449" s="240"/>
      <c r="G449" s="240"/>
      <c r="H449" s="24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40"/>
      <c r="D450" s="240"/>
      <c r="E450" s="240"/>
      <c r="F450" s="240"/>
      <c r="G450" s="240"/>
      <c r="H450" s="240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40"/>
      <c r="D451" s="240"/>
      <c r="E451" s="240"/>
      <c r="F451" s="240"/>
      <c r="G451" s="240"/>
      <c r="H451" s="240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40"/>
      <c r="D452" s="240"/>
      <c r="E452" s="240"/>
      <c r="F452" s="240"/>
      <c r="G452" s="240"/>
      <c r="H452" s="240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40"/>
      <c r="D453" s="240"/>
      <c r="E453" s="240"/>
      <c r="F453" s="240"/>
      <c r="G453" s="240"/>
      <c r="H453" s="240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40"/>
      <c r="D454" s="240"/>
      <c r="E454" s="240"/>
      <c r="F454" s="240"/>
      <c r="G454" s="240"/>
      <c r="H454" s="240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40"/>
      <c r="D455" s="240"/>
      <c r="E455" s="240"/>
      <c r="F455" s="240"/>
      <c r="G455" s="240"/>
      <c r="H455" s="240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40"/>
      <c r="D456" s="240"/>
      <c r="E456" s="240"/>
      <c r="F456" s="240"/>
      <c r="G456" s="240"/>
      <c r="H456" s="240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40"/>
      <c r="D457" s="240"/>
      <c r="E457" s="240"/>
      <c r="F457" s="240"/>
      <c r="G457" s="240"/>
      <c r="H457" s="240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40"/>
      <c r="D458" s="240"/>
      <c r="E458" s="240"/>
      <c r="F458" s="240"/>
      <c r="G458" s="240"/>
      <c r="H458" s="240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40"/>
      <c r="D459" s="240"/>
      <c r="E459" s="240"/>
      <c r="F459" s="240"/>
      <c r="G459" s="240"/>
      <c r="H459" s="240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40"/>
      <c r="D460" s="240"/>
      <c r="E460" s="240"/>
      <c r="F460" s="240"/>
      <c r="G460" s="240"/>
      <c r="H460" s="240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40"/>
      <c r="D461" s="240"/>
      <c r="E461" s="240"/>
      <c r="F461" s="240"/>
      <c r="G461" s="240"/>
      <c r="H461" s="240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40"/>
      <c r="D462" s="240"/>
      <c r="E462" s="240"/>
      <c r="F462" s="240"/>
      <c r="G462" s="240"/>
      <c r="H462" s="240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40"/>
      <c r="D463" s="240"/>
      <c r="E463" s="240"/>
      <c r="F463" s="240"/>
      <c r="G463" s="240"/>
      <c r="H463" s="240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40"/>
      <c r="D464" s="240"/>
      <c r="E464" s="240"/>
      <c r="F464" s="240"/>
      <c r="G464" s="240"/>
      <c r="H464" s="240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40"/>
      <c r="D465" s="240"/>
      <c r="E465" s="240"/>
      <c r="F465" s="240"/>
      <c r="G465" s="240"/>
      <c r="H465" s="240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40"/>
      <c r="D466" s="240"/>
      <c r="E466" s="240"/>
      <c r="F466" s="240"/>
      <c r="G466" s="240"/>
      <c r="H466" s="240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40"/>
      <c r="D467" s="240"/>
      <c r="E467" s="240"/>
      <c r="F467" s="240"/>
      <c r="G467" s="240"/>
      <c r="H467" s="240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40"/>
      <c r="D468" s="240"/>
      <c r="E468" s="240"/>
      <c r="F468" s="240"/>
      <c r="G468" s="240"/>
      <c r="H468" s="240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40"/>
      <c r="D469" s="240"/>
      <c r="E469" s="240"/>
      <c r="F469" s="240"/>
      <c r="G469" s="240"/>
      <c r="H469" s="240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40"/>
      <c r="D470" s="240"/>
      <c r="E470" s="240"/>
      <c r="F470" s="240"/>
      <c r="G470" s="240"/>
      <c r="H470" s="240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40"/>
      <c r="D471" s="240"/>
      <c r="E471" s="240"/>
      <c r="F471" s="240"/>
      <c r="G471" s="240"/>
      <c r="H471" s="240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40"/>
      <c r="D472" s="240"/>
      <c r="E472" s="240"/>
      <c r="F472" s="240"/>
      <c r="G472" s="240"/>
      <c r="H472" s="240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40"/>
      <c r="D473" s="240"/>
      <c r="E473" s="240"/>
      <c r="F473" s="240"/>
      <c r="G473" s="240"/>
      <c r="H473" s="240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40"/>
      <c r="D474" s="240"/>
      <c r="E474" s="240"/>
      <c r="F474" s="240"/>
      <c r="G474" s="240"/>
      <c r="H474" s="240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40"/>
      <c r="D475" s="240"/>
      <c r="E475" s="240"/>
      <c r="F475" s="240"/>
      <c r="G475" s="240"/>
      <c r="H475" s="240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40"/>
      <c r="D476" s="240"/>
      <c r="E476" s="240"/>
      <c r="F476" s="240"/>
      <c r="G476" s="240"/>
      <c r="H476" s="240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40"/>
      <c r="D477" s="240"/>
      <c r="E477" s="240"/>
      <c r="F477" s="240"/>
      <c r="G477" s="240"/>
      <c r="H477" s="240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40"/>
      <c r="D478" s="240"/>
      <c r="E478" s="240"/>
      <c r="F478" s="240"/>
      <c r="G478" s="240"/>
      <c r="H478" s="240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40"/>
      <c r="D479" s="240"/>
      <c r="E479" s="240"/>
      <c r="F479" s="240"/>
      <c r="G479" s="240"/>
      <c r="H479" s="240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40"/>
      <c r="D480" s="240"/>
      <c r="E480" s="240"/>
      <c r="F480" s="240"/>
      <c r="G480" s="240"/>
      <c r="H480" s="240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40"/>
      <c r="D481" s="240"/>
      <c r="E481" s="240"/>
      <c r="F481" s="240"/>
      <c r="G481" s="240"/>
      <c r="H481" s="240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40"/>
      <c r="D482" s="240"/>
      <c r="E482" s="240"/>
      <c r="F482" s="240"/>
      <c r="G482" s="240"/>
      <c r="H482" s="240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40"/>
      <c r="D483" s="240"/>
      <c r="E483" s="240"/>
      <c r="F483" s="240"/>
      <c r="G483" s="240"/>
      <c r="H483" s="240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40"/>
      <c r="D484" s="240"/>
      <c r="E484" s="240"/>
      <c r="F484" s="240"/>
      <c r="G484" s="240"/>
      <c r="H484" s="240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40"/>
      <c r="D485" s="240"/>
      <c r="E485" s="240"/>
      <c r="F485" s="240"/>
      <c r="G485" s="240"/>
      <c r="H485" s="240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40"/>
      <c r="D486" s="240"/>
      <c r="E486" s="240"/>
      <c r="F486" s="240"/>
      <c r="G486" s="240"/>
      <c r="H486" s="240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40"/>
      <c r="D487" s="240"/>
      <c r="E487" s="240"/>
      <c r="F487" s="240"/>
      <c r="G487" s="240"/>
      <c r="H487" s="240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40"/>
      <c r="D488" s="240"/>
      <c r="E488" s="240"/>
      <c r="F488" s="240"/>
      <c r="G488" s="240"/>
      <c r="H488" s="240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40"/>
      <c r="D489" s="240"/>
      <c r="E489" s="240"/>
      <c r="F489" s="240"/>
      <c r="G489" s="240"/>
      <c r="H489" s="24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40"/>
      <c r="D490" s="240"/>
      <c r="E490" s="240"/>
      <c r="F490" s="240"/>
      <c r="G490" s="240"/>
      <c r="H490" s="24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40"/>
      <c r="D491" s="240"/>
      <c r="E491" s="240"/>
      <c r="F491" s="240"/>
      <c r="G491" s="240"/>
      <c r="H491" s="24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40"/>
      <c r="D492" s="240"/>
      <c r="E492" s="240"/>
      <c r="F492" s="240"/>
      <c r="G492" s="240"/>
      <c r="H492" s="240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40"/>
      <c r="D493" s="240"/>
      <c r="E493" s="240"/>
      <c r="F493" s="240"/>
      <c r="G493" s="240"/>
      <c r="H493" s="240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40"/>
      <c r="D494" s="240"/>
      <c r="E494" s="240"/>
      <c r="F494" s="240"/>
      <c r="G494" s="240"/>
      <c r="H494" s="240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40"/>
      <c r="D495" s="240"/>
      <c r="E495" s="240"/>
      <c r="F495" s="240"/>
      <c r="G495" s="240"/>
      <c r="H495" s="240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40"/>
      <c r="D496" s="240"/>
      <c r="E496" s="240"/>
      <c r="F496" s="240"/>
      <c r="G496" s="240"/>
      <c r="H496" s="240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40"/>
      <c r="D497" s="240"/>
      <c r="E497" s="240"/>
      <c r="F497" s="240"/>
      <c r="G497" s="240"/>
      <c r="H497" s="240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40"/>
      <c r="D498" s="240"/>
      <c r="E498" s="240"/>
      <c r="F498" s="240"/>
      <c r="G498" s="240"/>
      <c r="H498" s="240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40"/>
      <c r="D499" s="240"/>
      <c r="E499" s="240"/>
      <c r="F499" s="240"/>
      <c r="G499" s="240"/>
      <c r="H499" s="240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40"/>
      <c r="D500" s="240"/>
      <c r="E500" s="240"/>
      <c r="F500" s="240"/>
      <c r="G500" s="240"/>
      <c r="H500" s="240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40"/>
      <c r="D501" s="240"/>
      <c r="E501" s="240"/>
      <c r="F501" s="240"/>
      <c r="G501" s="240"/>
      <c r="H501" s="240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40"/>
      <c r="D502" s="240"/>
      <c r="E502" s="240"/>
      <c r="F502" s="240"/>
      <c r="G502" s="240"/>
      <c r="H502" s="240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40"/>
      <c r="D503" s="240"/>
      <c r="E503" s="240"/>
      <c r="F503" s="240"/>
      <c r="G503" s="240"/>
      <c r="H503" s="240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40"/>
      <c r="D504" s="240"/>
      <c r="E504" s="240"/>
      <c r="F504" s="240"/>
      <c r="G504" s="240"/>
      <c r="H504" s="240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40"/>
      <c r="D505" s="240"/>
      <c r="E505" s="240"/>
      <c r="F505" s="240"/>
      <c r="G505" s="240"/>
      <c r="H505" s="240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40"/>
      <c r="D506" s="240"/>
      <c r="E506" s="240"/>
      <c r="F506" s="240"/>
      <c r="G506" s="240"/>
      <c r="H506" s="240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40"/>
      <c r="D507" s="240"/>
      <c r="E507" s="240"/>
      <c r="F507" s="240"/>
      <c r="G507" s="240"/>
      <c r="H507" s="240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40"/>
      <c r="D508" s="240"/>
      <c r="E508" s="240"/>
      <c r="F508" s="240"/>
      <c r="G508" s="240"/>
      <c r="H508" s="240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40"/>
      <c r="D509" s="240"/>
      <c r="E509" s="240"/>
      <c r="F509" s="240"/>
      <c r="G509" s="240"/>
      <c r="H509" s="240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40"/>
      <c r="D510" s="240"/>
      <c r="E510" s="240"/>
      <c r="F510" s="240"/>
      <c r="G510" s="240"/>
      <c r="H510" s="240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40"/>
      <c r="D511" s="240"/>
      <c r="E511" s="240"/>
      <c r="F511" s="240"/>
      <c r="G511" s="240"/>
      <c r="H511" s="240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40"/>
      <c r="D512" s="240"/>
      <c r="E512" s="240"/>
      <c r="F512" s="240"/>
      <c r="G512" s="240"/>
      <c r="H512" s="240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40"/>
      <c r="D513" s="240"/>
      <c r="E513" s="240"/>
      <c r="F513" s="240"/>
      <c r="G513" s="240"/>
      <c r="H513" s="240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40"/>
      <c r="D514" s="240"/>
      <c r="E514" s="240"/>
      <c r="F514" s="240"/>
      <c r="G514" s="240"/>
      <c r="H514" s="240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40"/>
      <c r="D515" s="240"/>
      <c r="E515" s="240"/>
      <c r="F515" s="240"/>
      <c r="G515" s="240"/>
      <c r="H515" s="240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40"/>
      <c r="D516" s="240"/>
      <c r="E516" s="240"/>
      <c r="F516" s="240"/>
      <c r="G516" s="240"/>
      <c r="H516" s="240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40"/>
      <c r="D517" s="240"/>
      <c r="E517" s="240"/>
      <c r="F517" s="240"/>
      <c r="G517" s="240"/>
      <c r="H517" s="240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40"/>
      <c r="D518" s="240"/>
      <c r="E518" s="240"/>
      <c r="F518" s="240"/>
      <c r="G518" s="240"/>
      <c r="H518" s="240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40"/>
      <c r="D519" s="240"/>
      <c r="E519" s="240"/>
      <c r="F519" s="240"/>
      <c r="G519" s="240"/>
      <c r="H519" s="240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40"/>
      <c r="D520" s="240"/>
      <c r="E520" s="240"/>
      <c r="F520" s="240"/>
      <c r="G520" s="240"/>
      <c r="H520" s="240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40"/>
      <c r="D521" s="240"/>
      <c r="E521" s="240"/>
      <c r="F521" s="240"/>
      <c r="G521" s="240"/>
      <c r="H521" s="240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40"/>
      <c r="D522" s="240"/>
      <c r="E522" s="240"/>
      <c r="F522" s="240"/>
      <c r="G522" s="240"/>
      <c r="H522" s="240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40"/>
      <c r="D523" s="240"/>
      <c r="E523" s="240"/>
      <c r="F523" s="240"/>
      <c r="G523" s="240"/>
      <c r="H523" s="240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40"/>
      <c r="D524" s="240"/>
      <c r="E524" s="240"/>
      <c r="F524" s="240"/>
      <c r="G524" s="240"/>
      <c r="H524" s="240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40"/>
      <c r="D525" s="240"/>
      <c r="E525" s="240"/>
      <c r="F525" s="240"/>
      <c r="G525" s="240"/>
      <c r="H525" s="240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40"/>
      <c r="D526" s="240"/>
      <c r="E526" s="240"/>
      <c r="F526" s="240"/>
      <c r="G526" s="240"/>
      <c r="H526" s="240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40"/>
      <c r="D527" s="240"/>
      <c r="E527" s="240"/>
      <c r="F527" s="240"/>
      <c r="G527" s="240"/>
      <c r="H527" s="240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40"/>
      <c r="D528" s="240"/>
      <c r="E528" s="240"/>
      <c r="F528" s="240"/>
      <c r="G528" s="240"/>
      <c r="H528" s="240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40"/>
      <c r="D529" s="240"/>
      <c r="E529" s="240"/>
      <c r="F529" s="240"/>
      <c r="G529" s="240"/>
      <c r="H529" s="240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40"/>
      <c r="D530" s="240"/>
      <c r="E530" s="240"/>
      <c r="F530" s="240"/>
      <c r="G530" s="240"/>
      <c r="H530" s="240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40"/>
      <c r="D531" s="240"/>
      <c r="E531" s="240"/>
      <c r="F531" s="240"/>
      <c r="G531" s="240"/>
      <c r="H531" s="240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40"/>
      <c r="D532" s="240"/>
      <c r="E532" s="240"/>
      <c r="F532" s="240"/>
      <c r="G532" s="240"/>
      <c r="H532" s="240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40"/>
      <c r="D533" s="240"/>
      <c r="E533" s="240"/>
      <c r="F533" s="240"/>
      <c r="G533" s="240"/>
      <c r="H533" s="240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40"/>
      <c r="D534" s="240"/>
      <c r="E534" s="240"/>
      <c r="F534" s="240"/>
      <c r="G534" s="240"/>
      <c r="H534" s="240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40"/>
      <c r="D535" s="240"/>
      <c r="E535" s="240"/>
      <c r="F535" s="240"/>
      <c r="G535" s="240"/>
      <c r="H535" s="240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40"/>
      <c r="D536" s="240"/>
      <c r="E536" s="240"/>
      <c r="F536" s="240"/>
      <c r="G536" s="240"/>
      <c r="H536" s="240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40"/>
      <c r="D537" s="240"/>
      <c r="E537" s="240"/>
      <c r="F537" s="240"/>
      <c r="G537" s="240"/>
      <c r="H537" s="240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40"/>
      <c r="D538" s="240"/>
      <c r="E538" s="240"/>
      <c r="F538" s="240"/>
      <c r="G538" s="240"/>
      <c r="H538" s="240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40"/>
      <c r="D539" s="240"/>
      <c r="E539" s="240"/>
      <c r="F539" s="240"/>
      <c r="G539" s="240"/>
      <c r="H539" s="240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40"/>
      <c r="D540" s="240"/>
      <c r="E540" s="240"/>
      <c r="F540" s="240"/>
      <c r="G540" s="240"/>
      <c r="H540" s="240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40"/>
      <c r="D541" s="240"/>
      <c r="E541" s="240"/>
      <c r="F541" s="240"/>
      <c r="G541" s="240"/>
      <c r="H541" s="240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40"/>
      <c r="D542" s="240"/>
      <c r="E542" s="240"/>
      <c r="F542" s="240"/>
      <c r="G542" s="240"/>
      <c r="H542" s="24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40"/>
      <c r="D543" s="240"/>
      <c r="E543" s="240"/>
      <c r="F543" s="240"/>
      <c r="G543" s="240"/>
      <c r="H543" s="24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40"/>
      <c r="D544" s="240"/>
      <c r="E544" s="240"/>
      <c r="F544" s="240"/>
      <c r="G544" s="240"/>
      <c r="H544" s="24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40"/>
      <c r="D545" s="240"/>
      <c r="E545" s="240"/>
      <c r="F545" s="240"/>
      <c r="G545" s="240"/>
      <c r="H545" s="24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40"/>
      <c r="D546" s="240"/>
      <c r="E546" s="240"/>
      <c r="F546" s="240"/>
      <c r="G546" s="240"/>
      <c r="H546" s="24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40"/>
      <c r="D547" s="240"/>
      <c r="E547" s="240"/>
      <c r="F547" s="240"/>
      <c r="G547" s="240"/>
      <c r="H547" s="24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40"/>
      <c r="D548" s="240"/>
      <c r="E548" s="240"/>
      <c r="F548" s="240"/>
      <c r="G548" s="240"/>
      <c r="H548" s="24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40"/>
      <c r="D549" s="240"/>
      <c r="E549" s="240"/>
      <c r="F549" s="240"/>
      <c r="G549" s="240"/>
      <c r="H549" s="24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40"/>
      <c r="D550" s="240"/>
      <c r="E550" s="240"/>
      <c r="F550" s="240"/>
      <c r="G550" s="240"/>
      <c r="H550" s="24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40"/>
      <c r="D551" s="240"/>
      <c r="E551" s="240"/>
      <c r="F551" s="240"/>
      <c r="G551" s="240"/>
      <c r="H551" s="24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40"/>
      <c r="D552" s="240"/>
      <c r="E552" s="240"/>
      <c r="F552" s="240"/>
      <c r="G552" s="240"/>
      <c r="H552" s="24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40"/>
      <c r="D553" s="240"/>
      <c r="E553" s="240"/>
      <c r="F553" s="240"/>
      <c r="G553" s="240"/>
      <c r="H553" s="24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40"/>
      <c r="D554" s="240"/>
      <c r="E554" s="240"/>
      <c r="F554" s="240"/>
      <c r="G554" s="240"/>
      <c r="H554" s="24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40"/>
      <c r="D555" s="240"/>
      <c r="E555" s="240"/>
      <c r="F555" s="240"/>
      <c r="G555" s="240"/>
      <c r="H555" s="24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40"/>
      <c r="D556" s="240"/>
      <c r="E556" s="240"/>
      <c r="F556" s="240"/>
      <c r="G556" s="240"/>
      <c r="H556" s="24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40"/>
      <c r="D557" s="240"/>
      <c r="E557" s="240"/>
      <c r="F557" s="240"/>
      <c r="G557" s="240"/>
      <c r="H557" s="24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40"/>
      <c r="D558" s="240"/>
      <c r="E558" s="240"/>
      <c r="F558" s="240"/>
      <c r="G558" s="240"/>
      <c r="H558" s="240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40"/>
      <c r="D559" s="240"/>
      <c r="E559" s="240"/>
      <c r="F559" s="240"/>
      <c r="G559" s="240"/>
      <c r="H559" s="240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40"/>
      <c r="D560" s="240"/>
      <c r="E560" s="240"/>
      <c r="F560" s="240"/>
      <c r="G560" s="240"/>
      <c r="H560" s="24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40"/>
      <c r="D561" s="240"/>
      <c r="E561" s="240"/>
      <c r="F561" s="240"/>
      <c r="G561" s="240"/>
      <c r="H561" s="24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40"/>
      <c r="D562" s="240"/>
      <c r="E562" s="240"/>
      <c r="F562" s="240"/>
      <c r="G562" s="240"/>
      <c r="H562" s="24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40"/>
      <c r="D563" s="240"/>
      <c r="E563" s="240"/>
      <c r="F563" s="240"/>
      <c r="G563" s="240"/>
      <c r="H563" s="24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40"/>
      <c r="D564" s="240"/>
      <c r="E564" s="240"/>
      <c r="F564" s="240"/>
      <c r="G564" s="240"/>
      <c r="H564" s="240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40"/>
      <c r="D565" s="240"/>
      <c r="E565" s="240"/>
      <c r="F565" s="240"/>
      <c r="G565" s="240"/>
      <c r="H565" s="240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40"/>
      <c r="D566" s="240"/>
      <c r="E566" s="240"/>
      <c r="F566" s="240"/>
      <c r="G566" s="240"/>
      <c r="H566" s="240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40"/>
      <c r="D567" s="240"/>
      <c r="E567" s="240"/>
      <c r="F567" s="240"/>
      <c r="G567" s="240"/>
      <c r="H567" s="240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40"/>
      <c r="D568" s="240"/>
      <c r="E568" s="240"/>
      <c r="F568" s="240"/>
      <c r="G568" s="240"/>
      <c r="H568" s="240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40"/>
      <c r="D569" s="240"/>
      <c r="E569" s="240"/>
      <c r="F569" s="240"/>
      <c r="G569" s="240"/>
      <c r="H569" s="240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40"/>
      <c r="D570" s="240"/>
      <c r="E570" s="240"/>
      <c r="F570" s="240"/>
      <c r="G570" s="240"/>
      <c r="H570" s="240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40"/>
      <c r="D571" s="240"/>
      <c r="E571" s="240"/>
      <c r="F571" s="240"/>
      <c r="G571" s="240"/>
      <c r="H571" s="240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40"/>
      <c r="D572" s="240"/>
      <c r="E572" s="240"/>
      <c r="F572" s="240"/>
      <c r="G572" s="240"/>
      <c r="H572" s="240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40"/>
      <c r="D573" s="240"/>
      <c r="E573" s="240"/>
      <c r="F573" s="240"/>
      <c r="G573" s="240"/>
      <c r="H573" s="24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40"/>
      <c r="D574" s="240"/>
      <c r="E574" s="240"/>
      <c r="F574" s="240"/>
      <c r="G574" s="240"/>
      <c r="H574" s="24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40"/>
      <c r="D575" s="240"/>
      <c r="E575" s="240"/>
      <c r="F575" s="240"/>
      <c r="G575" s="240"/>
      <c r="H575" s="24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40"/>
      <c r="D576" s="240"/>
      <c r="E576" s="240"/>
      <c r="F576" s="240"/>
      <c r="G576" s="240"/>
      <c r="H576" s="240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40"/>
      <c r="D577" s="240"/>
      <c r="E577" s="240"/>
      <c r="F577" s="240"/>
      <c r="G577" s="240"/>
      <c r="H577" s="240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40"/>
      <c r="D578" s="240"/>
      <c r="E578" s="240"/>
      <c r="F578" s="240"/>
      <c r="G578" s="240"/>
      <c r="H578" s="24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40"/>
      <c r="D579" s="240"/>
      <c r="E579" s="240"/>
      <c r="F579" s="240"/>
      <c r="G579" s="240"/>
      <c r="H579" s="24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40"/>
      <c r="D580" s="240"/>
      <c r="E580" s="240"/>
      <c r="F580" s="240"/>
      <c r="G580" s="240"/>
      <c r="H580" s="24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40"/>
      <c r="D581" s="240"/>
      <c r="E581" s="240"/>
      <c r="F581" s="240"/>
      <c r="G581" s="240"/>
      <c r="H581" s="24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40"/>
      <c r="D582" s="240"/>
      <c r="E582" s="240"/>
      <c r="F582" s="240"/>
      <c r="G582" s="240"/>
      <c r="H582" s="240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40"/>
      <c r="D583" s="240"/>
      <c r="E583" s="240"/>
      <c r="F583" s="240"/>
      <c r="G583" s="240"/>
      <c r="H583" s="240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40"/>
      <c r="D584" s="240"/>
      <c r="E584" s="240"/>
      <c r="F584" s="240"/>
      <c r="G584" s="240"/>
      <c r="H584" s="240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40"/>
      <c r="D585" s="240"/>
      <c r="E585" s="240"/>
      <c r="F585" s="240"/>
      <c r="G585" s="240"/>
      <c r="H585" s="240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40"/>
      <c r="D586" s="240"/>
      <c r="E586" s="240"/>
      <c r="F586" s="240"/>
      <c r="G586" s="240"/>
      <c r="H586" s="240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40"/>
      <c r="D587" s="240"/>
      <c r="E587" s="240"/>
      <c r="F587" s="240"/>
      <c r="G587" s="240"/>
      <c r="H587" s="240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40"/>
      <c r="D588" s="240"/>
      <c r="E588" s="240"/>
      <c r="F588" s="240"/>
      <c r="G588" s="240"/>
      <c r="H588" s="240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40"/>
      <c r="D589" s="240"/>
      <c r="E589" s="240"/>
      <c r="F589" s="240"/>
      <c r="G589" s="240"/>
      <c r="H589" s="240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40"/>
      <c r="D590" s="240"/>
      <c r="E590" s="240"/>
      <c r="F590" s="240"/>
      <c r="G590" s="240"/>
      <c r="H590" s="240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40"/>
      <c r="D591" s="240"/>
      <c r="E591" s="240"/>
      <c r="F591" s="240"/>
      <c r="G591" s="240"/>
      <c r="H591" s="24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40"/>
      <c r="D592" s="240"/>
      <c r="E592" s="240"/>
      <c r="F592" s="240"/>
      <c r="G592" s="240"/>
      <c r="H592" s="24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40"/>
      <c r="D593" s="240"/>
      <c r="E593" s="240"/>
      <c r="F593" s="240"/>
      <c r="G593" s="240"/>
      <c r="H593" s="24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40"/>
      <c r="D594" s="240"/>
      <c r="E594" s="240"/>
      <c r="F594" s="240"/>
      <c r="G594" s="240"/>
      <c r="H594" s="240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40"/>
      <c r="D595" s="240"/>
      <c r="E595" s="240"/>
      <c r="F595" s="240"/>
      <c r="G595" s="240"/>
      <c r="H595" s="240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40"/>
      <c r="D596" s="240"/>
      <c r="E596" s="240"/>
      <c r="F596" s="240"/>
      <c r="G596" s="240"/>
      <c r="H596" s="240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40"/>
      <c r="D597" s="240"/>
      <c r="E597" s="240"/>
      <c r="F597" s="240"/>
      <c r="G597" s="240"/>
      <c r="H597" s="240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40"/>
      <c r="D598" s="240"/>
      <c r="E598" s="240"/>
      <c r="F598" s="240"/>
      <c r="G598" s="240"/>
      <c r="H598" s="240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40"/>
      <c r="D599" s="240"/>
      <c r="E599" s="240"/>
      <c r="F599" s="240"/>
      <c r="G599" s="240"/>
      <c r="H599" s="240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40"/>
      <c r="D600" s="240"/>
      <c r="E600" s="240"/>
      <c r="F600" s="240"/>
      <c r="G600" s="240"/>
      <c r="H600" s="240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40"/>
      <c r="D601" s="240"/>
      <c r="E601" s="240"/>
      <c r="F601" s="240"/>
      <c r="G601" s="240"/>
      <c r="H601" s="240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40"/>
      <c r="D602" s="240"/>
      <c r="E602" s="240"/>
      <c r="F602" s="240"/>
      <c r="G602" s="240"/>
      <c r="H602" s="240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40"/>
      <c r="D603" s="240"/>
      <c r="E603" s="240"/>
      <c r="F603" s="240"/>
      <c r="G603" s="240"/>
      <c r="H603" s="240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40"/>
      <c r="D604" s="240"/>
      <c r="E604" s="240"/>
      <c r="F604" s="240"/>
      <c r="G604" s="240"/>
      <c r="H604" s="240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40"/>
      <c r="D605" s="240"/>
      <c r="E605" s="240"/>
      <c r="F605" s="240"/>
      <c r="G605" s="240"/>
      <c r="H605" s="240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40"/>
      <c r="D606" s="240"/>
      <c r="E606" s="240"/>
      <c r="F606" s="240"/>
      <c r="G606" s="240"/>
      <c r="H606" s="240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40"/>
      <c r="D607" s="240"/>
      <c r="E607" s="240"/>
      <c r="F607" s="240"/>
      <c r="G607" s="240"/>
      <c r="H607" s="240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40"/>
      <c r="D608" s="240"/>
      <c r="E608" s="240"/>
      <c r="F608" s="240"/>
      <c r="G608" s="240"/>
      <c r="H608" s="240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40"/>
      <c r="D609" s="240"/>
      <c r="E609" s="240"/>
      <c r="F609" s="240"/>
      <c r="G609" s="240"/>
      <c r="H609" s="240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40"/>
      <c r="D610" s="240"/>
      <c r="E610" s="240"/>
      <c r="F610" s="240"/>
      <c r="G610" s="240"/>
      <c r="H610" s="240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40"/>
      <c r="D611" s="240"/>
      <c r="E611" s="240"/>
      <c r="F611" s="240"/>
      <c r="G611" s="240"/>
      <c r="H611" s="240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40"/>
      <c r="D612" s="240"/>
      <c r="E612" s="240"/>
      <c r="F612" s="240"/>
      <c r="G612" s="240"/>
      <c r="H612" s="240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40"/>
      <c r="D613" s="240"/>
      <c r="E613" s="240"/>
      <c r="F613" s="240"/>
      <c r="G613" s="240"/>
      <c r="H613" s="240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40"/>
      <c r="D614" s="240"/>
      <c r="E614" s="240"/>
      <c r="F614" s="240"/>
      <c r="G614" s="240"/>
      <c r="H614" s="240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40"/>
      <c r="D615" s="240"/>
      <c r="E615" s="240"/>
      <c r="F615" s="240"/>
      <c r="G615" s="240"/>
      <c r="H615" s="240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40"/>
      <c r="D616" s="240"/>
      <c r="E616" s="240"/>
      <c r="F616" s="240"/>
      <c r="G616" s="240"/>
      <c r="H616" s="240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40"/>
      <c r="D617" s="240"/>
      <c r="E617" s="240"/>
      <c r="F617" s="240"/>
      <c r="G617" s="240"/>
      <c r="H617" s="240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40"/>
      <c r="D618" s="240"/>
      <c r="E618" s="240"/>
      <c r="F618" s="240"/>
      <c r="G618" s="240"/>
      <c r="H618" s="240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40"/>
      <c r="D619" s="240"/>
      <c r="E619" s="240"/>
      <c r="F619" s="240"/>
      <c r="G619" s="240"/>
      <c r="H619" s="240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40"/>
      <c r="D620" s="240"/>
      <c r="E620" s="240"/>
      <c r="F620" s="240"/>
      <c r="G620" s="240"/>
      <c r="H620" s="240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40"/>
      <c r="D621" s="240"/>
      <c r="E621" s="240"/>
      <c r="F621" s="240"/>
      <c r="G621" s="240"/>
      <c r="H621" s="240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40"/>
      <c r="D622" s="240"/>
      <c r="E622" s="240"/>
      <c r="F622" s="240"/>
      <c r="G622" s="240"/>
      <c r="H622" s="240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40"/>
      <c r="D623" s="240"/>
      <c r="E623" s="240"/>
      <c r="F623" s="240"/>
      <c r="G623" s="240"/>
      <c r="H623" s="240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40"/>
      <c r="D624" s="240"/>
      <c r="E624" s="240"/>
      <c r="F624" s="240"/>
      <c r="G624" s="240"/>
      <c r="H624" s="240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40"/>
      <c r="D625" s="240"/>
      <c r="E625" s="240"/>
      <c r="F625" s="240"/>
      <c r="G625" s="240"/>
      <c r="H625" s="240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  <c r="B626" s="2"/>
      <c r="C626" s="240"/>
      <c r="D626" s="240"/>
      <c r="E626" s="240"/>
      <c r="F626" s="240"/>
      <c r="G626" s="240"/>
      <c r="H626" s="240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2">
      <c r="A627"/>
      <c r="B627" s="2"/>
      <c r="C627" s="240"/>
      <c r="D627" s="240"/>
      <c r="E627" s="240"/>
      <c r="F627" s="240"/>
      <c r="G627" s="240"/>
      <c r="H627" s="240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2">
      <c r="A628"/>
      <c r="B628" s="2"/>
      <c r="C628" s="240"/>
      <c r="D628" s="240"/>
      <c r="E628" s="240"/>
      <c r="F628" s="240"/>
      <c r="G628" s="240"/>
      <c r="H628" s="240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2">
      <c r="A629"/>
      <c r="B629" s="2"/>
      <c r="C629" s="240"/>
      <c r="D629" s="240"/>
      <c r="E629" s="240"/>
      <c r="F629" s="240"/>
      <c r="G629" s="240"/>
      <c r="H629" s="240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2">
      <c r="A630"/>
      <c r="B630" s="2"/>
      <c r="C630" s="240"/>
      <c r="D630" s="240"/>
      <c r="E630" s="240"/>
      <c r="F630" s="240"/>
      <c r="G630" s="240"/>
      <c r="H630" s="240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2">
      <c r="A631"/>
      <c r="B631" s="2"/>
      <c r="C631" s="240"/>
      <c r="D631" s="240"/>
      <c r="E631" s="240"/>
      <c r="F631" s="240"/>
      <c r="G631" s="240"/>
      <c r="H631" s="240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2">
      <c r="A632"/>
      <c r="B632" s="2"/>
      <c r="C632" s="240"/>
      <c r="D632" s="240"/>
      <c r="E632" s="240"/>
      <c r="F632" s="240"/>
      <c r="G632" s="240"/>
      <c r="H632" s="240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2">
      <c r="A633"/>
      <c r="B633" s="2"/>
      <c r="C633" s="240"/>
      <c r="D633" s="240"/>
      <c r="E633" s="240"/>
      <c r="F633" s="240"/>
      <c r="G633" s="240"/>
      <c r="H633" s="240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2">
      <c r="A634"/>
      <c r="B634" s="2"/>
      <c r="C634" s="240"/>
      <c r="D634" s="240"/>
      <c r="E634" s="240"/>
      <c r="F634" s="240"/>
      <c r="G634" s="240"/>
      <c r="H634" s="240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2">
      <c r="A635"/>
      <c r="B635" s="2"/>
      <c r="C635" s="240"/>
      <c r="D635" s="240"/>
      <c r="E635" s="240"/>
      <c r="F635" s="240"/>
      <c r="G635" s="240"/>
      <c r="H635" s="240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2">
      <c r="A636"/>
      <c r="B636" s="2"/>
      <c r="C636" s="240"/>
      <c r="D636" s="240"/>
      <c r="E636" s="240"/>
      <c r="F636" s="240"/>
      <c r="G636" s="240"/>
      <c r="H636" s="240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2">
      <c r="A637"/>
      <c r="B637" s="2"/>
      <c r="C637" s="240"/>
      <c r="D637" s="240"/>
      <c r="E637" s="240"/>
      <c r="F637" s="240"/>
      <c r="G637" s="240"/>
      <c r="H637" s="240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2">
      <c r="A638"/>
      <c r="B638" s="2"/>
      <c r="C638" s="240"/>
      <c r="D638" s="240"/>
      <c r="E638" s="240"/>
      <c r="F638" s="240"/>
      <c r="G638" s="240"/>
      <c r="H638" s="240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2">
      <c r="A639"/>
      <c r="B639" s="2"/>
      <c r="C639" s="240"/>
      <c r="D639" s="240"/>
      <c r="E639" s="240"/>
      <c r="F639" s="240"/>
      <c r="G639" s="240"/>
      <c r="H639" s="240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2">
      <c r="A640"/>
      <c r="B640" s="2"/>
      <c r="C640" s="240"/>
      <c r="D640" s="240"/>
      <c r="E640" s="240"/>
      <c r="F640" s="240"/>
      <c r="G640" s="240"/>
      <c r="H640" s="240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2">
      <c r="A641"/>
      <c r="B641" s="2"/>
      <c r="C641" s="240"/>
      <c r="D641" s="240"/>
      <c r="E641" s="240"/>
      <c r="F641" s="240"/>
      <c r="G641" s="240"/>
      <c r="H641" s="240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2">
      <c r="A642"/>
      <c r="B642" s="2"/>
      <c r="C642" s="240"/>
      <c r="D642" s="240"/>
      <c r="E642" s="240"/>
      <c r="F642" s="240"/>
      <c r="G642" s="240"/>
      <c r="H642" s="240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2">
      <c r="A643"/>
    </row>
    <row r="644" spans="1:42" ht="15.75" customHeight="1" x14ac:dyDescent="0.2">
      <c r="A644"/>
    </row>
    <row r="645" spans="1:42" ht="15.75" customHeight="1" x14ac:dyDescent="0.2">
      <c r="A645"/>
    </row>
    <row r="646" spans="1:42" ht="15.75" customHeight="1" x14ac:dyDescent="0.2">
      <c r="A646"/>
    </row>
    <row r="647" spans="1:42" ht="15.75" customHeight="1" x14ac:dyDescent="0.2">
      <c r="A647"/>
      <c r="C647" s="91"/>
      <c r="D647" s="91"/>
      <c r="E647" s="91"/>
      <c r="F647" s="91"/>
      <c r="G647" s="91"/>
      <c r="H647" s="91"/>
    </row>
    <row r="648" spans="1:42" ht="15.75" customHeight="1" x14ac:dyDescent="0.2">
      <c r="A648"/>
      <c r="C648" s="91"/>
      <c r="D648" s="91"/>
      <c r="E648" s="91"/>
      <c r="F648" s="91"/>
      <c r="G648" s="91"/>
      <c r="H648" s="91"/>
    </row>
    <row r="649" spans="1:42" ht="15.75" customHeight="1" x14ac:dyDescent="0.2">
      <c r="A649"/>
      <c r="C649" s="91"/>
      <c r="D649" s="91"/>
      <c r="E649" s="91"/>
      <c r="F649" s="91"/>
      <c r="G649" s="91"/>
      <c r="H649" s="91"/>
    </row>
    <row r="650" spans="1:42" ht="15.75" customHeight="1" x14ac:dyDescent="0.2">
      <c r="A650"/>
      <c r="C650" s="91"/>
      <c r="D650" s="91"/>
      <c r="E650" s="91"/>
      <c r="F650" s="91"/>
      <c r="G650" s="91"/>
      <c r="H650" s="91"/>
    </row>
    <row r="651" spans="1:42" ht="15.75" customHeight="1" x14ac:dyDescent="0.2">
      <c r="A651"/>
      <c r="C651" s="91"/>
      <c r="D651" s="91"/>
      <c r="E651" s="91"/>
      <c r="F651" s="91"/>
      <c r="G651" s="91"/>
      <c r="H651" s="91"/>
    </row>
    <row r="652" spans="1:42" ht="15.75" customHeight="1" x14ac:dyDescent="0.2">
      <c r="A652"/>
      <c r="C652" s="91"/>
      <c r="D652" s="91"/>
      <c r="E652" s="91"/>
      <c r="F652" s="91"/>
      <c r="G652" s="91"/>
      <c r="H652" s="91"/>
    </row>
    <row r="653" spans="1:42" ht="15.75" customHeight="1" x14ac:dyDescent="0.2">
      <c r="A653"/>
      <c r="C653" s="91"/>
      <c r="D653" s="91"/>
      <c r="E653" s="91"/>
      <c r="F653" s="91"/>
      <c r="G653" s="91"/>
      <c r="H653" s="91"/>
    </row>
    <row r="654" spans="1:42" ht="15.75" customHeight="1" x14ac:dyDescent="0.2">
      <c r="A654"/>
      <c r="C654" s="91"/>
      <c r="D654" s="91"/>
      <c r="E654" s="91"/>
      <c r="F654" s="91"/>
      <c r="G654" s="91"/>
      <c r="H654" s="91"/>
    </row>
    <row r="655" spans="1:42" ht="15.75" customHeight="1" x14ac:dyDescent="0.2">
      <c r="A655"/>
      <c r="C655" s="91"/>
      <c r="D655" s="91"/>
      <c r="E655" s="91"/>
      <c r="F655" s="91"/>
      <c r="G655" s="91"/>
      <c r="H655" s="91"/>
    </row>
    <row r="656" spans="1:42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  <row r="713" spans="1:8" ht="15.75" customHeight="1" x14ac:dyDescent="0.2">
      <c r="A713"/>
      <c r="C713" s="91"/>
      <c r="D713" s="91"/>
      <c r="E713" s="91"/>
      <c r="F713" s="91"/>
      <c r="G713" s="91"/>
      <c r="H713" s="91"/>
    </row>
    <row r="714" spans="1:8" ht="15.75" customHeight="1" x14ac:dyDescent="0.2">
      <c r="A714"/>
      <c r="C714" s="91"/>
      <c r="D714" s="91"/>
      <c r="E714" s="91"/>
      <c r="F714" s="91"/>
      <c r="G714" s="91"/>
      <c r="H714" s="91"/>
    </row>
    <row r="715" spans="1:8" ht="15.75" customHeight="1" x14ac:dyDescent="0.2">
      <c r="A715"/>
      <c r="C715" s="91"/>
      <c r="D715" s="91"/>
      <c r="E715" s="91"/>
      <c r="F715" s="91"/>
      <c r="G715" s="91"/>
      <c r="H715" s="91"/>
    </row>
    <row r="716" spans="1:8" ht="15.75" customHeight="1" x14ac:dyDescent="0.2">
      <c r="A716"/>
      <c r="C716" s="91"/>
      <c r="D716" s="91"/>
      <c r="E716" s="91"/>
      <c r="F716" s="91"/>
      <c r="G716" s="91"/>
      <c r="H716" s="91"/>
    </row>
    <row r="717" spans="1:8" ht="15.75" customHeight="1" x14ac:dyDescent="0.2">
      <c r="A717"/>
      <c r="C717" s="91"/>
      <c r="D717" s="91"/>
      <c r="E717" s="91"/>
      <c r="F717" s="91"/>
      <c r="G717" s="91"/>
      <c r="H717" s="91"/>
    </row>
    <row r="718" spans="1:8" ht="15.75" customHeight="1" x14ac:dyDescent="0.2">
      <c r="A718"/>
      <c r="C718" s="91"/>
      <c r="D718" s="91"/>
      <c r="E718" s="91"/>
      <c r="F718" s="91"/>
      <c r="G718" s="91"/>
      <c r="H718" s="91"/>
    </row>
    <row r="719" spans="1:8" ht="15.75" customHeight="1" x14ac:dyDescent="0.2">
      <c r="A719"/>
      <c r="C719" s="91"/>
      <c r="D719" s="91"/>
      <c r="E719" s="91"/>
      <c r="F719" s="91"/>
      <c r="G719" s="91"/>
      <c r="H719" s="91"/>
    </row>
    <row r="720" spans="1:8" ht="15.75" customHeight="1" x14ac:dyDescent="0.2">
      <c r="A720"/>
      <c r="C720" s="91"/>
      <c r="D720" s="91"/>
      <c r="E720" s="91"/>
      <c r="F720" s="91"/>
      <c r="G720" s="91"/>
      <c r="H720" s="91"/>
    </row>
    <row r="721" spans="1:8" ht="15.75" customHeight="1" x14ac:dyDescent="0.2">
      <c r="A721"/>
      <c r="C721" s="91"/>
      <c r="D721" s="91"/>
      <c r="E721" s="91"/>
      <c r="F721" s="91"/>
      <c r="G721" s="91"/>
      <c r="H721" s="91"/>
    </row>
    <row r="722" spans="1:8" ht="15.75" customHeight="1" x14ac:dyDescent="0.2">
      <c r="A722"/>
      <c r="C722" s="91"/>
      <c r="D722" s="91"/>
      <c r="E722" s="91"/>
      <c r="F722" s="91"/>
      <c r="G722" s="91"/>
      <c r="H722" s="91"/>
    </row>
    <row r="723" spans="1:8" ht="15.75" customHeight="1" x14ac:dyDescent="0.2">
      <c r="A723"/>
      <c r="C723" s="91"/>
      <c r="D723" s="91"/>
      <c r="E723" s="91"/>
      <c r="F723" s="91"/>
      <c r="G723" s="91"/>
      <c r="H723" s="91"/>
    </row>
    <row r="724" spans="1:8" ht="15.75" customHeight="1" x14ac:dyDescent="0.2">
      <c r="A724"/>
      <c r="C724" s="91"/>
      <c r="D724" s="91"/>
      <c r="E724" s="91"/>
      <c r="F724" s="91"/>
      <c r="G724" s="91"/>
      <c r="H724" s="91"/>
    </row>
    <row r="725" spans="1:8" ht="15.75" customHeight="1" x14ac:dyDescent="0.2">
      <c r="A725"/>
      <c r="C725" s="91"/>
      <c r="D725" s="91"/>
      <c r="E725" s="91"/>
      <c r="F725" s="91"/>
      <c r="G725" s="91"/>
      <c r="H725" s="91"/>
    </row>
    <row r="726" spans="1:8" ht="15.75" customHeight="1" x14ac:dyDescent="0.2">
      <c r="A726"/>
      <c r="C726" s="91"/>
      <c r="D726" s="91"/>
      <c r="E726" s="91"/>
      <c r="F726" s="91"/>
      <c r="G726" s="91"/>
      <c r="H726" s="91"/>
    </row>
    <row r="727" spans="1:8" ht="15.75" customHeight="1" x14ac:dyDescent="0.2">
      <c r="A727"/>
      <c r="C727" s="91"/>
      <c r="D727" s="91"/>
      <c r="E727" s="91"/>
      <c r="F727" s="91"/>
      <c r="G727" s="91"/>
      <c r="H727" s="91"/>
    </row>
    <row r="728" spans="1:8" ht="15.75" customHeight="1" x14ac:dyDescent="0.2">
      <c r="A728"/>
      <c r="C728" s="91"/>
      <c r="D728" s="91"/>
      <c r="E728" s="91"/>
      <c r="F728" s="91"/>
      <c r="G728" s="91"/>
      <c r="H728" s="91"/>
    </row>
    <row r="729" spans="1:8" ht="15.75" customHeight="1" x14ac:dyDescent="0.2">
      <c r="A729"/>
      <c r="C729" s="91"/>
      <c r="D729" s="91"/>
      <c r="E729" s="91"/>
      <c r="F729" s="91"/>
      <c r="G729" s="91"/>
      <c r="H729" s="91"/>
    </row>
    <row r="730" spans="1:8" ht="15.75" customHeight="1" x14ac:dyDescent="0.2">
      <c r="A730"/>
      <c r="C730" s="91"/>
      <c r="D730" s="91"/>
      <c r="E730" s="91"/>
      <c r="F730" s="91"/>
      <c r="G730" s="91"/>
      <c r="H730" s="91"/>
    </row>
    <row r="731" spans="1:8" ht="15.75" customHeight="1" x14ac:dyDescent="0.2">
      <c r="A731"/>
      <c r="C731" s="91"/>
      <c r="D731" s="91"/>
      <c r="E731" s="91"/>
      <c r="F731" s="91"/>
      <c r="G731" s="91"/>
      <c r="H731" s="91"/>
    </row>
    <row r="732" spans="1:8" ht="15.75" customHeight="1" x14ac:dyDescent="0.2">
      <c r="A732"/>
      <c r="C732" s="91"/>
      <c r="D732" s="91"/>
      <c r="E732" s="91"/>
      <c r="F732" s="91"/>
      <c r="G732" s="91"/>
      <c r="H732" s="91"/>
    </row>
    <row r="733" spans="1:8" ht="15.75" customHeight="1" x14ac:dyDescent="0.2">
      <c r="A733"/>
      <c r="C733" s="91"/>
      <c r="D733" s="91"/>
      <c r="E733" s="91"/>
      <c r="F733" s="91"/>
      <c r="G733" s="91"/>
      <c r="H733" s="91"/>
    </row>
    <row r="734" spans="1:8" ht="15.75" customHeight="1" x14ac:dyDescent="0.2">
      <c r="A734"/>
      <c r="C734" s="91"/>
      <c r="D734" s="91"/>
      <c r="E734" s="91"/>
      <c r="F734" s="91"/>
      <c r="G734" s="91"/>
      <c r="H734" s="91"/>
    </row>
    <row r="735" spans="1:8" ht="15.75" customHeight="1" x14ac:dyDescent="0.2">
      <c r="A735"/>
      <c r="C735" s="91"/>
      <c r="D735" s="91"/>
      <c r="E735" s="91"/>
      <c r="F735" s="91"/>
      <c r="G735" s="91"/>
      <c r="H735" s="91"/>
    </row>
    <row r="736" spans="1:8" ht="15.75" customHeight="1" x14ac:dyDescent="0.2">
      <c r="A736"/>
      <c r="C736" s="91"/>
      <c r="D736" s="91"/>
      <c r="E736" s="91"/>
      <c r="F736" s="91"/>
      <c r="G736" s="91"/>
      <c r="H736" s="91"/>
    </row>
    <row r="737" spans="1:8" ht="15.75" customHeight="1" x14ac:dyDescent="0.2">
      <c r="A737"/>
      <c r="C737" s="91"/>
      <c r="D737" s="91"/>
      <c r="E737" s="91"/>
      <c r="F737" s="91"/>
      <c r="G737" s="91"/>
      <c r="H737" s="91"/>
    </row>
    <row r="738" spans="1:8" ht="15.75" customHeight="1" x14ac:dyDescent="0.2">
      <c r="A738"/>
      <c r="C738" s="91"/>
      <c r="D738" s="91"/>
      <c r="E738" s="91"/>
      <c r="F738" s="91"/>
      <c r="G738" s="91"/>
      <c r="H738" s="91"/>
    </row>
    <row r="739" spans="1:8" ht="15.75" customHeight="1" x14ac:dyDescent="0.2">
      <c r="A739"/>
      <c r="C739" s="91"/>
      <c r="D739" s="91"/>
      <c r="E739" s="91"/>
      <c r="F739" s="91"/>
      <c r="G739" s="91"/>
      <c r="H739" s="91"/>
    </row>
    <row r="740" spans="1:8" ht="15.75" customHeight="1" x14ac:dyDescent="0.2">
      <c r="A740"/>
      <c r="C740" s="91"/>
      <c r="D740" s="91"/>
      <c r="E740" s="91"/>
      <c r="F740" s="91"/>
      <c r="G740" s="91"/>
      <c r="H740" s="91"/>
    </row>
    <row r="741" spans="1:8" ht="15.75" customHeight="1" x14ac:dyDescent="0.2">
      <c r="A741"/>
      <c r="C741" s="91"/>
      <c r="D741" s="91"/>
      <c r="E741" s="91"/>
      <c r="F741" s="91"/>
      <c r="G741" s="91"/>
      <c r="H741" s="91"/>
    </row>
    <row r="742" spans="1:8" ht="15.75" customHeight="1" x14ac:dyDescent="0.2">
      <c r="A742"/>
      <c r="C742" s="91"/>
      <c r="D742" s="91"/>
      <c r="E742" s="91"/>
      <c r="F742" s="91"/>
      <c r="G742" s="91"/>
      <c r="H742" s="91"/>
    </row>
    <row r="743" spans="1:8" ht="15.75" customHeight="1" x14ac:dyDescent="0.2">
      <c r="A743"/>
      <c r="C743" s="91"/>
      <c r="D743" s="91"/>
      <c r="E743" s="91"/>
      <c r="F743" s="91"/>
      <c r="G743" s="91"/>
      <c r="H743" s="91"/>
    </row>
    <row r="744" spans="1:8" ht="15.75" customHeight="1" x14ac:dyDescent="0.2">
      <c r="A744"/>
      <c r="C744" s="91"/>
      <c r="D744" s="91"/>
      <c r="E744" s="91"/>
      <c r="F744" s="91"/>
      <c r="G744" s="91"/>
      <c r="H744" s="91"/>
    </row>
    <row r="745" spans="1:8" ht="15.75" customHeight="1" x14ac:dyDescent="0.2">
      <c r="A745"/>
      <c r="C745" s="91"/>
      <c r="D745" s="91"/>
      <c r="E745" s="91"/>
      <c r="F745" s="91"/>
      <c r="G745" s="91"/>
      <c r="H745" s="91"/>
    </row>
    <row r="746" spans="1:8" ht="15.75" customHeight="1" x14ac:dyDescent="0.2">
      <c r="A746"/>
      <c r="C746" s="91"/>
      <c r="D746" s="91"/>
      <c r="E746" s="91"/>
      <c r="F746" s="91"/>
      <c r="G746" s="91"/>
      <c r="H746" s="91"/>
    </row>
  </sheetData>
  <mergeCells count="4">
    <mergeCell ref="A2:H2"/>
    <mergeCell ref="A3:H3"/>
    <mergeCell ref="I38:T38"/>
    <mergeCell ref="I41:P41"/>
  </mergeCells>
  <pageMargins left="1.2204724409448819" right="0.15748031496062992" top="0.15748031496062992" bottom="0.15748031496062992" header="0.15748031496062992" footer="0.15748031496062992"/>
  <pageSetup paperSize="9" scale="7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41"/>
  <sheetViews>
    <sheetView topLeftCell="A16" zoomScaleNormal="100" workbookViewId="0">
      <selection activeCell="P3" sqref="P3"/>
    </sheetView>
  </sheetViews>
  <sheetFormatPr defaultRowHeight="15" x14ac:dyDescent="0.25"/>
  <cols>
    <col min="1" max="1" width="21.140625" style="538" customWidth="1"/>
    <col min="2" max="2" width="10.28515625" style="538" customWidth="1"/>
    <col min="3" max="4" width="10.42578125" style="538" customWidth="1"/>
    <col min="5" max="5" width="9.7109375" style="538" customWidth="1"/>
    <col min="6" max="6" width="9.42578125" style="538" customWidth="1"/>
    <col min="7" max="7" width="9.85546875" style="538" customWidth="1"/>
    <col min="8" max="8" width="10.28515625" style="538" customWidth="1"/>
    <col min="9" max="9" width="9.7109375" style="538" customWidth="1"/>
    <col min="10" max="10" width="9.85546875" style="538" customWidth="1"/>
    <col min="11" max="11" width="10.42578125" style="538" customWidth="1"/>
    <col min="12" max="12" width="9" style="538" customWidth="1"/>
    <col min="13" max="13" width="9.85546875" style="538" customWidth="1"/>
    <col min="14" max="14" width="10.7109375" style="538" customWidth="1"/>
    <col min="15" max="15" width="9.7109375" style="538" customWidth="1"/>
    <col min="16" max="16" width="11.28515625" style="538" customWidth="1"/>
    <col min="17" max="16384" width="9.140625" style="538"/>
  </cols>
  <sheetData>
    <row r="1" spans="1:20" ht="15.75" x14ac:dyDescent="0.25">
      <c r="A1" s="1107" t="s">
        <v>763</v>
      </c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7"/>
      <c r="M1" s="1107"/>
      <c r="N1" s="1107"/>
      <c r="O1" s="1107"/>
      <c r="P1" s="1107"/>
    </row>
    <row r="2" spans="1:20" x14ac:dyDescent="0.25">
      <c r="A2" s="539"/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98" t="s">
        <v>858</v>
      </c>
    </row>
    <row r="3" spans="1:20" ht="15" customHeight="1" x14ac:dyDescent="0.25">
      <c r="A3" s="540" t="s">
        <v>764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1:20" x14ac:dyDescent="0.25">
      <c r="A4" s="540" t="s">
        <v>765</v>
      </c>
    </row>
    <row r="5" spans="1:20" x14ac:dyDescent="0.25">
      <c r="A5" s="540" t="s">
        <v>766</v>
      </c>
    </row>
    <row r="6" spans="1:20" x14ac:dyDescent="0.25">
      <c r="A6" s="540" t="s">
        <v>767</v>
      </c>
    </row>
    <row r="7" spans="1:20" ht="15.75" thickBot="1" x14ac:dyDescent="0.3"/>
    <row r="8" spans="1:20" x14ac:dyDescent="0.25">
      <c r="A8" s="1108" t="s">
        <v>768</v>
      </c>
      <c r="B8" s="1110" t="s">
        <v>769</v>
      </c>
      <c r="C8" s="1111"/>
      <c r="D8" s="1112"/>
      <c r="E8" s="1110" t="s">
        <v>770</v>
      </c>
      <c r="F8" s="1111"/>
      <c r="G8" s="1112"/>
      <c r="H8" s="1110" t="s">
        <v>771</v>
      </c>
      <c r="I8" s="1111"/>
      <c r="J8" s="1112"/>
      <c r="K8" s="1110" t="s">
        <v>772</v>
      </c>
      <c r="L8" s="1111"/>
      <c r="M8" s="1112"/>
      <c r="N8" s="1113" t="s">
        <v>47</v>
      </c>
      <c r="O8" s="1113"/>
      <c r="P8" s="1114"/>
      <c r="Q8" s="542"/>
      <c r="R8" s="542"/>
      <c r="S8" s="542"/>
    </row>
    <row r="9" spans="1:20" ht="15.75" thickBot="1" x14ac:dyDescent="0.3">
      <c r="A9" s="1109"/>
      <c r="B9" s="543" t="s">
        <v>773</v>
      </c>
      <c r="C9" s="543" t="s">
        <v>774</v>
      </c>
      <c r="D9" s="543" t="s">
        <v>775</v>
      </c>
      <c r="E9" s="543" t="s">
        <v>773</v>
      </c>
      <c r="F9" s="543" t="s">
        <v>774</v>
      </c>
      <c r="G9" s="543" t="s">
        <v>775</v>
      </c>
      <c r="H9" s="543" t="s">
        <v>773</v>
      </c>
      <c r="I9" s="543" t="s">
        <v>774</v>
      </c>
      <c r="J9" s="543" t="s">
        <v>775</v>
      </c>
      <c r="K9" s="543" t="s">
        <v>773</v>
      </c>
      <c r="L9" s="543" t="s">
        <v>774</v>
      </c>
      <c r="M9" s="543" t="s">
        <v>775</v>
      </c>
      <c r="N9" s="543" t="s">
        <v>773</v>
      </c>
      <c r="O9" s="543" t="s">
        <v>774</v>
      </c>
      <c r="P9" s="544" t="s">
        <v>775</v>
      </c>
    </row>
    <row r="10" spans="1:20" x14ac:dyDescent="0.25">
      <c r="A10" s="545" t="s">
        <v>776</v>
      </c>
      <c r="B10" s="546">
        <v>3472866</v>
      </c>
      <c r="C10" s="546">
        <v>937674</v>
      </c>
      <c r="D10" s="546">
        <f>SUM(B10:C10)</f>
        <v>4410540</v>
      </c>
      <c r="E10" s="546">
        <v>7725555</v>
      </c>
      <c r="F10" s="546">
        <v>2085900</v>
      </c>
      <c r="G10" s="546">
        <f>SUM(E10:F10)</f>
        <v>9811455</v>
      </c>
      <c r="H10" s="546">
        <v>52964743</v>
      </c>
      <c r="I10" s="546">
        <v>14300481</v>
      </c>
      <c r="J10" s="546">
        <f>SUM(H10:I10)</f>
        <v>67265224</v>
      </c>
      <c r="K10" s="546">
        <v>32800000</v>
      </c>
      <c r="L10" s="546">
        <v>8856000</v>
      </c>
      <c r="M10" s="546">
        <f>SUM(K10:L10)</f>
        <v>41656000</v>
      </c>
      <c r="N10" s="546">
        <f>SUM(K10+H10+E10+B10)</f>
        <v>96963164</v>
      </c>
      <c r="O10" s="546">
        <f>SUM(L10+I10+F10+C10)</f>
        <v>26180055</v>
      </c>
      <c r="P10" s="546">
        <f>SUM(M10+J10+G10+D10)</f>
        <v>123143219</v>
      </c>
      <c r="Q10" s="547"/>
      <c r="R10" s="547"/>
      <c r="S10" s="547"/>
      <c r="T10" s="547"/>
    </row>
    <row r="11" spans="1:20" x14ac:dyDescent="0.25">
      <c r="A11" s="545" t="s">
        <v>776</v>
      </c>
      <c r="B11" s="548">
        <v>430635392</v>
      </c>
      <c r="C11" s="548">
        <v>116271555</v>
      </c>
      <c r="D11" s="548">
        <f t="shared" ref="D11:D25" si="0">SUM(B11:C11)</f>
        <v>546906947</v>
      </c>
      <c r="E11" s="548">
        <v>3282500</v>
      </c>
      <c r="F11" s="548">
        <v>886275</v>
      </c>
      <c r="G11" s="548">
        <f t="shared" ref="G11:G25" si="1">SUM(E11:F11)</f>
        <v>4168775</v>
      </c>
      <c r="H11" s="548">
        <v>11795100</v>
      </c>
      <c r="I11" s="548">
        <v>3184676</v>
      </c>
      <c r="J11" s="548">
        <f t="shared" ref="J11:J25" si="2">SUM(H11:I11)</f>
        <v>14979776</v>
      </c>
      <c r="K11" s="548">
        <v>45872441</v>
      </c>
      <c r="L11" s="548">
        <v>12385559</v>
      </c>
      <c r="M11" s="548">
        <f t="shared" ref="M11:M25" si="3">SUM(K11:L11)</f>
        <v>58258000</v>
      </c>
      <c r="N11" s="548">
        <f t="shared" ref="N11:N25" si="4">SUM(K11+H11+E11+B11)</f>
        <v>491585433</v>
      </c>
      <c r="O11" s="548">
        <f t="shared" ref="O11:O25" si="5">SUM(L11+I11+F11+C11)</f>
        <v>132728065</v>
      </c>
      <c r="P11" s="548">
        <f t="shared" ref="P11:P25" si="6">SUM(M11+J11+G11+D11)</f>
        <v>624313498</v>
      </c>
      <c r="Q11" s="547"/>
      <c r="R11" s="547"/>
      <c r="S11" s="547"/>
      <c r="T11" s="547"/>
    </row>
    <row r="12" spans="1:20" x14ac:dyDescent="0.25">
      <c r="A12" s="545" t="s">
        <v>776</v>
      </c>
      <c r="B12" s="548">
        <v>13891465</v>
      </c>
      <c r="C12" s="548">
        <v>3750695</v>
      </c>
      <c r="D12" s="548">
        <f t="shared" si="0"/>
        <v>17642160</v>
      </c>
      <c r="E12" s="548">
        <v>56551000</v>
      </c>
      <c r="F12" s="548">
        <v>15268770</v>
      </c>
      <c r="G12" s="548">
        <f t="shared" si="1"/>
        <v>71819770</v>
      </c>
      <c r="H12" s="548">
        <v>9500000</v>
      </c>
      <c r="I12" s="548">
        <v>2565000</v>
      </c>
      <c r="J12" s="548">
        <f t="shared" si="2"/>
        <v>12065000</v>
      </c>
      <c r="K12" s="548">
        <v>48540158</v>
      </c>
      <c r="L12" s="548">
        <v>13105842</v>
      </c>
      <c r="M12" s="548">
        <f t="shared" si="3"/>
        <v>61646000</v>
      </c>
      <c r="N12" s="548">
        <f t="shared" si="4"/>
        <v>128482623</v>
      </c>
      <c r="O12" s="548">
        <f t="shared" si="5"/>
        <v>34690307</v>
      </c>
      <c r="P12" s="548">
        <f t="shared" si="6"/>
        <v>163172930</v>
      </c>
      <c r="Q12" s="547"/>
      <c r="R12" s="547"/>
      <c r="S12" s="547"/>
      <c r="T12" s="547"/>
    </row>
    <row r="13" spans="1:20" x14ac:dyDescent="0.25">
      <c r="A13" s="545" t="s">
        <v>776</v>
      </c>
      <c r="B13" s="548">
        <v>23181381</v>
      </c>
      <c r="C13" s="548">
        <v>6258972</v>
      </c>
      <c r="D13" s="548">
        <f t="shared" si="0"/>
        <v>29440353</v>
      </c>
      <c r="E13" s="548">
        <v>0</v>
      </c>
      <c r="F13" s="548">
        <v>0</v>
      </c>
      <c r="G13" s="548">
        <f t="shared" si="1"/>
        <v>0</v>
      </c>
      <c r="H13" s="548">
        <v>22000000</v>
      </c>
      <c r="I13" s="548">
        <v>5940000</v>
      </c>
      <c r="J13" s="548">
        <f t="shared" si="2"/>
        <v>27940000</v>
      </c>
      <c r="K13" s="548">
        <v>8500000</v>
      </c>
      <c r="L13" s="548">
        <v>2295000</v>
      </c>
      <c r="M13" s="548">
        <f t="shared" si="3"/>
        <v>10795000</v>
      </c>
      <c r="N13" s="548">
        <f t="shared" si="4"/>
        <v>53681381</v>
      </c>
      <c r="O13" s="548">
        <f t="shared" si="5"/>
        <v>14493972</v>
      </c>
      <c r="P13" s="548">
        <f t="shared" si="6"/>
        <v>68175353</v>
      </c>
      <c r="Q13" s="547"/>
      <c r="R13" s="547"/>
      <c r="S13" s="547"/>
      <c r="T13" s="547"/>
    </row>
    <row r="14" spans="1:20" x14ac:dyDescent="0.25">
      <c r="A14" s="549" t="s">
        <v>776</v>
      </c>
      <c r="B14" s="550">
        <v>0</v>
      </c>
      <c r="C14" s="550">
        <v>0</v>
      </c>
      <c r="D14" s="550">
        <f t="shared" si="0"/>
        <v>0</v>
      </c>
      <c r="E14" s="550">
        <v>0</v>
      </c>
      <c r="F14" s="550">
        <v>0</v>
      </c>
      <c r="G14" s="550">
        <f t="shared" si="1"/>
        <v>0</v>
      </c>
      <c r="H14" s="550">
        <v>0</v>
      </c>
      <c r="I14" s="550">
        <v>0</v>
      </c>
      <c r="J14" s="550">
        <f t="shared" si="2"/>
        <v>0</v>
      </c>
      <c r="K14" s="550">
        <v>31842520</v>
      </c>
      <c r="L14" s="550">
        <v>8597480</v>
      </c>
      <c r="M14" s="551">
        <f t="shared" si="3"/>
        <v>40440000</v>
      </c>
      <c r="N14" s="551">
        <f t="shared" si="4"/>
        <v>31842520</v>
      </c>
      <c r="O14" s="551">
        <f t="shared" si="5"/>
        <v>8597480</v>
      </c>
      <c r="P14" s="551">
        <f t="shared" si="6"/>
        <v>40440000</v>
      </c>
      <c r="Q14" s="547"/>
      <c r="R14" s="547"/>
      <c r="S14" s="547"/>
      <c r="T14" s="547"/>
    </row>
    <row r="15" spans="1:20" x14ac:dyDescent="0.25">
      <c r="A15" s="552" t="s">
        <v>777</v>
      </c>
      <c r="B15" s="553">
        <f>SUM(B10:B14)</f>
        <v>471181104</v>
      </c>
      <c r="C15" s="553">
        <f>SUM(C10:C14)</f>
        <v>127218896</v>
      </c>
      <c r="D15" s="553">
        <f>SUM(D10:D14)</f>
        <v>598400000</v>
      </c>
      <c r="E15" s="553">
        <f t="shared" ref="E15:P15" si="7">SUM(E10:E14)</f>
        <v>67559055</v>
      </c>
      <c r="F15" s="553">
        <f t="shared" si="7"/>
        <v>18240945</v>
      </c>
      <c r="G15" s="553">
        <f t="shared" si="7"/>
        <v>85800000</v>
      </c>
      <c r="H15" s="553">
        <f t="shared" si="7"/>
        <v>96259843</v>
      </c>
      <c r="I15" s="553">
        <f t="shared" si="7"/>
        <v>25990157</v>
      </c>
      <c r="J15" s="553">
        <f t="shared" si="7"/>
        <v>122250000</v>
      </c>
      <c r="K15" s="553">
        <f t="shared" si="7"/>
        <v>167555119</v>
      </c>
      <c r="L15" s="553">
        <f t="shared" si="7"/>
        <v>45239881</v>
      </c>
      <c r="M15" s="553">
        <f t="shared" si="7"/>
        <v>212795000</v>
      </c>
      <c r="N15" s="553">
        <f t="shared" si="7"/>
        <v>802555121</v>
      </c>
      <c r="O15" s="553">
        <f t="shared" si="7"/>
        <v>216689879</v>
      </c>
      <c r="P15" s="553">
        <f t="shared" si="7"/>
        <v>1019245000</v>
      </c>
      <c r="Q15" s="547"/>
      <c r="R15" s="547"/>
      <c r="S15" s="547"/>
      <c r="T15" s="547"/>
    </row>
    <row r="16" spans="1:20" x14ac:dyDescent="0.25">
      <c r="A16" s="554" t="s">
        <v>778</v>
      </c>
      <c r="B16" s="555">
        <v>0</v>
      </c>
      <c r="C16" s="555">
        <v>0</v>
      </c>
      <c r="D16" s="555">
        <f t="shared" si="0"/>
        <v>0</v>
      </c>
      <c r="E16" s="555">
        <v>9448819</v>
      </c>
      <c r="F16" s="555">
        <v>2551181</v>
      </c>
      <c r="G16" s="555">
        <f t="shared" si="1"/>
        <v>12000000</v>
      </c>
      <c r="H16" s="555">
        <v>0</v>
      </c>
      <c r="I16" s="555">
        <v>0</v>
      </c>
      <c r="J16" s="555">
        <f t="shared" si="2"/>
        <v>0</v>
      </c>
      <c r="K16" s="555">
        <v>0</v>
      </c>
      <c r="L16" s="555">
        <v>0</v>
      </c>
      <c r="M16" s="555">
        <f t="shared" si="3"/>
        <v>0</v>
      </c>
      <c r="N16" s="548">
        <f t="shared" si="4"/>
        <v>9448819</v>
      </c>
      <c r="O16" s="548">
        <f t="shared" si="5"/>
        <v>2551181</v>
      </c>
      <c r="P16" s="548">
        <f t="shared" si="6"/>
        <v>12000000</v>
      </c>
      <c r="Q16" s="547"/>
      <c r="R16" s="547"/>
      <c r="S16" s="547"/>
      <c r="T16" s="547"/>
    </row>
    <row r="17" spans="1:21" x14ac:dyDescent="0.25">
      <c r="A17" s="556" t="s">
        <v>779</v>
      </c>
      <c r="B17" s="1103">
        <f>6521654-2100000</f>
        <v>4421654</v>
      </c>
      <c r="C17" s="1103">
        <f>7228346-5467500-567000</f>
        <v>1193846</v>
      </c>
      <c r="D17" s="557">
        <f t="shared" si="0"/>
        <v>5615500</v>
      </c>
      <c r="E17" s="1103">
        <v>779528</v>
      </c>
      <c r="F17" s="1103">
        <v>210472</v>
      </c>
      <c r="G17" s="557">
        <f t="shared" si="1"/>
        <v>990000</v>
      </c>
      <c r="H17" s="1103">
        <f>4724410-3550000</f>
        <v>1174410</v>
      </c>
      <c r="I17" s="1103">
        <f>1275590-958500</f>
        <v>317090</v>
      </c>
      <c r="J17" s="557">
        <f t="shared" si="2"/>
        <v>1491500</v>
      </c>
      <c r="K17" s="1103">
        <v>8661417</v>
      </c>
      <c r="L17" s="1103">
        <v>2338583</v>
      </c>
      <c r="M17" s="557">
        <f t="shared" si="3"/>
        <v>11000000</v>
      </c>
      <c r="N17" s="546">
        <f t="shared" si="4"/>
        <v>15037009</v>
      </c>
      <c r="O17" s="546">
        <f t="shared" si="5"/>
        <v>4059991</v>
      </c>
      <c r="P17" s="546">
        <f t="shared" si="6"/>
        <v>19097000</v>
      </c>
      <c r="Q17" s="547"/>
      <c r="R17" s="547"/>
      <c r="S17" s="547"/>
      <c r="T17" s="547"/>
    </row>
    <row r="18" spans="1:21" x14ac:dyDescent="0.25">
      <c r="A18" s="558" t="s">
        <v>780</v>
      </c>
      <c r="B18" s="1104"/>
      <c r="C18" s="1104"/>
      <c r="D18" s="559">
        <f t="shared" si="0"/>
        <v>0</v>
      </c>
      <c r="E18" s="1104"/>
      <c r="F18" s="1104"/>
      <c r="G18" s="559">
        <f t="shared" si="1"/>
        <v>0</v>
      </c>
      <c r="H18" s="1104"/>
      <c r="I18" s="1104"/>
      <c r="J18" s="559">
        <f t="shared" si="2"/>
        <v>0</v>
      </c>
      <c r="K18" s="1104"/>
      <c r="L18" s="1104"/>
      <c r="M18" s="559">
        <f t="shared" si="3"/>
        <v>0</v>
      </c>
      <c r="N18" s="548">
        <f t="shared" si="4"/>
        <v>0</v>
      </c>
      <c r="O18" s="548">
        <f t="shared" si="5"/>
        <v>0</v>
      </c>
      <c r="P18" s="548">
        <f t="shared" si="6"/>
        <v>0</v>
      </c>
      <c r="Q18" s="560"/>
      <c r="R18" s="560"/>
      <c r="S18" s="560"/>
      <c r="T18" s="560"/>
    </row>
    <row r="19" spans="1:21" x14ac:dyDescent="0.25">
      <c r="A19" s="558" t="s">
        <v>781</v>
      </c>
      <c r="B19" s="559">
        <v>20250000</v>
      </c>
      <c r="C19" s="559">
        <v>5467500</v>
      </c>
      <c r="D19" s="559">
        <f t="shared" si="0"/>
        <v>25717500</v>
      </c>
      <c r="E19" s="559">
        <v>3000000</v>
      </c>
      <c r="F19" s="559">
        <v>810000</v>
      </c>
      <c r="G19" s="559">
        <f t="shared" si="1"/>
        <v>3810000</v>
      </c>
      <c r="H19" s="559">
        <v>3550000</v>
      </c>
      <c r="I19" s="559">
        <v>958500</v>
      </c>
      <c r="J19" s="559">
        <f t="shared" si="2"/>
        <v>4508500</v>
      </c>
      <c r="K19" s="1104"/>
      <c r="L19" s="1104"/>
      <c r="M19" s="559">
        <f t="shared" si="3"/>
        <v>0</v>
      </c>
      <c r="N19" s="548">
        <f t="shared" si="4"/>
        <v>26800000</v>
      </c>
      <c r="O19" s="548">
        <f t="shared" si="5"/>
        <v>7236000</v>
      </c>
      <c r="P19" s="548">
        <f t="shared" si="6"/>
        <v>34036000</v>
      </c>
      <c r="Q19" s="560"/>
      <c r="R19" s="560"/>
      <c r="S19" s="560"/>
      <c r="T19" s="560"/>
    </row>
    <row r="20" spans="1:21" x14ac:dyDescent="0.25">
      <c r="A20" s="558" t="s">
        <v>782</v>
      </c>
      <c r="B20" s="559">
        <v>5354331</v>
      </c>
      <c r="C20" s="559">
        <v>1445669</v>
      </c>
      <c r="D20" s="559">
        <f t="shared" si="0"/>
        <v>6800000</v>
      </c>
      <c r="E20" s="559">
        <v>944882</v>
      </c>
      <c r="F20" s="559">
        <v>255118</v>
      </c>
      <c r="G20" s="559">
        <f t="shared" si="1"/>
        <v>1200000</v>
      </c>
      <c r="H20" s="559">
        <v>1181102</v>
      </c>
      <c r="I20" s="559">
        <v>318898</v>
      </c>
      <c r="J20" s="559">
        <f t="shared" si="2"/>
        <v>1500000</v>
      </c>
      <c r="K20" s="559">
        <v>1732283</v>
      </c>
      <c r="L20" s="559">
        <v>467716</v>
      </c>
      <c r="M20" s="559">
        <f t="shared" si="3"/>
        <v>2199999</v>
      </c>
      <c r="N20" s="548">
        <f t="shared" si="4"/>
        <v>9212598</v>
      </c>
      <c r="O20" s="548">
        <f t="shared" si="5"/>
        <v>2487401</v>
      </c>
      <c r="P20" s="548">
        <f t="shared" si="6"/>
        <v>11699999</v>
      </c>
      <c r="Q20" s="560"/>
      <c r="R20" s="560"/>
      <c r="S20" s="560"/>
      <c r="T20" s="560"/>
    </row>
    <row r="21" spans="1:21" x14ac:dyDescent="0.25">
      <c r="A21" s="558" t="s">
        <v>783</v>
      </c>
      <c r="B21" s="559">
        <v>5354331</v>
      </c>
      <c r="C21" s="559">
        <v>1445669</v>
      </c>
      <c r="D21" s="559">
        <f t="shared" si="0"/>
        <v>6800000</v>
      </c>
      <c r="E21" s="559">
        <v>944882</v>
      </c>
      <c r="F21" s="559">
        <f>(E21*0.27)</f>
        <v>255118.14</v>
      </c>
      <c r="G21" s="559">
        <f>SUM(E21:F21)</f>
        <v>1200000.1400000001</v>
      </c>
      <c r="H21" s="559">
        <v>1200000</v>
      </c>
      <c r="I21" s="559">
        <v>300000</v>
      </c>
      <c r="J21" s="559">
        <f t="shared" si="2"/>
        <v>1500000</v>
      </c>
      <c r="K21" s="559">
        <v>1732283</v>
      </c>
      <c r="L21" s="559">
        <v>467716</v>
      </c>
      <c r="M21" s="559">
        <f t="shared" si="3"/>
        <v>2199999</v>
      </c>
      <c r="N21" s="548">
        <f t="shared" si="4"/>
        <v>9231496</v>
      </c>
      <c r="O21" s="548">
        <f t="shared" si="5"/>
        <v>2468503.14</v>
      </c>
      <c r="P21" s="548">
        <f t="shared" si="6"/>
        <v>11699999.140000001</v>
      </c>
      <c r="Q21" s="560"/>
      <c r="R21" s="560"/>
      <c r="S21" s="560"/>
      <c r="T21" s="560"/>
    </row>
    <row r="22" spans="1:21" x14ac:dyDescent="0.25">
      <c r="A22" s="558" t="s">
        <v>784</v>
      </c>
      <c r="B22" s="559">
        <v>2677165</v>
      </c>
      <c r="C22" s="559">
        <v>722835</v>
      </c>
      <c r="D22" s="559">
        <f t="shared" si="0"/>
        <v>3400000</v>
      </c>
      <c r="E22" s="559">
        <v>472441</v>
      </c>
      <c r="F22" s="559">
        <f>(E22*0.27)</f>
        <v>127559.07</v>
      </c>
      <c r="G22" s="559">
        <f>SUM(E22:F22)</f>
        <v>600000.07000000007</v>
      </c>
      <c r="H22" s="559">
        <v>590551</v>
      </c>
      <c r="I22" s="559">
        <f>(H22*0.27)</f>
        <v>159448.77000000002</v>
      </c>
      <c r="J22" s="559">
        <f t="shared" si="2"/>
        <v>749999.77</v>
      </c>
      <c r="K22" s="559">
        <v>130000</v>
      </c>
      <c r="L22" s="559">
        <v>35100</v>
      </c>
      <c r="M22" s="559">
        <f t="shared" si="3"/>
        <v>165100</v>
      </c>
      <c r="N22" s="548">
        <f t="shared" si="4"/>
        <v>3870157</v>
      </c>
      <c r="O22" s="548">
        <f t="shared" si="5"/>
        <v>1044942.8400000001</v>
      </c>
      <c r="P22" s="548">
        <f t="shared" si="6"/>
        <v>4915099.84</v>
      </c>
      <c r="Q22" s="560"/>
      <c r="R22" s="560"/>
      <c r="S22" s="560"/>
      <c r="T22" s="560"/>
    </row>
    <row r="23" spans="1:21" x14ac:dyDescent="0.25">
      <c r="A23" s="561" t="s">
        <v>785</v>
      </c>
      <c r="B23" s="559">
        <v>2100000</v>
      </c>
      <c r="C23" s="559">
        <v>567000</v>
      </c>
      <c r="D23" s="559">
        <f t="shared" si="0"/>
        <v>2667000</v>
      </c>
      <c r="E23" s="559">
        <v>0</v>
      </c>
      <c r="F23" s="559">
        <v>0</v>
      </c>
      <c r="G23" s="559">
        <f t="shared" si="1"/>
        <v>0</v>
      </c>
      <c r="H23" s="559">
        <v>0</v>
      </c>
      <c r="I23" s="559">
        <v>0</v>
      </c>
      <c r="J23" s="559">
        <f t="shared" si="2"/>
        <v>0</v>
      </c>
      <c r="K23" s="559">
        <v>0</v>
      </c>
      <c r="L23" s="559">
        <v>0</v>
      </c>
      <c r="M23" s="559">
        <f t="shared" si="3"/>
        <v>0</v>
      </c>
      <c r="N23" s="548">
        <f t="shared" si="4"/>
        <v>2100000</v>
      </c>
      <c r="O23" s="548">
        <f t="shared" si="5"/>
        <v>567000</v>
      </c>
      <c r="P23" s="548">
        <f t="shared" si="6"/>
        <v>2667000</v>
      </c>
      <c r="Q23" s="547"/>
      <c r="R23" s="547"/>
      <c r="S23" s="547"/>
      <c r="T23" s="547"/>
    </row>
    <row r="24" spans="1:21" x14ac:dyDescent="0.25">
      <c r="A24" s="562" t="s">
        <v>786</v>
      </c>
      <c r="B24" s="559">
        <v>0</v>
      </c>
      <c r="C24" s="559">
        <v>0</v>
      </c>
      <c r="D24" s="559">
        <f t="shared" si="0"/>
        <v>0</v>
      </c>
      <c r="E24" s="559">
        <v>472441</v>
      </c>
      <c r="F24" s="559">
        <v>127559</v>
      </c>
      <c r="G24" s="559">
        <f t="shared" si="1"/>
        <v>600000</v>
      </c>
      <c r="H24" s="559">
        <v>590551</v>
      </c>
      <c r="I24" s="559">
        <v>159449</v>
      </c>
      <c r="J24" s="559">
        <f t="shared" si="2"/>
        <v>750000</v>
      </c>
      <c r="K24" s="559">
        <v>0</v>
      </c>
      <c r="L24" s="559">
        <v>0</v>
      </c>
      <c r="M24" s="559">
        <f t="shared" si="3"/>
        <v>0</v>
      </c>
      <c r="N24" s="548">
        <f t="shared" si="4"/>
        <v>1062992</v>
      </c>
      <c r="O24" s="548">
        <f t="shared" si="5"/>
        <v>287008</v>
      </c>
      <c r="P24" s="548">
        <f t="shared" si="6"/>
        <v>1350000</v>
      </c>
      <c r="Q24" s="547"/>
      <c r="R24" s="547"/>
      <c r="S24" s="547"/>
      <c r="T24" s="547"/>
    </row>
    <row r="25" spans="1:21" ht="24.75" x14ac:dyDescent="0.25">
      <c r="A25" s="562" t="s">
        <v>787</v>
      </c>
      <c r="B25" s="559">
        <v>0</v>
      </c>
      <c r="C25" s="559">
        <v>0</v>
      </c>
      <c r="D25" s="559">
        <f t="shared" si="0"/>
        <v>0</v>
      </c>
      <c r="E25" s="559">
        <v>0</v>
      </c>
      <c r="F25" s="559">
        <v>0</v>
      </c>
      <c r="G25" s="559">
        <f t="shared" si="1"/>
        <v>0</v>
      </c>
      <c r="H25" s="559">
        <v>0</v>
      </c>
      <c r="I25" s="559">
        <v>0</v>
      </c>
      <c r="J25" s="559">
        <f t="shared" si="2"/>
        <v>0</v>
      </c>
      <c r="K25" s="559">
        <v>100000</v>
      </c>
      <c r="L25" s="559">
        <v>27000</v>
      </c>
      <c r="M25" s="559">
        <f t="shared" si="3"/>
        <v>127000</v>
      </c>
      <c r="N25" s="548">
        <f t="shared" si="4"/>
        <v>100000</v>
      </c>
      <c r="O25" s="548">
        <f t="shared" si="5"/>
        <v>27000</v>
      </c>
      <c r="P25" s="548">
        <f t="shared" si="6"/>
        <v>127000</v>
      </c>
      <c r="Q25" s="560"/>
      <c r="R25" s="560"/>
      <c r="S25" s="560"/>
      <c r="T25" s="560"/>
    </row>
    <row r="26" spans="1:21" ht="24" x14ac:dyDescent="0.25">
      <c r="A26" s="563" t="s">
        <v>788</v>
      </c>
      <c r="B26" s="559">
        <v>10708662</v>
      </c>
      <c r="C26" s="559">
        <v>2891338</v>
      </c>
      <c r="D26" s="559">
        <f>SUM(B26:C26)</f>
        <v>13600000</v>
      </c>
      <c r="E26" s="559">
        <v>7559055</v>
      </c>
      <c r="F26" s="559">
        <f>(E26*0.27)</f>
        <v>2040944.85</v>
      </c>
      <c r="G26" s="559">
        <f>SUM(E26:F26)</f>
        <v>9599999.8499999996</v>
      </c>
      <c r="H26" s="559">
        <v>9448819</v>
      </c>
      <c r="I26" s="559">
        <f>(H26*0.27)</f>
        <v>2551181.1300000004</v>
      </c>
      <c r="J26" s="559">
        <f>SUM(H26:I26)</f>
        <v>12000000.130000001</v>
      </c>
      <c r="K26" s="559">
        <v>636142</v>
      </c>
      <c r="L26" s="559">
        <v>171758</v>
      </c>
      <c r="M26" s="559">
        <f>SUM(K26:L26)</f>
        <v>807900</v>
      </c>
      <c r="N26" s="548">
        <f>SUM(K26+H26+E26+B26)</f>
        <v>28352678</v>
      </c>
      <c r="O26" s="548">
        <f>SUM(L26+I26+F26+C26)</f>
        <v>7655221.9800000004</v>
      </c>
      <c r="P26" s="548">
        <f>SUM(M26+J26+G26+D26)</f>
        <v>36007899.980000004</v>
      </c>
      <c r="Q26" s="560"/>
      <c r="R26" s="560"/>
      <c r="S26" s="560"/>
      <c r="T26" s="560"/>
    </row>
    <row r="27" spans="1:21" x14ac:dyDescent="0.25">
      <c r="A27" s="564" t="s">
        <v>31</v>
      </c>
      <c r="B27" s="565">
        <f>SUM(B17:B26)</f>
        <v>50866143</v>
      </c>
      <c r="C27" s="565">
        <f>SUM(C17:C26)</f>
        <v>13733857</v>
      </c>
      <c r="D27" s="565">
        <f t="shared" ref="D27:P27" si="8">SUM(D17:D26)</f>
        <v>64600000</v>
      </c>
      <c r="E27" s="565">
        <f t="shared" si="8"/>
        <v>14173229</v>
      </c>
      <c r="F27" s="565">
        <f t="shared" si="8"/>
        <v>3826771.0600000005</v>
      </c>
      <c r="G27" s="565">
        <f t="shared" si="8"/>
        <v>18000000.060000002</v>
      </c>
      <c r="H27" s="565">
        <f t="shared" si="8"/>
        <v>17735433</v>
      </c>
      <c r="I27" s="565">
        <f t="shared" si="8"/>
        <v>4764566.9000000004</v>
      </c>
      <c r="J27" s="565">
        <f t="shared" si="8"/>
        <v>22499999.899999999</v>
      </c>
      <c r="K27" s="565">
        <f t="shared" si="8"/>
        <v>12992125</v>
      </c>
      <c r="L27" s="565">
        <f t="shared" si="8"/>
        <v>3507873</v>
      </c>
      <c r="M27" s="565">
        <f t="shared" si="8"/>
        <v>16499998</v>
      </c>
      <c r="N27" s="565">
        <f t="shared" si="8"/>
        <v>95766930</v>
      </c>
      <c r="O27" s="565">
        <f t="shared" si="8"/>
        <v>25833067.960000001</v>
      </c>
      <c r="P27" s="565">
        <f t="shared" si="8"/>
        <v>121599997.96000001</v>
      </c>
      <c r="Q27" s="560"/>
      <c r="R27" s="560"/>
      <c r="S27" s="560"/>
      <c r="T27" s="560"/>
    </row>
    <row r="28" spans="1:21" ht="27.75" customHeight="1" thickBot="1" x14ac:dyDescent="0.3">
      <c r="A28" s="566" t="s">
        <v>789</v>
      </c>
      <c r="B28" s="567">
        <v>1639344</v>
      </c>
      <c r="C28" s="567">
        <v>360656</v>
      </c>
      <c r="D28" s="567">
        <f>SUM(B28:C28)</f>
        <v>2000000</v>
      </c>
      <c r="E28" s="567"/>
      <c r="F28" s="567"/>
      <c r="G28" s="567"/>
      <c r="H28" s="567"/>
      <c r="I28" s="567"/>
      <c r="J28" s="567"/>
      <c r="K28" s="567"/>
      <c r="L28" s="567"/>
      <c r="M28" s="567"/>
      <c r="N28" s="568">
        <f>SUM(K28+H28+E28+B28)</f>
        <v>1639344</v>
      </c>
      <c r="O28" s="568">
        <f>SUM(L28+I28+F28+C28)</f>
        <v>360656</v>
      </c>
      <c r="P28" s="568">
        <f>SUM(M28+J28+G28+D28)</f>
        <v>2000000</v>
      </c>
      <c r="Q28" s="560"/>
      <c r="R28" s="560"/>
      <c r="S28" s="560"/>
      <c r="T28" s="560"/>
    </row>
    <row r="29" spans="1:21" ht="15.75" thickBot="1" x14ac:dyDescent="0.3">
      <c r="A29" s="569" t="s">
        <v>439</v>
      </c>
      <c r="B29" s="570">
        <f>SUM(B15+B16+B27+B28)</f>
        <v>523686591</v>
      </c>
      <c r="C29" s="570">
        <f t="shared" ref="C29:P29" si="9">SUM(C15+C16+C27+C28)</f>
        <v>141313409</v>
      </c>
      <c r="D29" s="570">
        <f t="shared" si="9"/>
        <v>665000000</v>
      </c>
      <c r="E29" s="570">
        <f t="shared" si="9"/>
        <v>91181103</v>
      </c>
      <c r="F29" s="570">
        <f t="shared" si="9"/>
        <v>24618897.060000002</v>
      </c>
      <c r="G29" s="570">
        <f t="shared" si="9"/>
        <v>115800000.06</v>
      </c>
      <c r="H29" s="570">
        <f t="shared" si="9"/>
        <v>113995276</v>
      </c>
      <c r="I29" s="570">
        <f t="shared" si="9"/>
        <v>30754723.899999999</v>
      </c>
      <c r="J29" s="570">
        <f t="shared" si="9"/>
        <v>144749999.90000001</v>
      </c>
      <c r="K29" s="570">
        <f t="shared" si="9"/>
        <v>180547244</v>
      </c>
      <c r="L29" s="570">
        <f t="shared" si="9"/>
        <v>48747754</v>
      </c>
      <c r="M29" s="570">
        <f t="shared" si="9"/>
        <v>229294998</v>
      </c>
      <c r="N29" s="570">
        <f t="shared" si="9"/>
        <v>909410214</v>
      </c>
      <c r="O29" s="570">
        <f t="shared" si="9"/>
        <v>245434783.96000001</v>
      </c>
      <c r="P29" s="571">
        <f t="shared" si="9"/>
        <v>1154844997.96</v>
      </c>
      <c r="Q29" s="547"/>
      <c r="R29" s="547"/>
      <c r="S29" s="572"/>
      <c r="T29" s="572"/>
    </row>
    <row r="30" spans="1:21" ht="24.75" x14ac:dyDescent="0.25">
      <c r="A30" s="573" t="s">
        <v>790</v>
      </c>
      <c r="B30" s="574"/>
      <c r="C30" s="575"/>
      <c r="D30" s="576">
        <f>SUM(B29:C29)</f>
        <v>665000000</v>
      </c>
      <c r="E30" s="576"/>
      <c r="F30" s="577"/>
      <c r="G30" s="578">
        <f>SUM(E29+F29)</f>
        <v>115800000.06</v>
      </c>
      <c r="H30" s="576"/>
      <c r="I30" s="577"/>
      <c r="J30" s="578">
        <f>SUM(H29+I29)</f>
        <v>144749999.90000001</v>
      </c>
      <c r="K30" s="576"/>
      <c r="L30" s="577"/>
      <c r="M30" s="578">
        <f>SUM(K29+L29)</f>
        <v>229294998</v>
      </c>
      <c r="N30" s="1105"/>
      <c r="O30" s="1106"/>
      <c r="P30" s="578">
        <f>SUM(N29+O29)</f>
        <v>1154844997.96</v>
      </c>
      <c r="Q30" s="547"/>
      <c r="R30" s="547"/>
      <c r="S30" s="572"/>
      <c r="T30" s="572"/>
    </row>
    <row r="31" spans="1:21" x14ac:dyDescent="0.25">
      <c r="A31" s="579" t="s">
        <v>791</v>
      </c>
      <c r="B31" s="580"/>
      <c r="C31" s="581"/>
      <c r="D31" s="582">
        <v>633766800</v>
      </c>
      <c r="E31" s="583"/>
      <c r="F31" s="584"/>
      <c r="G31" s="582">
        <v>104400000</v>
      </c>
      <c r="H31" s="583"/>
      <c r="I31" s="584"/>
      <c r="J31" s="582">
        <v>130500000</v>
      </c>
      <c r="K31" s="583"/>
      <c r="L31" s="584"/>
      <c r="M31" s="582">
        <v>226929899</v>
      </c>
      <c r="N31" s="582"/>
      <c r="O31" s="582"/>
      <c r="P31" s="582">
        <f>SUM(D31+G31+J31+M31)</f>
        <v>1095596699</v>
      </c>
      <c r="Q31" s="585"/>
      <c r="R31" s="585"/>
    </row>
    <row r="32" spans="1:21" x14ac:dyDescent="0.25">
      <c r="A32" s="586" t="s">
        <v>792</v>
      </c>
      <c r="B32" s="587"/>
      <c r="C32" s="588"/>
      <c r="D32" s="589">
        <f>SUM(D30-D31)</f>
        <v>31233200</v>
      </c>
      <c r="E32" s="590"/>
      <c r="F32" s="591"/>
      <c r="G32" s="589">
        <f>SUM(G30-G31)</f>
        <v>11400000.060000002</v>
      </c>
      <c r="H32" s="590"/>
      <c r="I32" s="591"/>
      <c r="J32" s="589">
        <f>SUM(J30-J31)</f>
        <v>14249999.900000006</v>
      </c>
      <c r="K32" s="590"/>
      <c r="L32" s="591"/>
      <c r="M32" s="589">
        <f>SUM(M30-M31)</f>
        <v>2365099</v>
      </c>
      <c r="N32" s="589"/>
      <c r="O32" s="589"/>
      <c r="P32" s="589">
        <f>SUM(P30-P31)</f>
        <v>59248298.960000038</v>
      </c>
      <c r="Q32" s="585"/>
      <c r="R32" s="585"/>
      <c r="S32" s="585"/>
      <c r="T32" s="585"/>
      <c r="U32" s="585"/>
    </row>
    <row r="33" spans="1:21" x14ac:dyDescent="0.25">
      <c r="B33" s="585"/>
      <c r="C33" s="585"/>
      <c r="D33" s="547">
        <f>SUM(B29:C29)</f>
        <v>665000000</v>
      </c>
      <c r="E33" s="585"/>
      <c r="F33" s="585"/>
      <c r="G33" s="547">
        <f>SUM(G15+G16+G17+G18+G19+G20+G21+G22+G23+G24+G25+G28+G26)</f>
        <v>115800000.05999999</v>
      </c>
      <c r="H33" s="585"/>
      <c r="I33" s="585"/>
      <c r="J33" s="547">
        <f>SUM(J15+J16+J17+J18+J19+J20+J21+J22+J23+J24+J25+J28+J26)</f>
        <v>144749999.90000001</v>
      </c>
      <c r="K33" s="585"/>
      <c r="L33" s="585"/>
      <c r="M33" s="547">
        <f>SUM(M15+M16+M17+M18+M19+M20+M21+M22+M23+M24+M25+M28+M26)</f>
        <v>229294998</v>
      </c>
      <c r="N33" s="547"/>
      <c r="O33" s="547"/>
      <c r="P33" s="592">
        <f>SUM(N29:O29)</f>
        <v>1154844997.96</v>
      </c>
      <c r="Q33" s="585"/>
      <c r="R33" s="585"/>
      <c r="S33" s="585"/>
      <c r="T33" s="585"/>
      <c r="U33" s="585"/>
    </row>
    <row r="34" spans="1:21" x14ac:dyDescent="0.25">
      <c r="B34" s="585"/>
      <c r="C34" s="585"/>
      <c r="D34" s="585"/>
      <c r="E34" s="585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93">
        <f>SUM(D32+G32+J32+M32)</f>
        <v>59248298.960000008</v>
      </c>
      <c r="Q34" s="585"/>
      <c r="R34" s="585"/>
      <c r="S34" s="585"/>
      <c r="T34" s="585"/>
      <c r="U34" s="585"/>
    </row>
    <row r="35" spans="1:21" ht="27" thickBot="1" x14ac:dyDescent="0.3">
      <c r="A35" s="594" t="s">
        <v>793</v>
      </c>
      <c r="B35" s="547">
        <f>(D35/1.27)</f>
        <v>28577874.015748031</v>
      </c>
      <c r="C35" s="547">
        <f>(B35*0.27)</f>
        <v>7716025.9842519686</v>
      </c>
      <c r="D35" s="547">
        <v>36293900</v>
      </c>
      <c r="E35" s="547">
        <f>(G35/1.27)</f>
        <v>3165000</v>
      </c>
      <c r="F35" s="547">
        <f>(E35*0.27)</f>
        <v>854550</v>
      </c>
      <c r="G35" s="547">
        <v>4019550</v>
      </c>
      <c r="H35" s="547">
        <f>(J35/1.27)</f>
        <v>3985000</v>
      </c>
      <c r="I35" s="547">
        <f>(H35*0.27)</f>
        <v>1075950</v>
      </c>
      <c r="J35" s="547">
        <v>5060950</v>
      </c>
      <c r="K35" s="547">
        <f>(M35/1.27)</f>
        <v>6067007.8740157476</v>
      </c>
      <c r="L35" s="547">
        <f>(K35*0.27)</f>
        <v>1638092.125984252</v>
      </c>
      <c r="M35" s="547">
        <v>7705100</v>
      </c>
      <c r="N35" s="595">
        <f>(P35/1.27)</f>
        <v>41794881.88976378</v>
      </c>
      <c r="O35" s="595">
        <f>(N35*0.27)</f>
        <v>11284618.110236222</v>
      </c>
      <c r="P35" s="595">
        <f>SUM(D35+G35+J35+M35)</f>
        <v>53079500</v>
      </c>
    </row>
    <row r="36" spans="1:21" ht="27" thickBot="1" x14ac:dyDescent="0.3">
      <c r="A36" s="596" t="s">
        <v>794</v>
      </c>
      <c r="B36" s="560">
        <f t="shared" ref="B36:M36" si="10">SUM(B27-B35)</f>
        <v>22288268.984251969</v>
      </c>
      <c r="C36" s="560">
        <f t="shared" si="10"/>
        <v>6017831.0157480314</v>
      </c>
      <c r="D36" s="560">
        <f t="shared" si="10"/>
        <v>28306100</v>
      </c>
      <c r="E36" s="560">
        <f t="shared" si="10"/>
        <v>11008229</v>
      </c>
      <c r="F36" s="560">
        <f t="shared" si="10"/>
        <v>2972221.0600000005</v>
      </c>
      <c r="G36" s="560">
        <f t="shared" si="10"/>
        <v>13980450.060000002</v>
      </c>
      <c r="H36" s="560">
        <f t="shared" si="10"/>
        <v>13750433</v>
      </c>
      <c r="I36" s="560">
        <f t="shared" si="10"/>
        <v>3688616.9000000004</v>
      </c>
      <c r="J36" s="560">
        <f t="shared" si="10"/>
        <v>17439049.899999999</v>
      </c>
      <c r="K36" s="560">
        <f t="shared" si="10"/>
        <v>6925117.1259842524</v>
      </c>
      <c r="L36" s="560">
        <f t="shared" si="10"/>
        <v>1869780.874015748</v>
      </c>
      <c r="M36" s="560">
        <f t="shared" si="10"/>
        <v>8794898</v>
      </c>
      <c r="N36" s="597">
        <f>SUM(B36+E36+H36+K36)</f>
        <v>53972048.11023622</v>
      </c>
      <c r="O36" s="598">
        <f>SUM(C36+F36+I36+L36)</f>
        <v>14548449.849763781</v>
      </c>
      <c r="P36" s="599">
        <f>SUM(D36+G36+J36+M36)</f>
        <v>68520497.960000008</v>
      </c>
    </row>
    <row r="37" spans="1:21" x14ac:dyDescent="0.25"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</row>
    <row r="38" spans="1:21" x14ac:dyDescent="0.25">
      <c r="B38" s="572"/>
      <c r="C38" s="572"/>
      <c r="D38" s="572"/>
      <c r="E38" s="572"/>
      <c r="F38" s="572"/>
      <c r="G38" s="572"/>
      <c r="H38" s="572">
        <v>95970495</v>
      </c>
      <c r="I38" s="572"/>
      <c r="J38" s="572"/>
      <c r="K38" s="572"/>
      <c r="L38" s="572"/>
      <c r="M38" s="572"/>
      <c r="N38" s="572"/>
      <c r="O38" s="572"/>
      <c r="P38" s="572"/>
    </row>
    <row r="39" spans="1:21" x14ac:dyDescent="0.25"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</row>
    <row r="40" spans="1:21" x14ac:dyDescent="0.25"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</row>
    <row r="41" spans="1:21" x14ac:dyDescent="0.25"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97"/>
  <sheetViews>
    <sheetView zoomScale="96" zoomScaleNormal="96" zoomScaleSheetLayoutView="90" workbookViewId="0">
      <selection activeCell="F125" sqref="F125"/>
    </sheetView>
  </sheetViews>
  <sheetFormatPr defaultRowHeight="12.75" x14ac:dyDescent="0.2"/>
  <cols>
    <col min="1" max="1" width="6.28515625" style="2" customWidth="1"/>
    <col min="2" max="2" width="79.85546875" customWidth="1"/>
    <col min="3" max="3" width="15.85546875" style="45" customWidth="1"/>
    <col min="4" max="4" width="15.85546875" style="45" hidden="1" customWidth="1"/>
    <col min="5" max="5" width="15.85546875" style="197" customWidth="1"/>
    <col min="6" max="6" width="15.140625" style="45" customWidth="1"/>
    <col min="7" max="7" width="13.5703125" style="45" hidden="1" customWidth="1"/>
    <col min="8" max="8" width="11.140625" hidden="1" customWidth="1"/>
    <col min="9" max="9" width="9.7109375" customWidth="1"/>
    <col min="10" max="10" width="8" customWidth="1"/>
    <col min="11" max="11" width="8.85546875" bestFit="1" customWidth="1"/>
  </cols>
  <sheetData>
    <row r="1" spans="1:10" ht="13.5" customHeight="1" x14ac:dyDescent="0.3">
      <c r="A1" s="65"/>
      <c r="B1" s="42"/>
      <c r="F1" s="212" t="s">
        <v>978</v>
      </c>
      <c r="H1" s="2"/>
      <c r="I1" s="2"/>
      <c r="J1" s="2"/>
    </row>
    <row r="2" spans="1:10" ht="13.5" customHeight="1" x14ac:dyDescent="0.3">
      <c r="A2" s="65"/>
      <c r="B2" s="42"/>
      <c r="F2" s="212" t="str">
        <f>'1.Bev-kiad.'!F2</f>
        <v>a 7/2022.(V.27.) önkormányzati rendelethez</v>
      </c>
      <c r="H2" s="2"/>
      <c r="I2" s="2"/>
      <c r="J2" s="2"/>
    </row>
    <row r="3" spans="1:10" ht="13.5" customHeight="1" x14ac:dyDescent="0.3">
      <c r="A3" s="65"/>
      <c r="B3" s="42"/>
      <c r="D3" s="212"/>
      <c r="F3" s="212" t="s">
        <v>1311</v>
      </c>
      <c r="H3" s="2"/>
      <c r="I3" s="2"/>
      <c r="J3" s="2"/>
    </row>
    <row r="4" spans="1:10" ht="16.5" customHeight="1" x14ac:dyDescent="0.35">
      <c r="A4" s="932" t="s">
        <v>27</v>
      </c>
      <c r="B4" s="932"/>
      <c r="C4" s="941"/>
      <c r="D4" s="941"/>
      <c r="E4" s="941"/>
      <c r="F4" s="941"/>
      <c r="G4" s="941"/>
      <c r="H4" s="2"/>
      <c r="I4" s="2"/>
      <c r="J4" s="2"/>
    </row>
    <row r="5" spans="1:10" ht="19.5" x14ac:dyDescent="0.35">
      <c r="A5" s="932" t="s">
        <v>1013</v>
      </c>
      <c r="B5" s="932"/>
      <c r="C5" s="941"/>
      <c r="D5" s="941"/>
      <c r="E5" s="941"/>
      <c r="F5" s="941"/>
      <c r="G5" s="941"/>
      <c r="H5" s="2"/>
      <c r="I5" s="2"/>
      <c r="J5" s="2"/>
    </row>
    <row r="6" spans="1:10" ht="13.5" thickBot="1" x14ac:dyDescent="0.25">
      <c r="A6" s="65"/>
      <c r="B6" s="1"/>
      <c r="F6" s="212" t="s">
        <v>0</v>
      </c>
      <c r="H6" s="2"/>
      <c r="I6" s="2"/>
      <c r="J6" s="2"/>
    </row>
    <row r="7" spans="1:10" ht="54.75" customHeight="1" thickBot="1" x14ac:dyDescent="0.25">
      <c r="A7" s="268" t="s">
        <v>119</v>
      </c>
      <c r="B7" s="54" t="s">
        <v>209</v>
      </c>
      <c r="C7" s="54" t="str">
        <f>'1.Bev-kiad.'!C7</f>
        <v>2021. évi eredeti előirányzat</v>
      </c>
      <c r="D7" s="54" t="str">
        <f>'1.Bev-kiad.'!D7</f>
        <v>Módosított előirányzat 2021.07. havi</v>
      </c>
      <c r="E7" s="54" t="str">
        <f>'1.Bev-kiad.'!E7</f>
        <v>Módosított előirányzat 2021.10. havi</v>
      </c>
      <c r="F7" s="54" t="str">
        <f>'1.Bev-kiad.'!F7</f>
        <v>Módosított előirányzat 2021.12.31</v>
      </c>
      <c r="G7" s="55" t="str">
        <f>'1.Bev-kiad.'!G7</f>
        <v>Teljesítés 2021.12.31.</v>
      </c>
      <c r="H7" s="389"/>
      <c r="I7" s="2"/>
      <c r="J7" s="2"/>
    </row>
    <row r="8" spans="1:10" ht="17.25" customHeight="1" x14ac:dyDescent="0.2">
      <c r="A8" s="168" t="s">
        <v>370</v>
      </c>
      <c r="B8" s="278" t="s">
        <v>365</v>
      </c>
      <c r="C8" s="203">
        <f>SUM(C9+C70+C83+C95)</f>
        <v>824616</v>
      </c>
      <c r="D8" s="203">
        <f>SUM(D9+D70+D83+D95)</f>
        <v>841948</v>
      </c>
      <c r="E8" s="203">
        <f>SUM(E9+E70+E83+E95)</f>
        <v>943742</v>
      </c>
      <c r="F8" s="203">
        <f>SUM(F9+F70+F83+F95)</f>
        <v>1001865</v>
      </c>
      <c r="G8" s="203">
        <f>SUM(G9+G70+G83+G95)</f>
        <v>967067</v>
      </c>
      <c r="H8" s="2"/>
      <c r="I8" s="2"/>
      <c r="J8" s="8"/>
    </row>
    <row r="9" spans="1:10" ht="18" customHeight="1" x14ac:dyDescent="0.25">
      <c r="A9" s="9" t="s">
        <v>121</v>
      </c>
      <c r="B9" s="30" t="s">
        <v>927</v>
      </c>
      <c r="C9" s="184">
        <f>C10+C58</f>
        <v>457088</v>
      </c>
      <c r="D9" s="184">
        <f>D10+D58</f>
        <v>468558</v>
      </c>
      <c r="E9" s="184">
        <f>E10+E58</f>
        <v>505717</v>
      </c>
      <c r="F9" s="184">
        <f>F10+F58</f>
        <v>511587</v>
      </c>
      <c r="G9" s="184">
        <f>G10+G58</f>
        <v>507122</v>
      </c>
      <c r="H9" s="2"/>
      <c r="I9" s="2"/>
      <c r="J9" s="8"/>
    </row>
    <row r="10" spans="1:10" ht="13.5" customHeight="1" x14ac:dyDescent="0.2">
      <c r="A10" s="9" t="s">
        <v>122</v>
      </c>
      <c r="B10" s="18" t="s">
        <v>1031</v>
      </c>
      <c r="C10" s="15">
        <f>C11+C23+C24+C34+C40+C43+C57</f>
        <v>413049</v>
      </c>
      <c r="D10" s="15">
        <f>D11+D23+D24+D34+D40+D43+D57</f>
        <v>416824</v>
      </c>
      <c r="E10" s="15">
        <f>E11+E23+E24+E34+E40+E43+E57</f>
        <v>453933</v>
      </c>
      <c r="F10" s="15">
        <f>F11+F23+F24+F34+F40+F43+F57</f>
        <v>457697</v>
      </c>
      <c r="G10" s="15">
        <f>G11+G23+G24+G34+G40+G43+G57</f>
        <v>457697</v>
      </c>
      <c r="H10" s="2"/>
      <c r="I10" s="2"/>
      <c r="J10" s="8"/>
    </row>
    <row r="11" spans="1:10" ht="13.5" customHeight="1" x14ac:dyDescent="0.2">
      <c r="A11" s="9" t="s">
        <v>211</v>
      </c>
      <c r="B11" s="336" t="s">
        <v>1032</v>
      </c>
      <c r="C11" s="15">
        <f>C12+C20+C21+C22</f>
        <v>178660</v>
      </c>
      <c r="D11" s="15">
        <f>D12+D20+D21+D22</f>
        <v>179332</v>
      </c>
      <c r="E11" s="15">
        <f>E12+E20+E21+E22</f>
        <v>179332</v>
      </c>
      <c r="F11" s="15">
        <f>F12+F20+F21+F22</f>
        <v>179332</v>
      </c>
      <c r="G11" s="15">
        <f>G12+G20+G21+G22</f>
        <v>179332</v>
      </c>
      <c r="H11" s="36"/>
      <c r="I11" s="2"/>
      <c r="J11" s="8"/>
    </row>
    <row r="12" spans="1:10" ht="13.5" customHeight="1" x14ac:dyDescent="0.2">
      <c r="A12" s="9"/>
      <c r="B12" s="280" t="s">
        <v>1033</v>
      </c>
      <c r="C12" s="16">
        <f>SUM(C13:C19)</f>
        <v>178660</v>
      </c>
      <c r="D12" s="16">
        <f>SUM(D13:D19)</f>
        <v>179332</v>
      </c>
      <c r="E12" s="16">
        <f>SUM(E13:E19)</f>
        <v>179332</v>
      </c>
      <c r="F12" s="16">
        <f>SUM(F13:F19)</f>
        <v>179332</v>
      </c>
      <c r="G12" s="16">
        <f>SUM(G13:G19)</f>
        <v>179332</v>
      </c>
      <c r="H12" s="642"/>
      <c r="I12" s="2"/>
      <c r="J12" s="8"/>
    </row>
    <row r="13" spans="1:10" ht="13.5" customHeight="1" x14ac:dyDescent="0.2">
      <c r="A13" s="9"/>
      <c r="B13" s="280" t="s">
        <v>1034</v>
      </c>
      <c r="C13" s="83">
        <v>131680</v>
      </c>
      <c r="D13" s="83">
        <f>131680+409</f>
        <v>132089</v>
      </c>
      <c r="E13" s="83">
        <f>131680+409</f>
        <v>132089</v>
      </c>
      <c r="F13" s="83">
        <f>131680+409</f>
        <v>132089</v>
      </c>
      <c r="G13" s="83">
        <v>132089</v>
      </c>
      <c r="H13" s="2"/>
      <c r="I13" s="2"/>
      <c r="J13" s="8"/>
    </row>
    <row r="14" spans="1:10" x14ac:dyDescent="0.2">
      <c r="A14" s="9"/>
      <c r="B14" s="280" t="s">
        <v>1077</v>
      </c>
      <c r="C14" s="83">
        <v>8694</v>
      </c>
      <c r="D14" s="83">
        <v>8694</v>
      </c>
      <c r="E14" s="83">
        <v>8694</v>
      </c>
      <c r="F14" s="83">
        <v>8694</v>
      </c>
      <c r="G14" s="83">
        <v>8694</v>
      </c>
      <c r="H14" s="36"/>
      <c r="I14" s="2"/>
      <c r="J14" s="8"/>
    </row>
    <row r="15" spans="1:10" ht="13.5" customHeight="1" x14ac:dyDescent="0.2">
      <c r="A15" s="9"/>
      <c r="B15" s="280" t="s">
        <v>1035</v>
      </c>
      <c r="C15" s="83">
        <v>22720</v>
      </c>
      <c r="D15" s="83">
        <v>22720</v>
      </c>
      <c r="E15" s="83">
        <v>22720</v>
      </c>
      <c r="F15" s="83">
        <v>22720</v>
      </c>
      <c r="G15" s="83">
        <v>22720</v>
      </c>
      <c r="H15" s="8"/>
      <c r="I15" s="2"/>
      <c r="J15" s="8"/>
    </row>
    <row r="16" spans="1:10" ht="13.5" customHeight="1" x14ac:dyDescent="0.2">
      <c r="A16" s="9"/>
      <c r="B16" s="280" t="s">
        <v>1078</v>
      </c>
      <c r="C16" s="83">
        <v>100</v>
      </c>
      <c r="D16" s="83">
        <v>100</v>
      </c>
      <c r="E16" s="83">
        <v>100</v>
      </c>
      <c r="F16" s="83">
        <v>100</v>
      </c>
      <c r="G16" s="83">
        <v>100</v>
      </c>
      <c r="H16" s="8"/>
      <c r="I16" s="2"/>
      <c r="J16" s="8"/>
    </row>
    <row r="17" spans="1:10" ht="13.5" customHeight="1" x14ac:dyDescent="0.2">
      <c r="A17" s="9"/>
      <c r="B17" s="280" t="s">
        <v>1079</v>
      </c>
      <c r="C17" s="83">
        <v>7466</v>
      </c>
      <c r="D17" s="83">
        <f>7466+263</f>
        <v>7729</v>
      </c>
      <c r="E17" s="83">
        <f>7466+263</f>
        <v>7729</v>
      </c>
      <c r="F17" s="83">
        <f>7466+263</f>
        <v>7729</v>
      </c>
      <c r="G17" s="83">
        <v>7729</v>
      </c>
      <c r="H17" s="8"/>
      <c r="I17" s="2"/>
      <c r="J17" s="8"/>
    </row>
    <row r="18" spans="1:10" ht="12.75" customHeight="1" x14ac:dyDescent="0.2">
      <c r="A18" s="9"/>
      <c r="B18" s="280" t="s">
        <v>1036</v>
      </c>
      <c r="C18" s="83">
        <v>8000</v>
      </c>
      <c r="D18" s="83">
        <v>8000</v>
      </c>
      <c r="E18" s="83">
        <v>8000</v>
      </c>
      <c r="F18" s="83">
        <v>8000</v>
      </c>
      <c r="G18" s="83">
        <v>8000</v>
      </c>
      <c r="H18" s="2"/>
      <c r="I18" s="2"/>
      <c r="J18" s="8"/>
    </row>
    <row r="19" spans="1:10" ht="12.75" customHeight="1" x14ac:dyDescent="0.2">
      <c r="A19" s="9"/>
      <c r="B19" s="280" t="s">
        <v>1037</v>
      </c>
      <c r="C19" s="16"/>
      <c r="D19" s="16"/>
      <c r="E19" s="16"/>
      <c r="F19" s="16"/>
      <c r="G19" s="16"/>
      <c r="H19" s="2"/>
      <c r="I19" s="2"/>
      <c r="J19" s="8"/>
    </row>
    <row r="20" spans="1:10" x14ac:dyDescent="0.2">
      <c r="A20" s="9"/>
      <c r="B20" s="280" t="s">
        <v>1038</v>
      </c>
      <c r="C20" s="16"/>
      <c r="D20" s="16"/>
      <c r="E20" s="16"/>
      <c r="F20" s="16"/>
      <c r="G20" s="16"/>
      <c r="H20" s="8"/>
      <c r="I20" s="2"/>
      <c r="J20" s="8"/>
    </row>
    <row r="21" spans="1:10" x14ac:dyDescent="0.2">
      <c r="A21" s="9"/>
      <c r="B21" s="280" t="s">
        <v>1039</v>
      </c>
      <c r="C21" s="16"/>
      <c r="D21" s="16"/>
      <c r="E21" s="16"/>
      <c r="F21" s="16"/>
      <c r="G21" s="16"/>
      <c r="H21" s="2"/>
      <c r="I21" s="2"/>
      <c r="J21" s="8"/>
    </row>
    <row r="22" spans="1:10" hidden="1" x14ac:dyDescent="0.2">
      <c r="A22" s="9"/>
      <c r="B22" s="173" t="s">
        <v>972</v>
      </c>
      <c r="C22" s="16"/>
      <c r="D22" s="16"/>
      <c r="E22" s="16"/>
      <c r="F22" s="16"/>
      <c r="G22" s="16"/>
      <c r="H22" s="8"/>
      <c r="I22" s="2"/>
      <c r="J22" s="8"/>
    </row>
    <row r="23" spans="1:10" ht="13.5" customHeight="1" x14ac:dyDescent="0.2">
      <c r="A23" s="9" t="s">
        <v>212</v>
      </c>
      <c r="B23" s="18" t="s">
        <v>1040</v>
      </c>
      <c r="C23" s="15">
        <v>79311</v>
      </c>
      <c r="D23" s="15">
        <f>79311+1995</f>
        <v>81306</v>
      </c>
      <c r="E23" s="15">
        <f>79311+1995</f>
        <v>81306</v>
      </c>
      <c r="F23" s="15">
        <f>79311+1995+1167</f>
        <v>82473</v>
      </c>
      <c r="G23" s="15">
        <v>82473</v>
      </c>
      <c r="H23" s="8"/>
      <c r="I23" s="2"/>
      <c r="J23" s="8"/>
    </row>
    <row r="24" spans="1:10" ht="13.5" customHeight="1" x14ac:dyDescent="0.2">
      <c r="A24" s="9" t="s">
        <v>213</v>
      </c>
      <c r="B24" s="18" t="s">
        <v>1041</v>
      </c>
      <c r="C24" s="15">
        <f>C25+C26+C33</f>
        <v>69421</v>
      </c>
      <c r="D24" s="15">
        <f>D25+D26+D33</f>
        <v>83218</v>
      </c>
      <c r="E24" s="15">
        <f>E25+E26+E33</f>
        <v>83218</v>
      </c>
      <c r="F24" s="15">
        <f>F25+F26+F33</f>
        <v>85386</v>
      </c>
      <c r="G24" s="15">
        <f>G25+G26+G33</f>
        <v>85386</v>
      </c>
      <c r="H24" s="8"/>
      <c r="I24" s="2"/>
      <c r="J24" s="8"/>
    </row>
    <row r="25" spans="1:10" ht="13.5" customHeight="1" x14ac:dyDescent="0.2">
      <c r="A25" s="9"/>
      <c r="B25" s="280" t="s">
        <v>1042</v>
      </c>
      <c r="C25" s="16">
        <v>8813</v>
      </c>
      <c r="D25" s="16">
        <v>8813</v>
      </c>
      <c r="E25" s="16">
        <v>8813</v>
      </c>
      <c r="F25" s="16">
        <v>8813</v>
      </c>
      <c r="G25" s="16">
        <v>8813</v>
      </c>
      <c r="H25" s="2"/>
      <c r="I25" s="2"/>
      <c r="J25" s="8"/>
    </row>
    <row r="26" spans="1:10" ht="13.5" customHeight="1" x14ac:dyDescent="0.2">
      <c r="A26" s="9"/>
      <c r="B26" s="280" t="s">
        <v>1043</v>
      </c>
      <c r="C26" s="16">
        <f>C27+C28+C30+C32</f>
        <v>60608</v>
      </c>
      <c r="D26" s="16">
        <f>D27+D28+D30+D32</f>
        <v>63025</v>
      </c>
      <c r="E26" s="16">
        <f>E27+E28+E30+E32</f>
        <v>63025</v>
      </c>
      <c r="F26" s="16">
        <f>F27+F28+F30+F32</f>
        <v>65483</v>
      </c>
      <c r="G26" s="16">
        <f>G27+G28+G30+G32</f>
        <v>65483</v>
      </c>
      <c r="H26" s="2"/>
      <c r="I26" s="2"/>
      <c r="J26" s="8"/>
    </row>
    <row r="27" spans="1:10" ht="13.5" customHeight="1" x14ac:dyDescent="0.2">
      <c r="A27" s="9"/>
      <c r="B27" s="280" t="s">
        <v>1044</v>
      </c>
      <c r="C27" s="16">
        <v>14760</v>
      </c>
      <c r="D27" s="16">
        <f>14760+562</f>
        <v>15322</v>
      </c>
      <c r="E27" s="16">
        <f>14760+562</f>
        <v>15322</v>
      </c>
      <c r="F27" s="16">
        <f>14760+562</f>
        <v>15322</v>
      </c>
      <c r="G27" s="16">
        <v>15322</v>
      </c>
      <c r="H27" s="2"/>
      <c r="I27" s="2"/>
      <c r="J27" s="8"/>
    </row>
    <row r="28" spans="1:10" ht="13.5" customHeight="1" x14ac:dyDescent="0.2">
      <c r="A28" s="9"/>
      <c r="B28" s="280" t="s">
        <v>1045</v>
      </c>
      <c r="C28" s="16">
        <f>C29</f>
        <v>8096</v>
      </c>
      <c r="D28" s="16">
        <f>D29</f>
        <v>8379</v>
      </c>
      <c r="E28" s="16">
        <f>E29</f>
        <v>8379</v>
      </c>
      <c r="F28" s="16">
        <f>F29</f>
        <v>8379</v>
      </c>
      <c r="G28" s="16">
        <f>G29</f>
        <v>8379</v>
      </c>
      <c r="H28" s="2"/>
      <c r="I28" s="2"/>
      <c r="J28" s="8"/>
    </row>
    <row r="29" spans="1:10" ht="13.5" customHeight="1" x14ac:dyDescent="0.2">
      <c r="A29" s="9"/>
      <c r="B29" s="280" t="s">
        <v>1076</v>
      </c>
      <c r="C29" s="16">
        <v>8096</v>
      </c>
      <c r="D29" s="16">
        <f>8096+148+135</f>
        <v>8379</v>
      </c>
      <c r="E29" s="16">
        <f>8096+148+135</f>
        <v>8379</v>
      </c>
      <c r="F29" s="16">
        <f>8096+148+135</f>
        <v>8379</v>
      </c>
      <c r="G29" s="16">
        <v>8379</v>
      </c>
      <c r="H29" s="2"/>
      <c r="I29" s="2"/>
      <c r="J29" s="8"/>
    </row>
    <row r="30" spans="1:10" ht="13.5" customHeight="1" x14ac:dyDescent="0.2">
      <c r="A30" s="9"/>
      <c r="B30" s="280" t="s">
        <v>1046</v>
      </c>
      <c r="C30" s="16">
        <f>C31</f>
        <v>37752</v>
      </c>
      <c r="D30" s="16">
        <f>D31</f>
        <v>39324</v>
      </c>
      <c r="E30" s="16">
        <f>E31</f>
        <v>39324</v>
      </c>
      <c r="F30" s="16">
        <f>F31</f>
        <v>41782</v>
      </c>
      <c r="G30" s="16">
        <f>G31</f>
        <v>41782</v>
      </c>
      <c r="H30" s="2"/>
      <c r="I30" s="2"/>
      <c r="J30" s="8"/>
    </row>
    <row r="31" spans="1:10" ht="13.5" customHeight="1" x14ac:dyDescent="0.2">
      <c r="A31" s="9"/>
      <c r="B31" s="280" t="s">
        <v>1047</v>
      </c>
      <c r="C31" s="16">
        <v>37752</v>
      </c>
      <c r="D31" s="16">
        <f>37752+1572</f>
        <v>39324</v>
      </c>
      <c r="E31" s="16">
        <f>37752+1572</f>
        <v>39324</v>
      </c>
      <c r="F31" s="16">
        <f>37752+1572+2458</f>
        <v>41782</v>
      </c>
      <c r="G31" s="16">
        <v>41782</v>
      </c>
      <c r="H31" s="2"/>
      <c r="I31" s="2"/>
      <c r="J31" s="8"/>
    </row>
    <row r="32" spans="1:10" ht="13.5" customHeight="1" x14ac:dyDescent="0.2">
      <c r="A32" s="9"/>
      <c r="B32" s="280" t="s">
        <v>1048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2"/>
      <c r="I32" s="2"/>
      <c r="J32" s="8"/>
    </row>
    <row r="33" spans="1:10" ht="13.5" customHeight="1" x14ac:dyDescent="0.2">
      <c r="A33" s="9"/>
      <c r="B33" s="173" t="s">
        <v>1203</v>
      </c>
      <c r="C33" s="16">
        <v>0</v>
      </c>
      <c r="D33" s="16">
        <v>11380</v>
      </c>
      <c r="E33" s="16">
        <v>11380</v>
      </c>
      <c r="F33" s="16">
        <f>11380-290</f>
        <v>11090</v>
      </c>
      <c r="G33" s="16">
        <v>11090</v>
      </c>
      <c r="H33" s="2"/>
      <c r="I33" s="2"/>
      <c r="J33" s="8"/>
    </row>
    <row r="34" spans="1:10" ht="13.5" customHeight="1" x14ac:dyDescent="0.2">
      <c r="A34" s="9"/>
      <c r="B34" s="336" t="s">
        <v>1049</v>
      </c>
      <c r="C34" s="15">
        <f>C35+C38+C39</f>
        <v>42432</v>
      </c>
      <c r="D34" s="15">
        <f>D35+D38+D39</f>
        <v>41039</v>
      </c>
      <c r="E34" s="15">
        <f>E35+E38+E39</f>
        <v>41530</v>
      </c>
      <c r="F34" s="15">
        <f>F35+F38+F39</f>
        <v>41959</v>
      </c>
      <c r="G34" s="15">
        <f>G35+G38+G39</f>
        <v>41959</v>
      </c>
      <c r="H34" s="2"/>
      <c r="I34" s="2"/>
      <c r="J34" s="8"/>
    </row>
    <row r="35" spans="1:10" ht="13.5" customHeight="1" x14ac:dyDescent="0.2">
      <c r="A35" s="9"/>
      <c r="B35" s="280" t="s">
        <v>1050</v>
      </c>
      <c r="C35" s="16">
        <f>C36+C37</f>
        <v>42432</v>
      </c>
      <c r="D35" s="16">
        <f>D36+D37</f>
        <v>41039</v>
      </c>
      <c r="E35" s="16">
        <f>E36+E37</f>
        <v>41530</v>
      </c>
      <c r="F35" s="16">
        <f>F36+F37</f>
        <v>41959</v>
      </c>
      <c r="G35" s="16">
        <f>G36+G37</f>
        <v>41959</v>
      </c>
      <c r="H35" s="2"/>
      <c r="I35" s="2"/>
      <c r="J35" s="8"/>
    </row>
    <row r="36" spans="1:10" ht="13.5" customHeight="1" x14ac:dyDescent="0.2">
      <c r="A36" s="9"/>
      <c r="B36" s="280" t="s">
        <v>1051</v>
      </c>
      <c r="C36" s="16">
        <v>24235</v>
      </c>
      <c r="D36" s="16">
        <f>24235+551-1944</f>
        <v>22842</v>
      </c>
      <c r="E36" s="16">
        <f>24235+551-1944</f>
        <v>22842</v>
      </c>
      <c r="F36" s="16">
        <f>24235+551-1944-389</f>
        <v>22453</v>
      </c>
      <c r="G36" s="16">
        <v>22453</v>
      </c>
      <c r="H36" s="2"/>
      <c r="I36" s="2"/>
      <c r="J36" s="8"/>
    </row>
    <row r="37" spans="1:10" ht="13.5" customHeight="1" x14ac:dyDescent="0.2">
      <c r="A37" s="9"/>
      <c r="B37" s="280" t="s">
        <v>1052</v>
      </c>
      <c r="C37" s="16">
        <v>18197</v>
      </c>
      <c r="D37" s="16">
        <v>18197</v>
      </c>
      <c r="E37" s="16">
        <f>18197+491</f>
        <v>18688</v>
      </c>
      <c r="F37" s="16">
        <f>18197+491+818</f>
        <v>19506</v>
      </c>
      <c r="G37" s="16">
        <v>19506</v>
      </c>
      <c r="H37" s="2"/>
      <c r="I37" s="2"/>
      <c r="J37" s="8"/>
    </row>
    <row r="38" spans="1:10" ht="13.5" customHeight="1" x14ac:dyDescent="0.2">
      <c r="A38" s="9"/>
      <c r="B38" s="280" t="s">
        <v>1053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2"/>
      <c r="I38" s="2"/>
      <c r="J38" s="8"/>
    </row>
    <row r="39" spans="1:10" ht="13.5" hidden="1" customHeight="1" x14ac:dyDescent="0.2">
      <c r="A39" s="9"/>
      <c r="B39" s="173" t="s">
        <v>1195</v>
      </c>
      <c r="C39" s="16"/>
      <c r="D39" s="16"/>
      <c r="E39" s="16"/>
      <c r="F39" s="16"/>
      <c r="G39" s="16"/>
      <c r="H39" s="2"/>
      <c r="I39" s="2"/>
      <c r="J39" s="8"/>
    </row>
    <row r="40" spans="1:10" ht="13.5" customHeight="1" x14ac:dyDescent="0.2">
      <c r="A40" s="9" t="s">
        <v>214</v>
      </c>
      <c r="B40" s="18" t="s">
        <v>1054</v>
      </c>
      <c r="C40" s="88">
        <f>SUM(C41:C42)</f>
        <v>5086</v>
      </c>
      <c r="D40" s="88">
        <f>SUM(D41:D42)</f>
        <v>28170</v>
      </c>
      <c r="E40" s="88">
        <f>SUM(E41:E42)</f>
        <v>28171</v>
      </c>
      <c r="F40" s="88">
        <f>SUM(F41:F42)</f>
        <v>28171</v>
      </c>
      <c r="G40" s="88">
        <f>SUM(G41:G42)</f>
        <v>28171</v>
      </c>
      <c r="H40" s="2"/>
      <c r="I40" s="2"/>
      <c r="J40" s="8"/>
    </row>
    <row r="41" spans="1:10" ht="13.5" customHeight="1" x14ac:dyDescent="0.2">
      <c r="A41" s="9"/>
      <c r="B41" s="280" t="s">
        <v>1084</v>
      </c>
      <c r="C41" s="207">
        <v>5086</v>
      </c>
      <c r="D41" s="207">
        <f>5086+84</f>
        <v>5170</v>
      </c>
      <c r="E41" s="207">
        <f>5086+84+1</f>
        <v>5171</v>
      </c>
      <c r="F41" s="207">
        <f>5086+84+1</f>
        <v>5171</v>
      </c>
      <c r="G41" s="207">
        <v>5171</v>
      </c>
      <c r="H41" s="8"/>
      <c r="I41" s="2"/>
      <c r="J41" s="8"/>
    </row>
    <row r="42" spans="1:10" ht="13.5" customHeight="1" x14ac:dyDescent="0.2">
      <c r="A42" s="9"/>
      <c r="B42" s="173" t="s">
        <v>1196</v>
      </c>
      <c r="C42" s="207">
        <v>0</v>
      </c>
      <c r="D42" s="207">
        <v>23000</v>
      </c>
      <c r="E42" s="207">
        <v>23000</v>
      </c>
      <c r="F42" s="207">
        <v>23000</v>
      </c>
      <c r="G42" s="207">
        <v>23000</v>
      </c>
      <c r="H42" s="2"/>
      <c r="I42" s="2"/>
      <c r="J42" s="8"/>
    </row>
    <row r="43" spans="1:10" ht="16.5" customHeight="1" x14ac:dyDescent="0.2">
      <c r="A43" s="9" t="s">
        <v>215</v>
      </c>
      <c r="B43" s="18" t="s">
        <v>1055</v>
      </c>
      <c r="C43" s="15">
        <f>C44+C49+C53</f>
        <v>36912</v>
      </c>
      <c r="D43" s="15">
        <f>D44+D49+D53</f>
        <v>2532</v>
      </c>
      <c r="E43" s="15">
        <f>E44+E49+E53</f>
        <v>36618</v>
      </c>
      <c r="F43" s="15">
        <f>F44+F49+F53</f>
        <v>36618</v>
      </c>
      <c r="G43" s="15">
        <f>G44+G49+G53</f>
        <v>36618</v>
      </c>
      <c r="H43" s="2"/>
      <c r="I43" s="2"/>
      <c r="J43" s="8"/>
    </row>
    <row r="44" spans="1:10" ht="14.25" customHeight="1" x14ac:dyDescent="0.2">
      <c r="A44" s="9"/>
      <c r="B44" s="780" t="s">
        <v>1056</v>
      </c>
      <c r="C44" s="15">
        <f>C45+C46+C47+C48</f>
        <v>0</v>
      </c>
      <c r="D44" s="15">
        <f>D45+D46+D47+D48</f>
        <v>0</v>
      </c>
      <c r="E44" s="15">
        <f>E45+E46+E47+E48</f>
        <v>35208</v>
      </c>
      <c r="F44" s="15">
        <f>F45+F46+F47+F48</f>
        <v>35208</v>
      </c>
      <c r="G44" s="15">
        <f>G45+G46+G47+G48</f>
        <v>35208</v>
      </c>
      <c r="H44" s="8"/>
      <c r="I44" s="2"/>
      <c r="J44" s="8"/>
    </row>
    <row r="45" spans="1:10" ht="11.25" customHeight="1" x14ac:dyDescent="0.2">
      <c r="A45" s="9"/>
      <c r="B45" s="780" t="s">
        <v>1057</v>
      </c>
      <c r="C45" s="16">
        <v>0</v>
      </c>
      <c r="D45" s="16">
        <v>0</v>
      </c>
      <c r="E45" s="16">
        <v>15795</v>
      </c>
      <c r="F45" s="16">
        <v>15795</v>
      </c>
      <c r="G45" s="16">
        <v>15795</v>
      </c>
      <c r="H45" s="8"/>
      <c r="I45" s="2"/>
      <c r="J45" s="8"/>
    </row>
    <row r="46" spans="1:10" ht="11.25" customHeight="1" x14ac:dyDescent="0.2">
      <c r="A46" s="9"/>
      <c r="B46" s="781" t="s">
        <v>1058</v>
      </c>
      <c r="C46" s="15"/>
      <c r="D46" s="15"/>
      <c r="E46" s="15"/>
      <c r="F46" s="15"/>
      <c r="G46" s="15"/>
      <c r="H46" s="8"/>
      <c r="I46" s="2"/>
      <c r="J46" s="8"/>
    </row>
    <row r="47" spans="1:10" ht="11.25" customHeight="1" x14ac:dyDescent="0.2">
      <c r="A47" s="9"/>
      <c r="B47" s="780" t="s">
        <v>1059</v>
      </c>
      <c r="C47" s="15"/>
      <c r="D47" s="15"/>
      <c r="E47" s="15"/>
      <c r="F47" s="15"/>
      <c r="G47" s="15"/>
      <c r="H47" s="8"/>
      <c r="I47" s="2"/>
      <c r="J47" s="8"/>
    </row>
    <row r="48" spans="1:10" ht="11.25" customHeight="1" x14ac:dyDescent="0.2">
      <c r="A48" s="9"/>
      <c r="B48" s="780" t="s">
        <v>1253</v>
      </c>
      <c r="C48" s="16">
        <v>0</v>
      </c>
      <c r="D48" s="16">
        <v>0</v>
      </c>
      <c r="E48" s="16">
        <v>19413</v>
      </c>
      <c r="F48" s="16">
        <v>19413</v>
      </c>
      <c r="G48" s="16">
        <v>19413</v>
      </c>
      <c r="H48" s="8"/>
      <c r="I48" s="2"/>
      <c r="J48" s="8"/>
    </row>
    <row r="49" spans="1:10" ht="11.25" customHeight="1" x14ac:dyDescent="0.2">
      <c r="A49" s="9"/>
      <c r="B49" s="780" t="s">
        <v>1070</v>
      </c>
      <c r="C49" s="15">
        <f>C50+C51+C52</f>
        <v>11380</v>
      </c>
      <c r="D49" s="15">
        <f>D50+D51+D52</f>
        <v>0</v>
      </c>
      <c r="E49" s="15">
        <f>E50+E51+E52</f>
        <v>1410</v>
      </c>
      <c r="F49" s="15">
        <f>F50+F51+F52</f>
        <v>1410</v>
      </c>
      <c r="G49" s="15">
        <f>G50+G51+G52</f>
        <v>1410</v>
      </c>
      <c r="H49" s="8"/>
      <c r="I49" s="2"/>
      <c r="J49" s="8"/>
    </row>
    <row r="50" spans="1:10" x14ac:dyDescent="0.2">
      <c r="A50" s="9"/>
      <c r="B50" s="813" t="s">
        <v>1060</v>
      </c>
      <c r="C50" s="16">
        <v>0</v>
      </c>
      <c r="D50" s="16">
        <v>0</v>
      </c>
      <c r="E50" s="16">
        <v>1410</v>
      </c>
      <c r="F50" s="16">
        <v>1410</v>
      </c>
      <c r="G50" s="16">
        <v>1410</v>
      </c>
      <c r="H50" s="2"/>
      <c r="I50" s="2"/>
      <c r="J50" s="8"/>
    </row>
    <row r="51" spans="1:10" x14ac:dyDescent="0.2">
      <c r="A51" s="9"/>
      <c r="B51" s="813" t="s">
        <v>1069</v>
      </c>
      <c r="C51" s="16">
        <v>11380</v>
      </c>
      <c r="D51" s="16">
        <f>11380-11380</f>
        <v>0</v>
      </c>
      <c r="E51" s="16">
        <f>11380-11380</f>
        <v>0</v>
      </c>
      <c r="F51" s="16">
        <f>11380-11380</f>
        <v>0</v>
      </c>
      <c r="G51" s="16">
        <v>0</v>
      </c>
      <c r="H51" s="2"/>
      <c r="I51" s="2"/>
      <c r="J51" s="8"/>
    </row>
    <row r="52" spans="1:10" x14ac:dyDescent="0.2">
      <c r="A52" s="9"/>
      <c r="B52" s="813" t="s">
        <v>1061</v>
      </c>
      <c r="C52" s="16"/>
      <c r="D52" s="16"/>
      <c r="E52" s="16"/>
      <c r="F52" s="16"/>
      <c r="G52" s="16"/>
      <c r="H52" s="2"/>
      <c r="I52" s="2"/>
      <c r="J52" s="8"/>
    </row>
    <row r="53" spans="1:10" x14ac:dyDescent="0.2">
      <c r="A53" s="9"/>
      <c r="B53" s="813" t="s">
        <v>1071</v>
      </c>
      <c r="C53" s="15">
        <f>C54+C55+C56</f>
        <v>25532</v>
      </c>
      <c r="D53" s="15">
        <f>D54+D55+D56</f>
        <v>2532</v>
      </c>
      <c r="E53" s="15">
        <f>E54+E55+E56</f>
        <v>0</v>
      </c>
      <c r="F53" s="15">
        <f>F54+F55+F56</f>
        <v>0</v>
      </c>
      <c r="G53" s="15">
        <f>G54+G55+G56</f>
        <v>0</v>
      </c>
      <c r="H53" s="2"/>
      <c r="I53" s="2"/>
      <c r="J53" s="8"/>
    </row>
    <row r="54" spans="1:10" x14ac:dyDescent="0.2">
      <c r="A54" s="9"/>
      <c r="B54" s="813" t="s">
        <v>1062</v>
      </c>
      <c r="C54" s="16">
        <v>23000</v>
      </c>
      <c r="D54" s="16">
        <f>23000-23000</f>
        <v>0</v>
      </c>
      <c r="E54" s="16">
        <f>23000-23000</f>
        <v>0</v>
      </c>
      <c r="F54" s="16">
        <f>23000-23000</f>
        <v>0</v>
      </c>
      <c r="G54" s="16">
        <v>0</v>
      </c>
      <c r="H54" s="2"/>
      <c r="I54" s="2"/>
      <c r="J54" s="8"/>
    </row>
    <row r="55" spans="1:10" x14ac:dyDescent="0.2">
      <c r="A55" s="9"/>
      <c r="B55" s="813" t="s">
        <v>1197</v>
      </c>
      <c r="C55" s="16">
        <v>2532</v>
      </c>
      <c r="D55" s="16">
        <v>2532</v>
      </c>
      <c r="E55" s="16">
        <f>2532-2532</f>
        <v>0</v>
      </c>
      <c r="F55" s="16">
        <f>2532-2532</f>
        <v>0</v>
      </c>
      <c r="G55" s="16">
        <v>0</v>
      </c>
      <c r="H55" s="642"/>
      <c r="I55" s="2"/>
      <c r="J55" s="8"/>
    </row>
    <row r="56" spans="1:10" hidden="1" x14ac:dyDescent="0.2">
      <c r="A56" s="9"/>
      <c r="B56" s="813" t="s">
        <v>1121</v>
      </c>
      <c r="C56" s="16"/>
      <c r="D56" s="16"/>
      <c r="E56" s="16"/>
      <c r="F56" s="16"/>
      <c r="G56" s="16"/>
      <c r="H56" s="642"/>
      <c r="I56" s="2"/>
      <c r="J56" s="8"/>
    </row>
    <row r="57" spans="1:10" ht="13.5" customHeight="1" x14ac:dyDescent="0.2">
      <c r="A57" s="9" t="s">
        <v>216</v>
      </c>
      <c r="B57" s="29" t="s">
        <v>1063</v>
      </c>
      <c r="C57" s="16">
        <v>1227</v>
      </c>
      <c r="D57" s="16">
        <v>1227</v>
      </c>
      <c r="E57" s="16">
        <f>1227+2531</f>
        <v>3758</v>
      </c>
      <c r="F57" s="16">
        <f>1227+2531</f>
        <v>3758</v>
      </c>
      <c r="G57" s="16">
        <v>3758</v>
      </c>
      <c r="H57" s="179"/>
      <c r="I57" s="2"/>
      <c r="J57" s="8"/>
    </row>
    <row r="58" spans="1:10" ht="15" x14ac:dyDescent="0.25">
      <c r="A58" s="9" t="s">
        <v>171</v>
      </c>
      <c r="B58" s="29" t="s">
        <v>1064</v>
      </c>
      <c r="C58" s="233">
        <f>SUM(C59:C69)</f>
        <v>44039</v>
      </c>
      <c r="D58" s="233">
        <f>SUM(D59:D69)</f>
        <v>51734</v>
      </c>
      <c r="E58" s="233">
        <f>SUM(E59:E69)</f>
        <v>51784</v>
      </c>
      <c r="F58" s="233">
        <f>SUM(F59:F69)</f>
        <v>53890</v>
      </c>
      <c r="G58" s="233">
        <f>SUM(G59:G69)</f>
        <v>49425</v>
      </c>
      <c r="H58" s="179"/>
      <c r="I58" s="2"/>
      <c r="J58" s="8"/>
    </row>
    <row r="59" spans="1:10" x14ac:dyDescent="0.2">
      <c r="A59" s="9" t="s">
        <v>126</v>
      </c>
      <c r="B59" s="25" t="s">
        <v>1065</v>
      </c>
      <c r="C59" s="92">
        <v>0</v>
      </c>
      <c r="D59" s="92">
        <v>7695</v>
      </c>
      <c r="E59" s="92">
        <f>7695+50</f>
        <v>7745</v>
      </c>
      <c r="F59" s="92">
        <f>7695+50</f>
        <v>7745</v>
      </c>
      <c r="G59" s="92">
        <v>7694</v>
      </c>
      <c r="H59" s="642"/>
      <c r="I59" s="2"/>
      <c r="J59" s="8"/>
    </row>
    <row r="60" spans="1:10" x14ac:dyDescent="0.2">
      <c r="A60" s="9" t="s">
        <v>126</v>
      </c>
      <c r="B60" s="9" t="s">
        <v>1083</v>
      </c>
      <c r="C60" s="92">
        <v>29925</v>
      </c>
      <c r="D60" s="92">
        <v>29925</v>
      </c>
      <c r="E60" s="92">
        <v>29925</v>
      </c>
      <c r="F60" s="92">
        <v>29925</v>
      </c>
      <c r="G60" s="92">
        <v>27500</v>
      </c>
      <c r="H60" s="2"/>
      <c r="I60" s="2"/>
      <c r="J60" s="8"/>
    </row>
    <row r="61" spans="1:10" x14ac:dyDescent="0.2">
      <c r="A61" s="9" t="s">
        <v>126</v>
      </c>
      <c r="B61" s="9" t="s">
        <v>1082</v>
      </c>
      <c r="C61" s="92">
        <v>5000</v>
      </c>
      <c r="D61" s="92">
        <v>5000</v>
      </c>
      <c r="E61" s="92">
        <v>5000</v>
      </c>
      <c r="F61" s="92">
        <v>5000</v>
      </c>
      <c r="G61" s="92">
        <v>5000</v>
      </c>
      <c r="H61" s="2"/>
      <c r="I61" s="2"/>
      <c r="J61" s="8"/>
    </row>
    <row r="62" spans="1:10" x14ac:dyDescent="0.2">
      <c r="A62" s="9" t="s">
        <v>126</v>
      </c>
      <c r="B62" s="9" t="s">
        <v>1068</v>
      </c>
      <c r="C62" s="92"/>
      <c r="D62" s="92"/>
      <c r="E62" s="92"/>
      <c r="F62" s="92"/>
      <c r="G62" s="92"/>
      <c r="H62" s="2"/>
      <c r="I62" s="2"/>
      <c r="J62" s="8"/>
    </row>
    <row r="63" spans="1:10" x14ac:dyDescent="0.2">
      <c r="A63" s="9" t="s">
        <v>126</v>
      </c>
      <c r="B63" s="9" t="s">
        <v>1066</v>
      </c>
      <c r="C63" s="92">
        <v>240</v>
      </c>
      <c r="D63" s="92">
        <v>240</v>
      </c>
      <c r="E63" s="92">
        <v>240</v>
      </c>
      <c r="F63" s="92">
        <v>240</v>
      </c>
      <c r="G63" s="92">
        <v>0</v>
      </c>
      <c r="H63" s="2"/>
      <c r="I63" s="2"/>
      <c r="J63" s="8"/>
    </row>
    <row r="64" spans="1:10" x14ac:dyDescent="0.2">
      <c r="A64" s="9" t="s">
        <v>126</v>
      </c>
      <c r="B64" s="9" t="s">
        <v>1067</v>
      </c>
      <c r="C64" s="92"/>
      <c r="D64" s="92"/>
      <c r="E64" s="92"/>
      <c r="F64" s="92"/>
      <c r="G64" s="92"/>
      <c r="H64" s="2"/>
      <c r="I64" s="2"/>
      <c r="J64" s="8"/>
    </row>
    <row r="65" spans="1:12" x14ac:dyDescent="0.2">
      <c r="A65" s="9" t="s">
        <v>126</v>
      </c>
      <c r="B65" s="9" t="s">
        <v>1193</v>
      </c>
      <c r="C65" s="47">
        <v>1749</v>
      </c>
      <c r="D65" s="47">
        <v>1749</v>
      </c>
      <c r="E65" s="47">
        <v>1749</v>
      </c>
      <c r="F65" s="47">
        <v>1749</v>
      </c>
      <c r="G65" s="47">
        <v>0</v>
      </c>
      <c r="H65" s="191"/>
      <c r="I65" s="2"/>
      <c r="J65" s="8"/>
    </row>
    <row r="66" spans="1:12" x14ac:dyDescent="0.2">
      <c r="A66" s="9" t="s">
        <v>126</v>
      </c>
      <c r="B66" s="9" t="s">
        <v>1134</v>
      </c>
      <c r="C66" s="47">
        <v>7125</v>
      </c>
      <c r="D66" s="47">
        <v>7125</v>
      </c>
      <c r="E66" s="47">
        <v>7125</v>
      </c>
      <c r="F66" s="47">
        <v>7125</v>
      </c>
      <c r="G66" s="47">
        <v>7125</v>
      </c>
      <c r="H66" s="191"/>
      <c r="I66" s="2"/>
      <c r="J66" s="8"/>
    </row>
    <row r="67" spans="1:12" x14ac:dyDescent="0.2">
      <c r="A67" s="9" t="s">
        <v>126</v>
      </c>
      <c r="B67" s="9" t="s">
        <v>1345</v>
      </c>
      <c r="C67" s="47">
        <v>0</v>
      </c>
      <c r="D67" s="47">
        <v>0</v>
      </c>
      <c r="E67" s="47">
        <v>0</v>
      </c>
      <c r="F67" s="47">
        <v>1106</v>
      </c>
      <c r="G67" s="47">
        <v>1106</v>
      </c>
      <c r="H67" s="191"/>
      <c r="I67" s="2"/>
      <c r="J67" s="8"/>
    </row>
    <row r="68" spans="1:12" x14ac:dyDescent="0.2">
      <c r="A68" s="9" t="s">
        <v>126</v>
      </c>
      <c r="B68" s="9" t="s">
        <v>1348</v>
      </c>
      <c r="C68" s="47">
        <v>0</v>
      </c>
      <c r="D68" s="47">
        <v>0</v>
      </c>
      <c r="E68" s="47">
        <v>0</v>
      </c>
      <c r="F68" s="47">
        <v>1000</v>
      </c>
      <c r="G68" s="47">
        <v>1000</v>
      </c>
      <c r="H68" s="191"/>
      <c r="I68" s="2"/>
      <c r="J68" s="8"/>
    </row>
    <row r="69" spans="1:12" hidden="1" x14ac:dyDescent="0.2">
      <c r="A69" s="9" t="s">
        <v>126</v>
      </c>
      <c r="B69" s="9"/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191"/>
      <c r="I69" s="2"/>
      <c r="J69" s="8"/>
    </row>
    <row r="70" spans="1:12" ht="18" customHeight="1" x14ac:dyDescent="0.25">
      <c r="A70" s="18" t="s">
        <v>141</v>
      </c>
      <c r="B70" s="30" t="s">
        <v>229</v>
      </c>
      <c r="C70" s="246">
        <f>SUM(C74+C78+C82)</f>
        <v>312000</v>
      </c>
      <c r="D70" s="246">
        <f>SUM(D74+D78+D82)</f>
        <v>312000</v>
      </c>
      <c r="E70" s="246">
        <f>SUM(E74+E78+E82)</f>
        <v>352650</v>
      </c>
      <c r="F70" s="246">
        <f>SUM(F74+F78+F82)</f>
        <v>376425</v>
      </c>
      <c r="G70" s="184">
        <f>SUM(G74+G78+G82)</f>
        <v>348204</v>
      </c>
      <c r="H70" s="800"/>
      <c r="I70" s="2"/>
      <c r="J70" s="8"/>
    </row>
    <row r="71" spans="1:12" ht="13.5" hidden="1" customHeight="1" x14ac:dyDescent="0.2">
      <c r="A71" s="9" t="s">
        <v>142</v>
      </c>
      <c r="B71" s="9" t="s">
        <v>148</v>
      </c>
      <c r="C71" s="171"/>
      <c r="D71" s="171"/>
      <c r="E71" s="171"/>
      <c r="F71" s="171"/>
      <c r="G71" s="232"/>
      <c r="H71" s="800"/>
      <c r="I71" s="2"/>
      <c r="J71" s="8"/>
    </row>
    <row r="72" spans="1:12" ht="13.5" hidden="1" customHeight="1" x14ac:dyDescent="0.2">
      <c r="A72" s="9" t="s">
        <v>143</v>
      </c>
      <c r="B72" s="9" t="s">
        <v>149</v>
      </c>
      <c r="C72" s="171"/>
      <c r="D72" s="171"/>
      <c r="E72" s="171"/>
      <c r="F72" s="171"/>
      <c r="G72" s="232"/>
      <c r="H72" s="800"/>
      <c r="I72" s="2"/>
      <c r="J72" s="8"/>
    </row>
    <row r="73" spans="1:12" ht="13.5" hidden="1" customHeight="1" x14ac:dyDescent="0.2">
      <c r="A73" s="9" t="s">
        <v>144</v>
      </c>
      <c r="B73" s="26" t="s">
        <v>150</v>
      </c>
      <c r="C73" s="171"/>
      <c r="D73" s="171"/>
      <c r="E73" s="171"/>
      <c r="F73" s="171"/>
      <c r="G73" s="232"/>
      <c r="H73" s="800"/>
      <c r="I73" s="2"/>
      <c r="J73" s="8"/>
    </row>
    <row r="74" spans="1:12" ht="13.5" customHeight="1" x14ac:dyDescent="0.2">
      <c r="A74" s="9" t="s">
        <v>145</v>
      </c>
      <c r="B74" s="9" t="s">
        <v>469</v>
      </c>
      <c r="C74" s="183">
        <f>SUM(C75:C77)</f>
        <v>265500</v>
      </c>
      <c r="D74" s="183">
        <f>SUM(D75:D77)</f>
        <v>265500</v>
      </c>
      <c r="E74" s="183">
        <f>SUM(E75:E77)</f>
        <v>265500</v>
      </c>
      <c r="F74" s="183">
        <f>SUM(F75:F77)</f>
        <v>265500</v>
      </c>
      <c r="G74" s="183">
        <f>SUM(G75:G77)</f>
        <v>238977</v>
      </c>
      <c r="H74" s="191"/>
      <c r="I74" s="2"/>
      <c r="J74" s="8"/>
    </row>
    <row r="75" spans="1:12" ht="13.5" customHeight="1" x14ac:dyDescent="0.2">
      <c r="A75" s="9"/>
      <c r="B75" s="280" t="s">
        <v>470</v>
      </c>
      <c r="C75" s="47">
        <f>(225000+10000+10000)</f>
        <v>245000</v>
      </c>
      <c r="D75" s="47">
        <f>(225000+10000+10000)</f>
        <v>245000</v>
      </c>
      <c r="E75" s="47">
        <f>(225000+10000+10000)</f>
        <v>245000</v>
      </c>
      <c r="F75" s="47">
        <f>(225000+10000+10000)</f>
        <v>245000</v>
      </c>
      <c r="G75" s="47">
        <v>219371</v>
      </c>
      <c r="H75" s="8"/>
      <c r="I75" s="2"/>
      <c r="J75" s="8"/>
    </row>
    <row r="76" spans="1:12" ht="13.5" customHeight="1" x14ac:dyDescent="0.2">
      <c r="A76" s="9"/>
      <c r="B76" s="280" t="s">
        <v>809</v>
      </c>
      <c r="C76" s="47">
        <v>9500</v>
      </c>
      <c r="D76" s="47">
        <v>9500</v>
      </c>
      <c r="E76" s="47">
        <v>9500</v>
      </c>
      <c r="F76" s="47">
        <v>9500</v>
      </c>
      <c r="G76" s="47">
        <v>8898</v>
      </c>
      <c r="H76" s="8"/>
      <c r="I76" s="2"/>
      <c r="J76" s="8"/>
    </row>
    <row r="77" spans="1:12" ht="13.5" customHeight="1" x14ac:dyDescent="0.2">
      <c r="A77" s="9"/>
      <c r="B77" s="280" t="s">
        <v>810</v>
      </c>
      <c r="C77" s="47">
        <v>11000</v>
      </c>
      <c r="D77" s="47">
        <v>11000</v>
      </c>
      <c r="E77" s="47">
        <v>11000</v>
      </c>
      <c r="F77" s="47">
        <v>11000</v>
      </c>
      <c r="G77" s="47">
        <v>10708</v>
      </c>
      <c r="H77" s="8"/>
      <c r="I77" s="2"/>
      <c r="J77" s="8"/>
    </row>
    <row r="78" spans="1:12" s="59" customFormat="1" ht="13.5" customHeight="1" x14ac:dyDescent="0.2">
      <c r="A78" s="9" t="s">
        <v>146</v>
      </c>
      <c r="B78" s="9" t="s">
        <v>230</v>
      </c>
      <c r="C78" s="88">
        <f>SUM(C79:C81)</f>
        <v>45000</v>
      </c>
      <c r="D78" s="88">
        <f>SUM(D79:D81)</f>
        <v>45000</v>
      </c>
      <c r="E78" s="88">
        <f>SUM(E79:E81)</f>
        <v>85000</v>
      </c>
      <c r="F78" s="88">
        <f>SUM(F79:F81)</f>
        <v>108000</v>
      </c>
      <c r="G78" s="88">
        <f>SUM(G79:G81)</f>
        <v>106356</v>
      </c>
      <c r="H78" s="8"/>
      <c r="I78" s="2"/>
      <c r="J78" s="8"/>
      <c r="K78"/>
      <c r="L78"/>
    </row>
    <row r="79" spans="1:12" s="59" customFormat="1" ht="13.5" customHeight="1" x14ac:dyDescent="0.2">
      <c r="A79" s="9"/>
      <c r="B79" s="280" t="s">
        <v>231</v>
      </c>
      <c r="C79" s="171">
        <v>45000</v>
      </c>
      <c r="D79" s="171">
        <v>45000</v>
      </c>
      <c r="E79" s="171">
        <v>45000</v>
      </c>
      <c r="F79" s="171">
        <f>45000+16000</f>
        <v>61000</v>
      </c>
      <c r="G79" s="171">
        <v>60263</v>
      </c>
      <c r="H79" s="811"/>
      <c r="I79" s="2"/>
      <c r="J79" s="8"/>
      <c r="K79"/>
      <c r="L79"/>
    </row>
    <row r="80" spans="1:12" s="59" customFormat="1" ht="13.5" hidden="1" customHeight="1" x14ac:dyDescent="0.2">
      <c r="A80" s="9"/>
      <c r="B80" s="280" t="s">
        <v>471</v>
      </c>
      <c r="C80" s="171"/>
      <c r="D80" s="171"/>
      <c r="E80" s="171"/>
      <c r="F80" s="171"/>
      <c r="G80" s="171">
        <f>116-116</f>
        <v>0</v>
      </c>
      <c r="H80" s="642"/>
      <c r="I80" s="2"/>
      <c r="J80" s="8"/>
      <c r="K80"/>
      <c r="L80"/>
    </row>
    <row r="81" spans="1:12" s="59" customFormat="1" ht="13.5" customHeight="1" x14ac:dyDescent="0.2">
      <c r="A81" s="9"/>
      <c r="B81" s="280" t="s">
        <v>1125</v>
      </c>
      <c r="C81" s="171">
        <v>0</v>
      </c>
      <c r="D81" s="171">
        <v>0</v>
      </c>
      <c r="E81" s="171">
        <v>40000</v>
      </c>
      <c r="F81" s="171">
        <f>40000+7000</f>
        <v>47000</v>
      </c>
      <c r="G81" s="171">
        <v>46093</v>
      </c>
      <c r="H81" s="812"/>
      <c r="I81" s="2"/>
      <c r="J81" s="8"/>
      <c r="K81"/>
      <c r="L81"/>
    </row>
    <row r="82" spans="1:12" s="59" customFormat="1" ht="13.5" customHeight="1" x14ac:dyDescent="0.2">
      <c r="A82" s="9" t="s">
        <v>147</v>
      </c>
      <c r="B82" s="9" t="s">
        <v>338</v>
      </c>
      <c r="C82" s="88">
        <v>1500</v>
      </c>
      <c r="D82" s="88">
        <f>(520+980)</f>
        <v>1500</v>
      </c>
      <c r="E82" s="88">
        <f>(520+650)+(980)</f>
        <v>2150</v>
      </c>
      <c r="F82" s="88">
        <f>((520+650)+730)+(980+45)</f>
        <v>2925</v>
      </c>
      <c r="G82" s="88">
        <f>(1846)+(1025)</f>
        <v>2871</v>
      </c>
      <c r="H82" s="642"/>
      <c r="I82" s="2"/>
      <c r="J82" s="8"/>
      <c r="K82"/>
      <c r="L82"/>
    </row>
    <row r="83" spans="1:12" s="59" customFormat="1" ht="18" customHeight="1" x14ac:dyDescent="0.25">
      <c r="A83" s="18" t="s">
        <v>152</v>
      </c>
      <c r="B83" s="30" t="s">
        <v>232</v>
      </c>
      <c r="C83" s="628">
        <f>SUM(C84:C94)</f>
        <v>38528</v>
      </c>
      <c r="D83" s="628">
        <f>SUM(D84:D94)</f>
        <v>39270</v>
      </c>
      <c r="E83" s="628">
        <f>SUM(E84:E94)</f>
        <v>55755</v>
      </c>
      <c r="F83" s="628">
        <f>SUM(F84:F94)</f>
        <v>73496</v>
      </c>
      <c r="G83" s="628">
        <f>SUM(G84:G94)</f>
        <v>71384</v>
      </c>
      <c r="H83" s="642"/>
      <c r="I83" s="2"/>
      <c r="J83" s="8"/>
      <c r="K83"/>
      <c r="L83"/>
    </row>
    <row r="84" spans="1:12" x14ac:dyDescent="0.2">
      <c r="A84" s="9" t="s">
        <v>155</v>
      </c>
      <c r="B84" s="9" t="s">
        <v>233</v>
      </c>
      <c r="C84" s="16"/>
      <c r="D84" s="16"/>
      <c r="E84" s="16"/>
      <c r="F84" s="16"/>
      <c r="G84" s="16"/>
      <c r="H84" s="642"/>
      <c r="I84" s="2"/>
      <c r="J84" s="8"/>
    </row>
    <row r="85" spans="1:12" s="59" customFormat="1" x14ac:dyDescent="0.2">
      <c r="A85" s="9" t="s">
        <v>156</v>
      </c>
      <c r="B85" s="9" t="s">
        <v>234</v>
      </c>
      <c r="C85" s="16"/>
      <c r="D85" s="16"/>
      <c r="E85" s="16"/>
      <c r="F85" s="16"/>
      <c r="G85" s="16"/>
      <c r="H85" s="642"/>
      <c r="I85" s="2"/>
      <c r="J85" s="8"/>
      <c r="K85"/>
      <c r="L85"/>
    </row>
    <row r="86" spans="1:12" s="59" customFormat="1" ht="13.5" customHeight="1" x14ac:dyDescent="0.2">
      <c r="A86" s="9" t="s">
        <v>157</v>
      </c>
      <c r="B86" s="9" t="s">
        <v>235</v>
      </c>
      <c r="C86" s="16">
        <v>1500</v>
      </c>
      <c r="D86" s="16">
        <v>1500</v>
      </c>
      <c r="E86" s="16">
        <v>1500</v>
      </c>
      <c r="F86" s="16">
        <v>1500</v>
      </c>
      <c r="G86" s="16">
        <v>901</v>
      </c>
      <c r="H86" s="642"/>
      <c r="I86" s="2"/>
      <c r="J86" s="8"/>
      <c r="K86"/>
      <c r="L86"/>
    </row>
    <row r="87" spans="1:12" ht="13.5" customHeight="1" x14ac:dyDescent="0.2">
      <c r="A87" s="9" t="s">
        <v>158</v>
      </c>
      <c r="B87" s="26" t="s">
        <v>236</v>
      </c>
      <c r="C87" s="16">
        <v>22000</v>
      </c>
      <c r="D87" s="16">
        <v>22000</v>
      </c>
      <c r="E87" s="16">
        <f>22000+1000</f>
        <v>23000</v>
      </c>
      <c r="F87" s="16">
        <f>22000+1000+6550</f>
        <v>29550</v>
      </c>
      <c r="G87" s="16">
        <v>29410</v>
      </c>
      <c r="H87" s="642"/>
      <c r="I87" s="2"/>
      <c r="J87" s="8"/>
    </row>
    <row r="88" spans="1:12" ht="13.5" customHeight="1" x14ac:dyDescent="0.2">
      <c r="A88" s="9" t="s">
        <v>159</v>
      </c>
      <c r="B88" s="26" t="s">
        <v>237</v>
      </c>
      <c r="C88" s="16">
        <v>9000</v>
      </c>
      <c r="D88" s="16">
        <v>9000</v>
      </c>
      <c r="E88" s="16">
        <v>9000</v>
      </c>
      <c r="F88" s="16">
        <v>9000</v>
      </c>
      <c r="G88" s="16">
        <v>7742</v>
      </c>
      <c r="H88" s="2"/>
      <c r="I88" s="2"/>
      <c r="J88" s="8"/>
    </row>
    <row r="89" spans="1:12" x14ac:dyDescent="0.2">
      <c r="A89" s="9" t="s">
        <v>163</v>
      </c>
      <c r="B89" s="26" t="s">
        <v>238</v>
      </c>
      <c r="C89" s="16">
        <v>2000</v>
      </c>
      <c r="D89" s="16">
        <v>2000</v>
      </c>
      <c r="E89" s="16">
        <f>2000+13500</f>
        <v>15500</v>
      </c>
      <c r="F89" s="16">
        <f>2000+13500</f>
        <v>15500</v>
      </c>
      <c r="G89" s="16">
        <v>15393</v>
      </c>
      <c r="H89" s="2"/>
      <c r="I89" s="2"/>
      <c r="J89" s="8"/>
    </row>
    <row r="90" spans="1:12" hidden="1" x14ac:dyDescent="0.2">
      <c r="A90" s="9" t="s">
        <v>165</v>
      </c>
      <c r="B90" s="26" t="s">
        <v>239</v>
      </c>
      <c r="C90" s="16"/>
      <c r="D90" s="16"/>
      <c r="E90" s="16"/>
      <c r="F90" s="16"/>
      <c r="G90" s="16"/>
      <c r="H90" s="2"/>
      <c r="I90" s="2"/>
      <c r="J90" s="8"/>
    </row>
    <row r="91" spans="1:12" x14ac:dyDescent="0.2">
      <c r="A91" s="9" t="s">
        <v>167</v>
      </c>
      <c r="B91" s="26" t="s">
        <v>240</v>
      </c>
      <c r="C91" s="16">
        <v>28</v>
      </c>
      <c r="D91" s="16">
        <f>27+(1+2)</f>
        <v>30</v>
      </c>
      <c r="E91" s="16">
        <f>27+(1+2)</f>
        <v>30</v>
      </c>
      <c r="F91" s="16">
        <f>27+(1+2)</f>
        <v>30</v>
      </c>
      <c r="G91" s="16">
        <f>24+(2)</f>
        <v>26</v>
      </c>
      <c r="H91" s="2"/>
      <c r="I91" s="2"/>
      <c r="J91" s="8"/>
    </row>
    <row r="92" spans="1:12" hidden="1" x14ac:dyDescent="0.2">
      <c r="A92" s="9" t="s">
        <v>169</v>
      </c>
      <c r="B92" s="26" t="s">
        <v>241</v>
      </c>
      <c r="C92" s="16"/>
      <c r="D92" s="16"/>
      <c r="E92" s="16"/>
      <c r="F92" s="16"/>
      <c r="G92" s="16"/>
      <c r="H92" s="2"/>
      <c r="I92" s="2"/>
      <c r="J92" s="8"/>
    </row>
    <row r="93" spans="1:12" x14ac:dyDescent="0.2">
      <c r="A93" s="9" t="s">
        <v>175</v>
      </c>
      <c r="B93" s="26" t="s">
        <v>408</v>
      </c>
      <c r="C93" s="16">
        <v>0</v>
      </c>
      <c r="D93" s="16">
        <v>0</v>
      </c>
      <c r="E93" s="16">
        <v>0</v>
      </c>
      <c r="F93" s="16">
        <v>0</v>
      </c>
      <c r="G93" s="16">
        <v>0</v>
      </c>
      <c r="H93" s="2"/>
      <c r="I93" s="2"/>
      <c r="J93" s="8"/>
    </row>
    <row r="94" spans="1:12" x14ac:dyDescent="0.2">
      <c r="A94" s="9" t="s">
        <v>402</v>
      </c>
      <c r="B94" s="135" t="s">
        <v>460</v>
      </c>
      <c r="C94" s="16">
        <v>4000</v>
      </c>
      <c r="D94" s="16">
        <f>(3981+570)+(19+167+3)</f>
        <v>4740</v>
      </c>
      <c r="E94" s="16">
        <f>((3981+570)+600+1385)+(19+167+3)</f>
        <v>6725</v>
      </c>
      <c r="F94" s="16">
        <f>(((3981+570)+600+1385)+10690)+(19+167+3+501)</f>
        <v>17916</v>
      </c>
      <c r="G94" s="16">
        <f>(17223)+689</f>
        <v>17912</v>
      </c>
      <c r="H94" s="8"/>
      <c r="I94" s="2"/>
      <c r="J94" s="8"/>
    </row>
    <row r="95" spans="1:12" ht="15.75" x14ac:dyDescent="0.25">
      <c r="A95" s="18" t="s">
        <v>190</v>
      </c>
      <c r="B95" s="30" t="s">
        <v>242</v>
      </c>
      <c r="C95" s="628">
        <f t="shared" ref="C95:E95" si="0">SUM(C99)+C101+C100</f>
        <v>17000</v>
      </c>
      <c r="D95" s="628">
        <f t="shared" si="0"/>
        <v>22120</v>
      </c>
      <c r="E95" s="628">
        <f t="shared" si="0"/>
        <v>29620</v>
      </c>
      <c r="F95" s="628">
        <f>SUM(F99)+F101+F100</f>
        <v>40357</v>
      </c>
      <c r="G95" s="628">
        <f>SUM(G99)+G101+G100</f>
        <v>40357</v>
      </c>
      <c r="H95" s="2"/>
      <c r="I95" s="2"/>
      <c r="J95" s="8"/>
    </row>
    <row r="96" spans="1:12" hidden="1" x14ac:dyDescent="0.2">
      <c r="A96" s="9" t="s">
        <v>196</v>
      </c>
      <c r="B96" s="26" t="s">
        <v>243</v>
      </c>
      <c r="C96" s="19"/>
      <c r="D96" s="19"/>
      <c r="E96" s="19"/>
      <c r="F96" s="19"/>
      <c r="G96" s="13"/>
      <c r="H96" s="2"/>
      <c r="I96" s="2"/>
      <c r="J96" s="8"/>
    </row>
    <row r="97" spans="1:10" hidden="1" x14ac:dyDescent="0.2">
      <c r="A97" s="9" t="s">
        <v>197</v>
      </c>
      <c r="B97" s="26" t="s">
        <v>244</v>
      </c>
      <c r="C97" s="19"/>
      <c r="D97" s="19"/>
      <c r="E97" s="19"/>
      <c r="F97" s="19"/>
      <c r="G97" s="13"/>
      <c r="H97" s="2"/>
      <c r="I97" s="2"/>
      <c r="J97" s="8"/>
    </row>
    <row r="98" spans="1:10" hidden="1" x14ac:dyDescent="0.2">
      <c r="A98" s="9" t="s">
        <v>198</v>
      </c>
      <c r="B98" s="26" t="s">
        <v>245</v>
      </c>
      <c r="C98" s="15"/>
      <c r="D98" s="15"/>
      <c r="E98" s="15"/>
      <c r="F98" s="15"/>
      <c r="G98" s="6"/>
      <c r="H98" s="2"/>
      <c r="I98" s="2"/>
      <c r="J98" s="8"/>
    </row>
    <row r="99" spans="1:10" x14ac:dyDescent="0.2">
      <c r="A99" s="9" t="s">
        <v>409</v>
      </c>
      <c r="B99" s="9" t="s">
        <v>1189</v>
      </c>
      <c r="C99" s="16">
        <v>17000</v>
      </c>
      <c r="D99" s="16">
        <v>17000</v>
      </c>
      <c r="E99" s="16">
        <v>17000</v>
      </c>
      <c r="F99" s="16">
        <f>17000+3137</f>
        <v>20137</v>
      </c>
      <c r="G99" s="17">
        <v>20137</v>
      </c>
      <c r="H99" s="2"/>
      <c r="I99" s="2"/>
      <c r="J99" s="8"/>
    </row>
    <row r="100" spans="1:10" x14ac:dyDescent="0.2">
      <c r="A100" s="9"/>
      <c r="B100" s="9" t="s">
        <v>1226</v>
      </c>
      <c r="C100" s="16">
        <v>0</v>
      </c>
      <c r="D100" s="16">
        <f>2000+120+3000</f>
        <v>5120</v>
      </c>
      <c r="E100" s="16">
        <f>(2000+120+3000)+6000+1500</f>
        <v>12620</v>
      </c>
      <c r="F100" s="16">
        <f>(2000+120+3000)+6000+1500+3600</f>
        <v>16220</v>
      </c>
      <c r="G100" s="17">
        <v>16220</v>
      </c>
      <c r="H100" s="2"/>
      <c r="I100" s="2"/>
      <c r="J100" s="8"/>
    </row>
    <row r="101" spans="1:10" x14ac:dyDescent="0.2">
      <c r="A101" s="9"/>
      <c r="B101" s="9" t="s">
        <v>1352</v>
      </c>
      <c r="C101" s="16">
        <v>0</v>
      </c>
      <c r="D101" s="16">
        <v>0</v>
      </c>
      <c r="E101" s="16">
        <v>0</v>
      </c>
      <c r="F101" s="16">
        <v>4000</v>
      </c>
      <c r="G101" s="17">
        <v>4000</v>
      </c>
      <c r="H101" s="2"/>
      <c r="I101" s="2"/>
      <c r="J101" s="8"/>
    </row>
    <row r="102" spans="1:10" ht="18" customHeight="1" x14ac:dyDescent="0.25">
      <c r="A102" s="32" t="s">
        <v>192</v>
      </c>
      <c r="B102" s="202" t="s">
        <v>356</v>
      </c>
      <c r="C102" s="628">
        <f>SUM(C103)</f>
        <v>270035</v>
      </c>
      <c r="D102" s="628">
        <f>SUM(D103)</f>
        <v>270035</v>
      </c>
      <c r="E102" s="628">
        <f>SUM(E103)</f>
        <v>270035</v>
      </c>
      <c r="F102" s="628">
        <f>SUM(F103)</f>
        <v>285951</v>
      </c>
      <c r="G102" s="52">
        <f>SUM(G103)</f>
        <v>285951</v>
      </c>
      <c r="H102" s="2"/>
      <c r="I102" s="2"/>
      <c r="J102" s="8"/>
    </row>
    <row r="103" spans="1:10" ht="13.5" customHeight="1" x14ac:dyDescent="0.25">
      <c r="A103" s="32"/>
      <c r="B103" s="30" t="str">
        <f>'1.Bev-kiad.'!B55</f>
        <v xml:space="preserve">   1. Belföldi finanszírozás bevételei</v>
      </c>
      <c r="C103" s="627">
        <f>SUM(C104+C109)</f>
        <v>270035</v>
      </c>
      <c r="D103" s="627">
        <f>SUM(D104+D109)</f>
        <v>270035</v>
      </c>
      <c r="E103" s="627">
        <f>SUM(E104+E109)</f>
        <v>270035</v>
      </c>
      <c r="F103" s="627">
        <f>SUM(F104+F109)</f>
        <v>285951</v>
      </c>
      <c r="G103" s="185">
        <f>SUM(G104+G109)</f>
        <v>285951</v>
      </c>
      <c r="H103" s="2"/>
      <c r="I103" s="2"/>
      <c r="J103" s="8"/>
    </row>
    <row r="104" spans="1:10" x14ac:dyDescent="0.2">
      <c r="A104" s="32"/>
      <c r="B104" s="39" t="str">
        <f>'1.Bev-kiad.'!B56</f>
        <v xml:space="preserve">        1.1. Előző év költségvetési maradványának igénybevétele</v>
      </c>
      <c r="C104" s="16">
        <f>(252154+17881)</f>
        <v>270035</v>
      </c>
      <c r="D104" s="16">
        <f>(252154+17881)</f>
        <v>270035</v>
      </c>
      <c r="E104" s="16">
        <f>(252154+17881)</f>
        <v>270035</v>
      </c>
      <c r="F104" s="16">
        <f>(252154+17881)</f>
        <v>270035</v>
      </c>
      <c r="G104" s="16">
        <v>270035</v>
      </c>
      <c r="H104" s="2"/>
      <c r="I104" s="2"/>
      <c r="J104" s="8"/>
    </row>
    <row r="105" spans="1:10" hidden="1" x14ac:dyDescent="0.2">
      <c r="A105" s="32"/>
      <c r="B105" s="167" t="s">
        <v>889</v>
      </c>
      <c r="C105" s="16">
        <f>(381956+18883+19378+10058+5652-'3.felh'!C34+4167-34702+40056)</f>
        <v>293336</v>
      </c>
      <c r="D105" s="16">
        <f>(381956+18883+19378+10058+5652-'3.felh'!D34+4167-34702+40056)</f>
        <v>293336</v>
      </c>
      <c r="E105" s="16">
        <f>(381956+18883+19378+10058+5652-'3.felh'!E34+4167-34702+40056)</f>
        <v>293336</v>
      </c>
      <c r="F105" s="16"/>
      <c r="G105" s="16"/>
      <c r="H105" s="2"/>
      <c r="I105" s="2"/>
      <c r="J105" s="8"/>
    </row>
    <row r="106" spans="1:10" hidden="1" x14ac:dyDescent="0.2">
      <c r="A106" s="32"/>
      <c r="B106" s="167"/>
      <c r="C106" s="16"/>
      <c r="D106" s="16"/>
      <c r="E106" s="16"/>
      <c r="F106" s="16"/>
      <c r="G106" s="16"/>
      <c r="H106" s="2"/>
      <c r="I106" s="2"/>
      <c r="J106" s="8"/>
    </row>
    <row r="107" spans="1:10" hidden="1" x14ac:dyDescent="0.2">
      <c r="A107" s="32"/>
      <c r="B107" s="167" t="s">
        <v>886</v>
      </c>
      <c r="C107" s="16"/>
      <c r="D107" s="16"/>
      <c r="E107" s="16"/>
      <c r="F107" s="16"/>
      <c r="G107" s="16"/>
      <c r="H107" s="2"/>
      <c r="I107" s="2"/>
      <c r="J107" s="8"/>
    </row>
    <row r="108" spans="1:10" hidden="1" x14ac:dyDescent="0.2">
      <c r="A108" s="32"/>
      <c r="B108" s="167" t="s">
        <v>884</v>
      </c>
      <c r="C108" s="16">
        <f>(32623-4167)</f>
        <v>28456</v>
      </c>
      <c r="D108" s="16">
        <f>(32623-4167)</f>
        <v>28456</v>
      </c>
      <c r="E108" s="16">
        <f>(32623-4167)</f>
        <v>28456</v>
      </c>
      <c r="F108" s="16"/>
      <c r="G108" s="16"/>
      <c r="H108" s="2"/>
      <c r="I108" s="2"/>
      <c r="J108" s="8"/>
    </row>
    <row r="109" spans="1:10" ht="13.5" customHeight="1" x14ac:dyDescent="0.2">
      <c r="A109" s="32"/>
      <c r="B109" s="167" t="s">
        <v>523</v>
      </c>
      <c r="C109" s="16">
        <v>0</v>
      </c>
      <c r="D109" s="16">
        <v>0</v>
      </c>
      <c r="E109" s="16">
        <v>0</v>
      </c>
      <c r="F109" s="16">
        <v>15916</v>
      </c>
      <c r="G109" s="16">
        <v>15916</v>
      </c>
      <c r="H109" s="8"/>
      <c r="I109" s="2"/>
      <c r="J109" s="8"/>
    </row>
    <row r="110" spans="1:10" ht="13.5" customHeight="1" x14ac:dyDescent="0.25">
      <c r="A110" s="32"/>
      <c r="B110" s="30" t="s">
        <v>449</v>
      </c>
      <c r="C110" s="627"/>
      <c r="D110" s="627"/>
      <c r="E110" s="185"/>
      <c r="F110" s="185"/>
      <c r="G110" s="185"/>
      <c r="H110" s="2"/>
      <c r="I110" s="2"/>
      <c r="J110" s="8"/>
    </row>
    <row r="111" spans="1:10" ht="13.5" customHeight="1" thickBot="1" x14ac:dyDescent="0.3">
      <c r="A111" s="920"/>
      <c r="B111" s="14" t="s">
        <v>249</v>
      </c>
      <c r="C111" s="814"/>
      <c r="D111" s="265"/>
      <c r="E111" s="265"/>
      <c r="F111" s="265"/>
      <c r="G111" s="265"/>
      <c r="H111" s="2"/>
      <c r="I111" s="2"/>
      <c r="J111" s="8"/>
    </row>
    <row r="112" spans="1:10" ht="19.5" customHeight="1" thickBot="1" x14ac:dyDescent="0.4">
      <c r="A112" s="266"/>
      <c r="B112" s="267" t="s">
        <v>394</v>
      </c>
      <c r="C112" s="210">
        <f>SUM(C8+C102)</f>
        <v>1094651</v>
      </c>
      <c r="D112" s="210">
        <f>SUM(D8+D102)</f>
        <v>1111983</v>
      </c>
      <c r="E112" s="210">
        <f>SUM(E8+E102)</f>
        <v>1213777</v>
      </c>
      <c r="F112" s="210">
        <f>SUM(F8+F102)</f>
        <v>1287816</v>
      </c>
      <c r="G112" s="210">
        <f>SUM(G8+G102)</f>
        <v>1253018</v>
      </c>
      <c r="H112" s="8"/>
      <c r="I112" s="2"/>
      <c r="J112" s="2"/>
    </row>
    <row r="113" spans="1:12" ht="18" customHeight="1" x14ac:dyDescent="0.25">
      <c r="A113" s="168" t="s">
        <v>369</v>
      </c>
      <c r="B113" s="277" t="s">
        <v>366</v>
      </c>
      <c r="C113" s="223">
        <f>SUM(C114+C117+C120+C123+C124)</f>
        <v>1000160</v>
      </c>
      <c r="D113" s="223">
        <f>SUM(D114+D117+D120+D123+D124)</f>
        <v>1017492</v>
      </c>
      <c r="E113" s="223">
        <f>SUM(E114+E117+E120+E123+E124)</f>
        <v>1119649</v>
      </c>
      <c r="F113" s="223">
        <f>SUM(F114+F117+F120+F123+F124)</f>
        <v>1193684</v>
      </c>
      <c r="G113" s="223">
        <f>SUM(G114+G117+G120+G123+G124)</f>
        <v>856711</v>
      </c>
      <c r="H113" s="658"/>
      <c r="I113" s="2"/>
      <c r="J113" s="2"/>
    </row>
    <row r="114" spans="1:12" ht="18" customHeight="1" x14ac:dyDescent="0.25">
      <c r="A114" s="18" t="s">
        <v>217</v>
      </c>
      <c r="B114" s="227" t="s">
        <v>246</v>
      </c>
      <c r="C114" s="224">
        <f>SUM(C115:C116)</f>
        <v>214835</v>
      </c>
      <c r="D114" s="224">
        <f>SUM(D115:D116)</f>
        <v>221127</v>
      </c>
      <c r="E114" s="224">
        <f>SUM(E115:E116)</f>
        <v>221216</v>
      </c>
      <c r="F114" s="224">
        <f>SUM(F115:F116)</f>
        <v>222132</v>
      </c>
      <c r="G114" s="224">
        <f>SUM(G115:G116)</f>
        <v>218807</v>
      </c>
      <c r="H114" s="784"/>
      <c r="I114" s="2"/>
      <c r="J114" s="2"/>
    </row>
    <row r="115" spans="1:12" ht="13.5" customHeight="1" x14ac:dyDescent="0.2">
      <c r="A115" s="18"/>
      <c r="B115" s="282" t="s">
        <v>427</v>
      </c>
      <c r="C115" s="281">
        <f>SUM('8.Önk.'!BA25)</f>
        <v>39528</v>
      </c>
      <c r="D115" s="281">
        <f>SUM('8.Önk.'!BB25)</f>
        <v>40264</v>
      </c>
      <c r="E115" s="281">
        <f>SUM('8.Önk.'!BC25)</f>
        <v>40353</v>
      </c>
      <c r="F115" s="281">
        <f>SUM('8.Önk.'!BD25)</f>
        <v>40353</v>
      </c>
      <c r="G115" s="281">
        <f>SUM('8.Önk.'!BE25)</f>
        <v>38426</v>
      </c>
      <c r="H115" s="8"/>
      <c r="I115" s="2"/>
      <c r="J115" s="2"/>
    </row>
    <row r="116" spans="1:12" ht="13.5" customHeight="1" x14ac:dyDescent="0.2">
      <c r="A116" s="18"/>
      <c r="B116" s="282" t="s">
        <v>474</v>
      </c>
      <c r="C116" s="281">
        <f>SUM('9.Hivatal'!R21)</f>
        <v>175307</v>
      </c>
      <c r="D116" s="281">
        <f>SUM('9.Hivatal'!S21)</f>
        <v>180863</v>
      </c>
      <c r="E116" s="281">
        <f>SUM('9.Hivatal'!T21)</f>
        <v>180863</v>
      </c>
      <c r="F116" s="281">
        <f>SUM('9.Hivatal'!U21)</f>
        <v>181779</v>
      </c>
      <c r="G116" s="281">
        <f>SUM('9.Hivatal'!V21)</f>
        <v>180381</v>
      </c>
      <c r="H116" s="8"/>
      <c r="I116" s="2"/>
      <c r="J116" s="2"/>
    </row>
    <row r="117" spans="1:12" ht="18" customHeight="1" x14ac:dyDescent="0.25">
      <c r="A117" s="18" t="s">
        <v>218</v>
      </c>
      <c r="B117" s="30" t="s">
        <v>247</v>
      </c>
      <c r="C117" s="224">
        <f>SUM(C118:C119)</f>
        <v>33198</v>
      </c>
      <c r="D117" s="224">
        <f>SUM(D118:D119)</f>
        <v>34088</v>
      </c>
      <c r="E117" s="224">
        <f>SUM(E118:E119)</f>
        <v>34156</v>
      </c>
      <c r="F117" s="224">
        <f>SUM(F118:F119)</f>
        <v>34156</v>
      </c>
      <c r="G117" s="224">
        <f>SUM(G118:G119)</f>
        <v>33368</v>
      </c>
      <c r="H117" s="8"/>
      <c r="I117" s="2"/>
      <c r="J117" s="2"/>
    </row>
    <row r="118" spans="1:12" ht="13.5" customHeight="1" x14ac:dyDescent="0.2">
      <c r="A118" s="18"/>
      <c r="B118" s="283" t="s">
        <v>428</v>
      </c>
      <c r="C118" s="281">
        <f>SUM('8.Önk.'!BA29)</f>
        <v>6357</v>
      </c>
      <c r="D118" s="281">
        <f>SUM('8.Önk.'!BB29)</f>
        <v>6452</v>
      </c>
      <c r="E118" s="281">
        <f>SUM('8.Önk.'!BC29)</f>
        <v>6520</v>
      </c>
      <c r="F118" s="281">
        <f>SUM('8.Önk.'!BD29)</f>
        <v>6520</v>
      </c>
      <c r="G118" s="281">
        <f>SUM('8.Önk.'!BE29)</f>
        <v>5855</v>
      </c>
      <c r="H118" s="8"/>
      <c r="I118" s="2"/>
      <c r="J118" s="2"/>
    </row>
    <row r="119" spans="1:12" ht="13.5" customHeight="1" x14ac:dyDescent="0.2">
      <c r="A119" s="18"/>
      <c r="B119" s="283" t="s">
        <v>473</v>
      </c>
      <c r="C119" s="281">
        <f>SUM('9.Hivatal'!R24)</f>
        <v>26841</v>
      </c>
      <c r="D119" s="281">
        <f>SUM('9.Hivatal'!S24)</f>
        <v>27636</v>
      </c>
      <c r="E119" s="281">
        <f>SUM('9.Hivatal'!T24)</f>
        <v>27636</v>
      </c>
      <c r="F119" s="281">
        <f>SUM('9.Hivatal'!U24)</f>
        <v>27636</v>
      </c>
      <c r="G119" s="281">
        <f>SUM('9.Hivatal'!V24)</f>
        <v>27513</v>
      </c>
      <c r="H119" s="8"/>
      <c r="I119" s="2"/>
      <c r="J119" s="2"/>
    </row>
    <row r="120" spans="1:12" ht="18" customHeight="1" x14ac:dyDescent="0.25">
      <c r="A120" s="18" t="s">
        <v>219</v>
      </c>
      <c r="B120" s="30" t="s">
        <v>248</v>
      </c>
      <c r="C120" s="44">
        <f>SUM(C121:C122)</f>
        <v>327528</v>
      </c>
      <c r="D120" s="44">
        <f>SUM(D121:D122)</f>
        <v>352483</v>
      </c>
      <c r="E120" s="44">
        <f>SUM(E121:E122)</f>
        <v>378912</v>
      </c>
      <c r="F120" s="44">
        <f>SUM(F121:F122)</f>
        <v>391267</v>
      </c>
      <c r="G120" s="44">
        <f>SUM(G121:G122)</f>
        <v>206818</v>
      </c>
      <c r="H120" s="8"/>
      <c r="I120" s="2"/>
      <c r="J120" s="2"/>
    </row>
    <row r="121" spans="1:12" s="229" customFormat="1" ht="13.5" customHeight="1" x14ac:dyDescent="0.2">
      <c r="A121" s="9"/>
      <c r="B121" s="283" t="s">
        <v>428</v>
      </c>
      <c r="C121" s="207">
        <f>SUM('8.Önk.'!BA97)</f>
        <v>303726</v>
      </c>
      <c r="D121" s="207">
        <f>SUM('8.Önk.'!BB97)</f>
        <v>327886</v>
      </c>
      <c r="E121" s="207">
        <f>SUM('8.Önk.'!BC97)</f>
        <v>354315</v>
      </c>
      <c r="F121" s="207">
        <f>SUM('8.Önk.'!BD97)</f>
        <v>364586</v>
      </c>
      <c r="G121" s="207">
        <f>SUM('8.Önk.'!BE97)</f>
        <v>184442</v>
      </c>
      <c r="H121" s="8"/>
      <c r="I121" s="2"/>
      <c r="J121" s="2"/>
      <c r="K121"/>
      <c r="L121"/>
    </row>
    <row r="122" spans="1:12" s="229" customFormat="1" ht="13.5" customHeight="1" x14ac:dyDescent="0.2">
      <c r="A122" s="9"/>
      <c r="B122" s="283" t="s">
        <v>472</v>
      </c>
      <c r="C122" s="207">
        <f>SUM('9.Hivatal'!R72)</f>
        <v>23802</v>
      </c>
      <c r="D122" s="207">
        <f>SUM('9.Hivatal'!S72)</f>
        <v>24597</v>
      </c>
      <c r="E122" s="207">
        <f>SUM('9.Hivatal'!T72)</f>
        <v>24597</v>
      </c>
      <c r="F122" s="207">
        <f>SUM('9.Hivatal'!U72)</f>
        <v>26681</v>
      </c>
      <c r="G122" s="207">
        <f>SUM('9.Hivatal'!V72)</f>
        <v>22376</v>
      </c>
      <c r="H122" s="8"/>
      <c r="I122" s="2"/>
      <c r="J122" s="2"/>
      <c r="K122"/>
      <c r="L122"/>
    </row>
    <row r="123" spans="1:12" ht="18" customHeight="1" x14ac:dyDescent="0.25">
      <c r="A123" s="18" t="s">
        <v>220</v>
      </c>
      <c r="B123" s="30" t="s">
        <v>461</v>
      </c>
      <c r="C123" s="44">
        <f>SUM('8.Önk.'!BA98)</f>
        <v>9300</v>
      </c>
      <c r="D123" s="44">
        <f>SUM('8.Önk.'!BB98)</f>
        <v>9300</v>
      </c>
      <c r="E123" s="44">
        <f>SUM('8.Önk.'!BC98)</f>
        <v>9300</v>
      </c>
      <c r="F123" s="44">
        <f>SUM('8.Önk.'!BD98)</f>
        <v>10305</v>
      </c>
      <c r="G123" s="44">
        <f>SUM('8.Önk.'!BE98)</f>
        <v>10004</v>
      </c>
      <c r="H123" s="8"/>
      <c r="I123" s="2"/>
      <c r="J123" s="2"/>
    </row>
    <row r="124" spans="1:12" ht="18" customHeight="1" x14ac:dyDescent="0.25">
      <c r="A124" s="18" t="s">
        <v>221</v>
      </c>
      <c r="B124" s="30" t="s">
        <v>346</v>
      </c>
      <c r="C124" s="44">
        <f>SUM(C125:C126)</f>
        <v>415299</v>
      </c>
      <c r="D124" s="44">
        <f>SUM(D125:D126)</f>
        <v>400494</v>
      </c>
      <c r="E124" s="44">
        <f>SUM(E125:E126)</f>
        <v>476065</v>
      </c>
      <c r="F124" s="44">
        <f>SUM(F125:F126)</f>
        <v>535824</v>
      </c>
      <c r="G124" s="44">
        <f>SUM(G125:G126)</f>
        <v>387714</v>
      </c>
      <c r="H124" s="8"/>
      <c r="I124" s="2"/>
      <c r="J124" s="2"/>
    </row>
    <row r="125" spans="1:12" ht="15" customHeight="1" thickBot="1" x14ac:dyDescent="0.25">
      <c r="A125" s="18"/>
      <c r="B125" s="9" t="s">
        <v>1080</v>
      </c>
      <c r="C125" s="200">
        <f>SUM('4. Átadott p.eszk.'!B79)</f>
        <v>385336</v>
      </c>
      <c r="D125" s="200">
        <f>SUM('4. Átadott p.eszk.'!C79)</f>
        <v>388888</v>
      </c>
      <c r="E125" s="200">
        <f>SUM('4. Átadott p.eszk.'!D79)</f>
        <v>408819</v>
      </c>
      <c r="F125" s="200">
        <f>SUM('4. Átadott p.eszk.'!E79)</f>
        <v>411002</v>
      </c>
      <c r="G125" s="200">
        <f>SUM('4. Átadott p.eszk.'!F79)</f>
        <v>387714</v>
      </c>
      <c r="H125" s="8"/>
      <c r="I125" s="2"/>
      <c r="J125" s="2"/>
    </row>
    <row r="126" spans="1:12" ht="15" customHeight="1" thickBot="1" x14ac:dyDescent="0.25">
      <c r="A126" s="18"/>
      <c r="B126" s="25" t="s">
        <v>347</v>
      </c>
      <c r="C126" s="927">
        <f>(40000+7125+1227-5130-242-12-15000+2000+1749+3145-4897-2)</f>
        <v>29963</v>
      </c>
      <c r="D126" s="927">
        <f>(40000+7125+1227-5130-242-12-15000+2000+1749+3145-4897-2)-12465+6984-3000-2000-930-2440-329-612-790+3000-5775</f>
        <v>11606</v>
      </c>
      <c r="E126" s="927">
        <f>((40000+7125+1227-5130-242-12-15000+2000+1749+3145-4897-2)-12465+6984-3000-2000-930-2440-329-612-790+3000-5775)-507-94-140-837-1200-12573-900+19413-1+40650+1000+600+13500+6000-1928-3399-3644-300</f>
        <v>67246</v>
      </c>
      <c r="F126" s="927">
        <f>(((40000+7125+1227-5130-242-12-15000+2000+1749+3145-4897-2)-12465+6984-3000-2000-930-2440-329-612-790+3000-5775)-507-94-140-837-1200-12573-900+19413-1+40650+1000+600+13500+6000-1928-3399-3644-300)-2458+1106+1000+6550+10690+3137+3600+15916-389-135-425-525-1281-296-1005-352-1287+16000+7000+730</f>
        <v>124822</v>
      </c>
      <c r="G126" s="663">
        <v>0</v>
      </c>
      <c r="H126" s="8">
        <f>F126-E126</f>
        <v>57576</v>
      </c>
      <c r="I126" s="2"/>
      <c r="J126" s="2"/>
    </row>
    <row r="127" spans="1:12" x14ac:dyDescent="0.2">
      <c r="A127" s="18"/>
      <c r="B127" s="173" t="s">
        <v>873</v>
      </c>
      <c r="C127" s="662"/>
      <c r="D127" s="83"/>
      <c r="E127" s="83"/>
      <c r="F127" s="83"/>
      <c r="G127" s="83"/>
      <c r="H127" s="2"/>
      <c r="I127" s="2"/>
      <c r="J127" s="2"/>
    </row>
    <row r="128" spans="1:12" ht="17.25" customHeight="1" x14ac:dyDescent="0.25">
      <c r="A128" s="18" t="s">
        <v>207</v>
      </c>
      <c r="B128" s="202" t="s">
        <v>360</v>
      </c>
      <c r="C128" s="628">
        <f t="shared" ref="C128:G129" si="1">SUM(C129)</f>
        <v>14996</v>
      </c>
      <c r="D128" s="52">
        <f t="shared" si="1"/>
        <v>14996</v>
      </c>
      <c r="E128" s="52">
        <f t="shared" si="1"/>
        <v>14996</v>
      </c>
      <c r="F128" s="52">
        <f t="shared" si="1"/>
        <v>14996</v>
      </c>
      <c r="G128" s="52">
        <f t="shared" si="1"/>
        <v>14997</v>
      </c>
      <c r="H128" s="2"/>
      <c r="I128" s="2"/>
      <c r="J128" s="2"/>
    </row>
    <row r="129" spans="1:10" ht="15" customHeight="1" x14ac:dyDescent="0.25">
      <c r="A129" s="18"/>
      <c r="B129" s="222" t="s">
        <v>396</v>
      </c>
      <c r="C129" s="628">
        <f t="shared" si="1"/>
        <v>14996</v>
      </c>
      <c r="D129" s="52">
        <f t="shared" si="1"/>
        <v>14996</v>
      </c>
      <c r="E129" s="52">
        <f t="shared" si="1"/>
        <v>14996</v>
      </c>
      <c r="F129" s="52">
        <f t="shared" si="1"/>
        <v>14996</v>
      </c>
      <c r="G129" s="52">
        <f t="shared" si="1"/>
        <v>14997</v>
      </c>
      <c r="H129" s="2"/>
      <c r="I129" s="2"/>
      <c r="J129" s="2"/>
    </row>
    <row r="130" spans="1:10" ht="13.5" customHeight="1" thickBot="1" x14ac:dyDescent="0.25">
      <c r="A130" s="18" t="s">
        <v>403</v>
      </c>
      <c r="B130" s="9" t="s">
        <v>407</v>
      </c>
      <c r="C130" s="16">
        <v>14996</v>
      </c>
      <c r="D130" s="16">
        <v>14996</v>
      </c>
      <c r="E130" s="16">
        <v>14996</v>
      </c>
      <c r="F130" s="16">
        <v>14996</v>
      </c>
      <c r="G130" s="16">
        <v>14997</v>
      </c>
      <c r="H130" s="2"/>
      <c r="I130" s="2"/>
      <c r="J130" s="2"/>
    </row>
    <row r="131" spans="1:10" ht="15" hidden="1" customHeight="1" thickBot="1" x14ac:dyDescent="0.3">
      <c r="A131" s="18"/>
      <c r="B131" s="222" t="s">
        <v>398</v>
      </c>
      <c r="C131" s="628"/>
      <c r="D131" s="52"/>
      <c r="E131" s="653"/>
      <c r="F131" s="52"/>
      <c r="G131" s="52"/>
      <c r="H131" s="2"/>
      <c r="I131" s="2"/>
      <c r="J131" s="2"/>
    </row>
    <row r="132" spans="1:10" ht="15" hidden="1" customHeight="1" thickBot="1" x14ac:dyDescent="0.3">
      <c r="A132" s="28"/>
      <c r="B132" s="219" t="s">
        <v>399</v>
      </c>
      <c r="C132" s="815"/>
      <c r="D132" s="201"/>
      <c r="E132" s="654"/>
      <c r="F132" s="201"/>
      <c r="G132" s="201"/>
      <c r="H132" s="2"/>
      <c r="I132" s="2"/>
      <c r="J132" s="2"/>
    </row>
    <row r="133" spans="1:10" ht="21.75" customHeight="1" thickBot="1" x14ac:dyDescent="0.4">
      <c r="A133" s="266"/>
      <c r="B133" s="267" t="s">
        <v>32</v>
      </c>
      <c r="C133" s="210">
        <f>SUM(C113+C128)</f>
        <v>1015156</v>
      </c>
      <c r="D133" s="210">
        <f>SUM(D113+D128)</f>
        <v>1032488</v>
      </c>
      <c r="E133" s="210">
        <f>SUM(E113+E128)</f>
        <v>1134645</v>
      </c>
      <c r="F133" s="210">
        <f>SUM(F113+F128)</f>
        <v>1208680</v>
      </c>
      <c r="G133" s="57">
        <f>SUM(G113+G128)</f>
        <v>871708</v>
      </c>
      <c r="H133" s="8"/>
      <c r="I133" s="2"/>
      <c r="J133" s="2"/>
    </row>
    <row r="134" spans="1:10" ht="15.75" hidden="1" customHeight="1" x14ac:dyDescent="0.2">
      <c r="B134" s="188" t="s">
        <v>944</v>
      </c>
      <c r="C134" s="642">
        <f>SUM(C8-C114-C117-C120-C125-C123-C130+C126)</f>
        <v>-130614</v>
      </c>
      <c r="D134" s="642">
        <f>SUM(D8-D114-D117-D120-D125-D123-D130+D126)</f>
        <v>-167328</v>
      </c>
      <c r="E134" s="327" t="e">
        <f>SUM(E8-E114-E117-E120-E125-E123+'8.Önk.'!#REF!+'8.Önk.'!#REF!+'8.Önk.'!#REF!+'8.Önk.'!H71)</f>
        <v>#REF!</v>
      </c>
      <c r="F134" s="327" t="e">
        <f>SUM(F8-F114-F117-F120-F125-F123+'8.Önk.'!#REF!+'8.Önk.'!#REF!+'8.Önk.'!#REF!+'8.Önk.'!I71)</f>
        <v>#REF!</v>
      </c>
      <c r="G134" s="327" t="e">
        <f>SUM(G8-G114-G117-G120-G125-G123+'8.Önk.'!#REF!+'8.Önk.'!#REF!+'8.Önk.'!#REF!+'8.Önk.'!J71)</f>
        <v>#REF!</v>
      </c>
      <c r="H134" s="191"/>
      <c r="I134" s="2"/>
      <c r="J134" s="2"/>
    </row>
    <row r="135" spans="1:10" ht="15.75" hidden="1" customHeight="1" x14ac:dyDescent="0.2">
      <c r="B135" s="188" t="s">
        <v>1116</v>
      </c>
      <c r="C135" s="642">
        <f>SUM('8.Önk.'!M136)</f>
        <v>58928.22</v>
      </c>
      <c r="D135" s="642">
        <f>SUM('8.Önk.'!N136)</f>
        <v>0</v>
      </c>
      <c r="E135" s="327"/>
      <c r="F135" s="327"/>
      <c r="G135" s="327"/>
      <c r="H135" s="8"/>
      <c r="I135" s="2"/>
      <c r="J135" s="2"/>
    </row>
    <row r="136" spans="1:10" ht="15.75" hidden="1" customHeight="1" x14ac:dyDescent="0.2">
      <c r="B136" s="188" t="s">
        <v>1117</v>
      </c>
      <c r="C136" s="642">
        <f>SUM('8.Önk.'!AQ113+'8.Önk.'!AQ114)</f>
        <v>152132</v>
      </c>
      <c r="D136" s="642">
        <f>SUM('8.Önk.'!AR113+'8.Önk.'!AR114)</f>
        <v>0</v>
      </c>
      <c r="E136" s="327"/>
      <c r="F136" s="327"/>
      <c r="G136" s="327"/>
      <c r="H136" s="8"/>
      <c r="I136" s="2"/>
      <c r="J136" s="2"/>
    </row>
    <row r="137" spans="1:10" ht="15.75" hidden="1" customHeight="1" x14ac:dyDescent="0.2">
      <c r="B137" s="188" t="s">
        <v>1130</v>
      </c>
      <c r="C137" s="669">
        <f>SUM(C134+C135+C136)</f>
        <v>80446.22</v>
      </c>
      <c r="D137" s="669">
        <f>SUM(D134+D135+D136)</f>
        <v>-167328</v>
      </c>
      <c r="E137" s="327"/>
      <c r="F137" s="327"/>
      <c r="G137" s="327"/>
      <c r="H137" s="8"/>
      <c r="I137" s="2"/>
      <c r="J137" s="2"/>
    </row>
    <row r="138" spans="1:10" ht="15.75" customHeight="1" x14ac:dyDescent="0.2">
      <c r="C138" s="2"/>
      <c r="D138" s="2"/>
      <c r="E138" s="188"/>
      <c r="F138" s="2"/>
      <c r="G138" s="2"/>
      <c r="H138" s="2"/>
      <c r="I138" s="2"/>
      <c r="J138" s="2"/>
    </row>
    <row r="139" spans="1:10" ht="15.75" customHeight="1" x14ac:dyDescent="0.2">
      <c r="B139" s="89"/>
      <c r="C139" s="179"/>
      <c r="D139" s="2"/>
      <c r="E139" s="188"/>
      <c r="F139" s="2"/>
      <c r="G139" s="2"/>
      <c r="H139" s="2"/>
      <c r="I139" s="2"/>
      <c r="J139" s="2"/>
    </row>
    <row r="140" spans="1:10" ht="15.75" customHeight="1" x14ac:dyDescent="0.2">
      <c r="C140" s="2"/>
      <c r="D140" s="2"/>
      <c r="E140" s="188"/>
      <c r="F140" s="2"/>
      <c r="G140" s="2"/>
      <c r="H140" s="2"/>
      <c r="I140" s="2"/>
      <c r="J140" s="2"/>
    </row>
    <row r="141" spans="1:10" ht="15.75" customHeight="1" x14ac:dyDescent="0.2">
      <c r="C141" s="2"/>
      <c r="D141" s="2"/>
      <c r="E141" s="188"/>
      <c r="F141" s="2"/>
      <c r="G141" s="2"/>
      <c r="H141" s="2"/>
      <c r="I141" s="2"/>
      <c r="J141" s="2"/>
    </row>
    <row r="142" spans="1:10" ht="15.75" customHeight="1" x14ac:dyDescent="0.2">
      <c r="B142" s="2"/>
      <c r="C142" s="2"/>
      <c r="D142" s="2"/>
      <c r="E142" s="188"/>
      <c r="F142" s="2"/>
      <c r="G142" s="2"/>
      <c r="H142" s="2"/>
      <c r="I142" s="2"/>
      <c r="J142" s="2"/>
    </row>
    <row r="143" spans="1:10" ht="15.75" customHeight="1" x14ac:dyDescent="0.2">
      <c r="B143" s="2"/>
      <c r="C143" s="2"/>
      <c r="D143" s="2"/>
      <c r="E143" s="188"/>
      <c r="F143" s="2"/>
      <c r="G143" s="2"/>
      <c r="H143" s="2"/>
      <c r="I143" s="2"/>
      <c r="J143" s="2"/>
    </row>
    <row r="144" spans="1:10" ht="15.75" customHeight="1" x14ac:dyDescent="0.2">
      <c r="B144" s="2"/>
      <c r="C144" s="2"/>
      <c r="D144" s="2"/>
      <c r="E144" s="188"/>
      <c r="F144" s="2"/>
      <c r="G144" s="2"/>
      <c r="H144" s="2"/>
      <c r="I144" s="2"/>
      <c r="J144" s="2"/>
    </row>
    <row r="145" spans="2:10" ht="15.75" customHeight="1" x14ac:dyDescent="0.2">
      <c r="B145" s="2"/>
      <c r="C145" s="2"/>
      <c r="D145" s="2"/>
      <c r="E145" s="188"/>
      <c r="F145" s="2"/>
      <c r="G145" s="2"/>
      <c r="H145" s="2"/>
      <c r="I145" s="2"/>
      <c r="J145" s="2"/>
    </row>
    <row r="146" spans="2:10" ht="15.75" customHeight="1" x14ac:dyDescent="0.2">
      <c r="B146" s="2"/>
      <c r="C146" s="2"/>
      <c r="D146" s="2"/>
      <c r="E146" s="188"/>
      <c r="F146" s="2"/>
      <c r="G146" s="2"/>
      <c r="H146" s="2"/>
      <c r="I146" s="2"/>
      <c r="J146" s="2"/>
    </row>
    <row r="147" spans="2:10" ht="15.75" customHeight="1" x14ac:dyDescent="0.2">
      <c r="B147" s="2"/>
      <c r="C147" s="2"/>
      <c r="D147" s="2"/>
      <c r="E147" s="188"/>
      <c r="F147" s="2"/>
      <c r="G147" s="2"/>
      <c r="H147" s="2"/>
      <c r="I147" s="2"/>
      <c r="J147" s="2"/>
    </row>
    <row r="148" spans="2:10" ht="15.75" customHeight="1" x14ac:dyDescent="0.2">
      <c r="B148" s="2"/>
      <c r="C148" s="2"/>
      <c r="D148" s="2"/>
      <c r="E148" s="188"/>
      <c r="F148" s="2"/>
      <c r="G148" s="2"/>
      <c r="H148" s="2"/>
      <c r="I148" s="2"/>
      <c r="J148" s="2"/>
    </row>
    <row r="149" spans="2:10" ht="15.75" customHeight="1" x14ac:dyDescent="0.2">
      <c r="B149" s="2"/>
      <c r="C149" s="2"/>
      <c r="D149" s="2"/>
      <c r="E149" s="188"/>
      <c r="F149" s="2"/>
      <c r="G149" s="2"/>
      <c r="H149" s="2"/>
      <c r="I149" s="2"/>
      <c r="J149" s="2"/>
    </row>
    <row r="150" spans="2:10" ht="15.75" customHeight="1" x14ac:dyDescent="0.2">
      <c r="B150" s="2"/>
      <c r="C150" s="2"/>
      <c r="D150" s="2"/>
      <c r="E150" s="188"/>
      <c r="F150" s="2"/>
      <c r="G150" s="2"/>
      <c r="H150" s="2"/>
      <c r="I150" s="2"/>
      <c r="J150" s="2"/>
    </row>
    <row r="151" spans="2:10" ht="15.75" customHeight="1" x14ac:dyDescent="0.2">
      <c r="B151" s="2"/>
      <c r="C151" s="2"/>
      <c r="D151" s="2"/>
      <c r="E151" s="188"/>
      <c r="F151" s="2"/>
      <c r="G151" s="2"/>
      <c r="H151" s="2"/>
      <c r="I151" s="2"/>
      <c r="J151" s="2"/>
    </row>
    <row r="152" spans="2:10" ht="15.75" customHeight="1" x14ac:dyDescent="0.2">
      <c r="B152" s="2"/>
      <c r="C152" s="2"/>
      <c r="D152" s="2"/>
      <c r="E152" s="188"/>
      <c r="F152" s="2"/>
      <c r="G152" s="2"/>
      <c r="H152" s="2"/>
      <c r="I152" s="2"/>
      <c r="J152" s="2"/>
    </row>
    <row r="153" spans="2:10" ht="15.75" customHeight="1" x14ac:dyDescent="0.2">
      <c r="B153" s="2"/>
      <c r="C153" s="2"/>
      <c r="D153" s="2"/>
      <c r="E153" s="188"/>
      <c r="F153" s="2"/>
      <c r="G153" s="2"/>
      <c r="H153" s="2"/>
      <c r="I153" s="2"/>
      <c r="J153" s="2"/>
    </row>
    <row r="154" spans="2:10" ht="15.75" customHeight="1" x14ac:dyDescent="0.2">
      <c r="B154" s="2"/>
      <c r="C154" s="2"/>
      <c r="D154" s="2"/>
      <c r="E154" s="188"/>
      <c r="F154" s="2"/>
      <c r="G154" s="2"/>
      <c r="H154" s="2"/>
      <c r="I154" s="2"/>
      <c r="J154" s="2"/>
    </row>
    <row r="155" spans="2:10" ht="15.75" customHeight="1" x14ac:dyDescent="0.2">
      <c r="B155" s="2"/>
      <c r="C155" s="2"/>
      <c r="D155" s="2"/>
      <c r="E155" s="188"/>
      <c r="F155" s="2"/>
      <c r="G155" s="2"/>
      <c r="H155" s="2"/>
      <c r="I155" s="2"/>
      <c r="J155" s="2"/>
    </row>
    <row r="156" spans="2:10" ht="15.75" customHeight="1" x14ac:dyDescent="0.2">
      <c r="B156" s="2"/>
      <c r="C156" s="2"/>
      <c r="D156" s="2"/>
      <c r="E156" s="188"/>
      <c r="F156" s="2"/>
      <c r="G156" s="2"/>
      <c r="H156" s="2"/>
      <c r="I156" s="2"/>
      <c r="J156" s="2"/>
    </row>
    <row r="157" spans="2:10" ht="15.75" customHeight="1" x14ac:dyDescent="0.2">
      <c r="B157" s="2"/>
      <c r="C157" s="2"/>
      <c r="D157" s="2"/>
      <c r="E157" s="188"/>
      <c r="F157" s="2"/>
      <c r="G157" s="2"/>
      <c r="H157" s="2"/>
      <c r="I157" s="2"/>
      <c r="J157" s="2"/>
    </row>
    <row r="158" spans="2:10" ht="15.75" customHeight="1" x14ac:dyDescent="0.2">
      <c r="B158" s="2"/>
      <c r="C158" s="2"/>
      <c r="D158" s="2"/>
      <c r="E158" s="188"/>
      <c r="F158" s="2"/>
      <c r="G158" s="2"/>
      <c r="H158" s="2"/>
      <c r="I158" s="2"/>
      <c r="J158" s="2"/>
    </row>
    <row r="159" spans="2:10" ht="15.75" customHeight="1" x14ac:dyDescent="0.2">
      <c r="B159" s="2"/>
      <c r="C159" s="2"/>
      <c r="D159" s="2"/>
      <c r="E159" s="188"/>
      <c r="F159" s="2"/>
      <c r="G159" s="2"/>
      <c r="H159" s="2"/>
      <c r="I159" s="2"/>
      <c r="J159" s="2"/>
    </row>
    <row r="160" spans="2:10" ht="15.75" customHeight="1" x14ac:dyDescent="0.2">
      <c r="B160" s="2"/>
      <c r="C160" s="2"/>
      <c r="D160" s="2"/>
      <c r="E160" s="188"/>
      <c r="F160" s="2"/>
      <c r="G160" s="2"/>
      <c r="H160" s="2"/>
      <c r="I160" s="2"/>
      <c r="J160" s="2"/>
    </row>
    <row r="161" spans="2:10" ht="15.75" customHeight="1" x14ac:dyDescent="0.2">
      <c r="B161" s="2"/>
      <c r="C161" s="2"/>
      <c r="D161" s="2"/>
      <c r="E161" s="188"/>
      <c r="F161" s="2"/>
      <c r="G161" s="2"/>
      <c r="H161" s="2"/>
      <c r="I161" s="2"/>
      <c r="J161" s="2"/>
    </row>
    <row r="162" spans="2:10" ht="15.75" customHeight="1" x14ac:dyDescent="0.2">
      <c r="B162" s="2"/>
      <c r="C162" s="2"/>
      <c r="D162" s="2"/>
      <c r="E162" s="188"/>
      <c r="F162" s="2"/>
      <c r="G162" s="2"/>
      <c r="H162" s="2"/>
      <c r="I162" s="2"/>
      <c r="J162" s="2"/>
    </row>
    <row r="163" spans="2:10" ht="15.75" customHeight="1" x14ac:dyDescent="0.2">
      <c r="B163" s="2"/>
      <c r="C163" s="2"/>
      <c r="D163" s="2"/>
      <c r="E163" s="188"/>
      <c r="F163" s="2"/>
      <c r="G163" s="2"/>
      <c r="H163" s="2"/>
      <c r="I163" s="2"/>
      <c r="J163" s="2"/>
    </row>
    <row r="164" spans="2:10" ht="15.75" customHeight="1" x14ac:dyDescent="0.2">
      <c r="B164" s="2"/>
      <c r="C164" s="2"/>
      <c r="D164" s="2"/>
      <c r="E164" s="188"/>
      <c r="F164" s="2"/>
      <c r="G164" s="2"/>
      <c r="H164" s="2"/>
      <c r="I164" s="2"/>
      <c r="J164" s="2"/>
    </row>
    <row r="165" spans="2:10" ht="15.75" customHeight="1" x14ac:dyDescent="0.2">
      <c r="B165" s="2"/>
      <c r="C165" s="2"/>
      <c r="D165" s="2"/>
      <c r="E165" s="188"/>
      <c r="F165" s="2"/>
      <c r="G165" s="2"/>
      <c r="H165" s="2"/>
      <c r="I165" s="2"/>
      <c r="J165" s="2"/>
    </row>
    <row r="166" spans="2:10" ht="15.75" customHeight="1" x14ac:dyDescent="0.2">
      <c r="B166" s="2"/>
      <c r="C166" s="2"/>
      <c r="D166" s="2"/>
      <c r="E166" s="188"/>
      <c r="F166" s="2"/>
      <c r="G166" s="2"/>
      <c r="H166" s="2"/>
      <c r="I166" s="2"/>
      <c r="J166" s="2"/>
    </row>
    <row r="167" spans="2:10" ht="15.75" customHeight="1" x14ac:dyDescent="0.2">
      <c r="B167" s="2"/>
      <c r="C167" s="2"/>
      <c r="D167" s="2"/>
      <c r="E167" s="188"/>
      <c r="F167" s="2"/>
      <c r="G167" s="2"/>
      <c r="H167" s="2"/>
      <c r="I167" s="2"/>
      <c r="J167" s="2"/>
    </row>
    <row r="168" spans="2:10" ht="15.75" customHeight="1" x14ac:dyDescent="0.2">
      <c r="B168" s="2"/>
      <c r="C168" s="2"/>
      <c r="D168" s="2"/>
      <c r="E168" s="188"/>
      <c r="F168" s="2"/>
      <c r="G168" s="2"/>
      <c r="H168" s="2"/>
      <c r="I168" s="2"/>
      <c r="J168" s="2"/>
    </row>
    <row r="169" spans="2:10" ht="15.75" customHeight="1" x14ac:dyDescent="0.2">
      <c r="B169" s="2"/>
      <c r="C169" s="2"/>
      <c r="D169" s="2"/>
      <c r="E169" s="188"/>
      <c r="F169" s="2"/>
      <c r="G169" s="2"/>
      <c r="H169" s="2"/>
      <c r="I169" s="2"/>
      <c r="J169" s="2"/>
    </row>
    <row r="170" spans="2:10" ht="15.75" customHeight="1" x14ac:dyDescent="0.2">
      <c r="B170" s="2"/>
      <c r="C170" s="2"/>
      <c r="D170" s="2"/>
      <c r="E170" s="188"/>
      <c r="F170" s="2"/>
      <c r="G170" s="2"/>
      <c r="H170" s="2"/>
      <c r="I170" s="2"/>
      <c r="J170" s="2"/>
    </row>
    <row r="171" spans="2:10" ht="15.75" customHeight="1" x14ac:dyDescent="0.2">
      <c r="B171" s="2"/>
      <c r="C171" s="2"/>
      <c r="D171" s="2"/>
      <c r="E171" s="188"/>
      <c r="F171" s="2"/>
      <c r="G171" s="2"/>
      <c r="H171" s="2"/>
      <c r="I171" s="2"/>
      <c r="J171" s="2"/>
    </row>
    <row r="172" spans="2:10" ht="15.75" customHeight="1" x14ac:dyDescent="0.2">
      <c r="B172" s="2"/>
      <c r="C172" s="2"/>
      <c r="D172" s="2"/>
      <c r="E172" s="188"/>
      <c r="F172" s="2"/>
      <c r="G172" s="2"/>
      <c r="H172" s="2"/>
      <c r="I172" s="2"/>
      <c r="J172" s="2"/>
    </row>
    <row r="173" spans="2:10" ht="15.75" customHeight="1" x14ac:dyDescent="0.2">
      <c r="B173" s="2"/>
      <c r="C173" s="2"/>
      <c r="D173" s="2"/>
      <c r="E173" s="188"/>
      <c r="F173" s="2"/>
      <c r="G173" s="2"/>
      <c r="H173" s="2"/>
      <c r="I173" s="2"/>
      <c r="J173" s="2"/>
    </row>
    <row r="174" spans="2:10" ht="15.75" customHeight="1" x14ac:dyDescent="0.2">
      <c r="B174" s="2"/>
      <c r="C174" s="2"/>
      <c r="D174" s="2"/>
      <c r="E174" s="188"/>
      <c r="F174" s="2"/>
      <c r="G174" s="2"/>
      <c r="H174" s="2"/>
      <c r="I174" s="2"/>
      <c r="J174" s="2"/>
    </row>
    <row r="175" spans="2:10" ht="15.75" customHeight="1" x14ac:dyDescent="0.2">
      <c r="B175" s="2"/>
      <c r="C175" s="2"/>
      <c r="D175" s="2"/>
      <c r="E175" s="188"/>
      <c r="F175" s="2"/>
      <c r="G175" s="2"/>
      <c r="H175" s="2"/>
      <c r="I175" s="2"/>
      <c r="J175" s="2"/>
    </row>
    <row r="176" spans="2:10" ht="15.75" customHeight="1" x14ac:dyDescent="0.2">
      <c r="B176" s="2"/>
      <c r="C176" s="2"/>
      <c r="D176" s="2"/>
      <c r="E176" s="188"/>
      <c r="F176" s="2"/>
      <c r="G176" s="2"/>
      <c r="H176" s="2"/>
      <c r="I176" s="2"/>
      <c r="J176" s="2"/>
    </row>
    <row r="177" spans="2:10" ht="15.75" customHeight="1" x14ac:dyDescent="0.2">
      <c r="B177" s="2"/>
      <c r="C177" s="2"/>
      <c r="D177" s="2"/>
      <c r="E177" s="188"/>
      <c r="F177" s="2"/>
      <c r="G177" s="2"/>
      <c r="H177" s="2"/>
      <c r="I177" s="2"/>
      <c r="J177" s="2"/>
    </row>
    <row r="178" spans="2:10" ht="15.75" customHeight="1" x14ac:dyDescent="0.2">
      <c r="B178" s="2"/>
      <c r="C178" s="2"/>
      <c r="D178" s="2"/>
      <c r="E178" s="188"/>
      <c r="F178" s="2"/>
      <c r="G178" s="2"/>
      <c r="H178" s="2"/>
      <c r="I178" s="2"/>
      <c r="J178" s="2"/>
    </row>
    <row r="179" spans="2:10" ht="15.75" customHeight="1" x14ac:dyDescent="0.2">
      <c r="B179" s="2"/>
      <c r="C179" s="2"/>
      <c r="D179" s="2"/>
      <c r="E179" s="188"/>
      <c r="F179" s="2"/>
      <c r="G179" s="2"/>
      <c r="H179" s="2"/>
      <c r="I179" s="2"/>
      <c r="J179" s="2"/>
    </row>
    <row r="180" spans="2:10" ht="15.75" customHeight="1" x14ac:dyDescent="0.2">
      <c r="B180" s="2"/>
      <c r="C180" s="2"/>
      <c r="D180" s="2"/>
      <c r="E180" s="188"/>
      <c r="F180" s="2"/>
      <c r="G180" s="2"/>
      <c r="H180" s="2"/>
      <c r="I180" s="2"/>
      <c r="J180" s="2"/>
    </row>
    <row r="181" spans="2:10" ht="15.75" customHeight="1" x14ac:dyDescent="0.2">
      <c r="B181" s="2"/>
      <c r="C181" s="2"/>
      <c r="D181" s="2"/>
      <c r="E181" s="188"/>
      <c r="F181" s="2"/>
      <c r="G181" s="2"/>
      <c r="H181" s="2"/>
      <c r="I181" s="2"/>
      <c r="J181" s="2"/>
    </row>
    <row r="182" spans="2:10" ht="15.75" customHeight="1" x14ac:dyDescent="0.2">
      <c r="B182" s="2"/>
      <c r="C182" s="2"/>
      <c r="D182" s="2"/>
      <c r="E182" s="188"/>
      <c r="F182" s="2"/>
      <c r="G182" s="2"/>
      <c r="H182" s="2"/>
      <c r="I182" s="2"/>
      <c r="J182" s="2"/>
    </row>
    <row r="183" spans="2:10" ht="15.75" customHeight="1" x14ac:dyDescent="0.2">
      <c r="B183" s="2"/>
      <c r="C183" s="2"/>
      <c r="D183" s="2"/>
      <c r="E183" s="188"/>
      <c r="F183" s="2"/>
      <c r="G183" s="2"/>
      <c r="H183" s="2"/>
      <c r="I183" s="2"/>
      <c r="J183" s="2"/>
    </row>
    <row r="184" spans="2:10" ht="15.75" customHeight="1" x14ac:dyDescent="0.2">
      <c r="B184" s="2"/>
      <c r="C184" s="2"/>
      <c r="D184" s="2"/>
      <c r="E184" s="188"/>
      <c r="F184" s="2"/>
      <c r="G184" s="2"/>
      <c r="H184" s="2"/>
      <c r="I184" s="2"/>
      <c r="J184" s="2"/>
    </row>
    <row r="185" spans="2:10" ht="15.75" customHeight="1" x14ac:dyDescent="0.2">
      <c r="B185" s="2"/>
      <c r="C185" s="2"/>
      <c r="D185" s="2"/>
      <c r="E185" s="188"/>
      <c r="F185" s="2"/>
      <c r="G185" s="2"/>
      <c r="H185" s="2"/>
      <c r="I185" s="2"/>
      <c r="J185" s="2"/>
    </row>
    <row r="186" spans="2:10" ht="15.75" customHeight="1" x14ac:dyDescent="0.2">
      <c r="B186" s="2"/>
      <c r="C186" s="2"/>
      <c r="D186" s="2"/>
      <c r="E186" s="188"/>
      <c r="F186" s="2"/>
      <c r="G186" s="2"/>
      <c r="H186" s="2"/>
      <c r="I186" s="2"/>
      <c r="J186" s="2"/>
    </row>
    <row r="187" spans="2:10" ht="15.75" customHeight="1" x14ac:dyDescent="0.2">
      <c r="B187" s="2"/>
      <c r="C187" s="2"/>
      <c r="D187" s="2"/>
      <c r="E187" s="188"/>
      <c r="F187" s="2"/>
      <c r="G187" s="2"/>
      <c r="H187" s="2"/>
      <c r="I187" s="2"/>
      <c r="J187" s="2"/>
    </row>
    <row r="188" spans="2:10" ht="15.75" customHeight="1" x14ac:dyDescent="0.2">
      <c r="B188" s="2"/>
      <c r="C188" s="2"/>
      <c r="D188" s="2"/>
      <c r="E188" s="188"/>
      <c r="F188" s="2"/>
      <c r="G188" s="2"/>
      <c r="H188" s="2"/>
      <c r="I188" s="2"/>
      <c r="J188" s="2"/>
    </row>
    <row r="189" spans="2:10" ht="15.75" customHeight="1" x14ac:dyDescent="0.2">
      <c r="B189" s="2"/>
      <c r="C189" s="2"/>
      <c r="D189" s="2"/>
      <c r="E189" s="188"/>
      <c r="F189" s="2"/>
      <c r="G189" s="2"/>
      <c r="H189" s="2"/>
      <c r="I189" s="2"/>
      <c r="J189" s="2"/>
    </row>
    <row r="190" spans="2:10" ht="15.75" customHeight="1" x14ac:dyDescent="0.2">
      <c r="B190" s="2"/>
      <c r="C190" s="2"/>
      <c r="D190" s="2"/>
      <c r="E190" s="188"/>
      <c r="F190" s="2"/>
      <c r="G190" s="2"/>
      <c r="H190" s="2"/>
      <c r="I190" s="2"/>
      <c r="J190" s="2"/>
    </row>
    <row r="191" spans="2:10" ht="15.75" customHeight="1" x14ac:dyDescent="0.2">
      <c r="B191" s="2"/>
      <c r="C191" s="2"/>
      <c r="D191" s="2"/>
      <c r="E191" s="188"/>
      <c r="F191" s="2"/>
      <c r="G191" s="2"/>
      <c r="H191" s="2"/>
      <c r="I191" s="2"/>
      <c r="J191" s="2"/>
    </row>
    <row r="192" spans="2:10" ht="15.75" customHeight="1" x14ac:dyDescent="0.2">
      <c r="B192" s="2"/>
      <c r="C192" s="2"/>
      <c r="D192" s="2"/>
      <c r="E192" s="188"/>
      <c r="F192" s="2"/>
      <c r="G192" s="2"/>
      <c r="H192" s="2"/>
      <c r="I192" s="2"/>
      <c r="J192" s="2"/>
    </row>
    <row r="193" spans="2:10" ht="15.75" customHeight="1" x14ac:dyDescent="0.2">
      <c r="B193" s="2"/>
      <c r="C193" s="2"/>
      <c r="D193" s="2"/>
      <c r="E193" s="188"/>
      <c r="F193" s="2"/>
      <c r="G193" s="2"/>
      <c r="H193" s="2"/>
      <c r="I193" s="2"/>
      <c r="J193" s="2"/>
    </row>
    <row r="194" spans="2:10" ht="15.75" customHeight="1" x14ac:dyDescent="0.2">
      <c r="B194" s="2"/>
      <c r="C194" s="2"/>
      <c r="D194" s="2"/>
      <c r="E194" s="188"/>
      <c r="F194" s="2"/>
      <c r="G194" s="2"/>
      <c r="H194" s="2"/>
      <c r="I194" s="2"/>
      <c r="J194" s="2"/>
    </row>
    <row r="195" spans="2:10" ht="15.75" customHeight="1" x14ac:dyDescent="0.2">
      <c r="B195" s="2"/>
      <c r="C195" s="2"/>
      <c r="D195" s="2"/>
      <c r="E195" s="188"/>
      <c r="F195" s="2"/>
      <c r="G195" s="2"/>
      <c r="H195" s="2"/>
      <c r="I195" s="2"/>
      <c r="J195" s="2"/>
    </row>
    <row r="196" spans="2:10" ht="15.75" customHeight="1" x14ac:dyDescent="0.2">
      <c r="B196" s="2"/>
      <c r="C196" s="2"/>
      <c r="D196" s="2"/>
      <c r="E196" s="188"/>
      <c r="F196" s="2"/>
      <c r="G196" s="2"/>
      <c r="H196" s="2"/>
      <c r="I196" s="2"/>
      <c r="J196" s="2"/>
    </row>
    <row r="197" spans="2:10" ht="15.75" customHeight="1" x14ac:dyDescent="0.2">
      <c r="B197" s="2"/>
      <c r="C197" s="2"/>
      <c r="D197" s="2"/>
      <c r="E197" s="188"/>
      <c r="F197" s="2"/>
      <c r="G197" s="2"/>
      <c r="H197" s="2"/>
      <c r="I197" s="2"/>
      <c r="J197" s="2"/>
    </row>
    <row r="198" spans="2:10" ht="15.75" customHeight="1" x14ac:dyDescent="0.2">
      <c r="B198" s="2"/>
      <c r="C198" s="2"/>
      <c r="D198" s="2"/>
      <c r="E198" s="188"/>
      <c r="F198" s="2"/>
      <c r="G198" s="2"/>
      <c r="H198" s="2"/>
      <c r="I198" s="2"/>
      <c r="J198" s="2"/>
    </row>
    <row r="199" spans="2:10" ht="15.75" customHeight="1" x14ac:dyDescent="0.2">
      <c r="B199" s="2"/>
      <c r="C199" s="2"/>
      <c r="D199" s="2"/>
      <c r="E199" s="188"/>
      <c r="F199" s="2"/>
      <c r="G199" s="2"/>
      <c r="H199" s="2"/>
      <c r="I199" s="2"/>
      <c r="J199" s="2"/>
    </row>
    <row r="200" spans="2:10" ht="15.75" customHeight="1" x14ac:dyDescent="0.2">
      <c r="B200" s="2"/>
      <c r="C200" s="2"/>
      <c r="D200" s="2"/>
      <c r="E200" s="188"/>
      <c r="F200" s="2"/>
      <c r="G200" s="2"/>
      <c r="H200" s="2"/>
      <c r="I200" s="2"/>
      <c r="J200" s="2"/>
    </row>
    <row r="201" spans="2:10" ht="15.75" customHeight="1" x14ac:dyDescent="0.2">
      <c r="B201" s="2"/>
      <c r="C201" s="2"/>
      <c r="D201" s="2"/>
      <c r="E201" s="188"/>
      <c r="F201" s="2"/>
      <c r="G201" s="2"/>
      <c r="H201" s="2"/>
      <c r="I201" s="2"/>
      <c r="J201" s="2"/>
    </row>
    <row r="202" spans="2:10" ht="15.75" customHeight="1" x14ac:dyDescent="0.2">
      <c r="B202" s="2"/>
      <c r="C202" s="2"/>
      <c r="D202" s="2"/>
      <c r="E202" s="188"/>
      <c r="F202" s="2"/>
      <c r="G202" s="2"/>
      <c r="H202" s="2"/>
      <c r="I202" s="2"/>
      <c r="J202" s="2"/>
    </row>
    <row r="203" spans="2:10" ht="15.75" customHeight="1" x14ac:dyDescent="0.2">
      <c r="B203" s="2"/>
      <c r="C203" s="2"/>
      <c r="D203" s="2"/>
      <c r="E203" s="188"/>
      <c r="F203" s="2"/>
      <c r="G203" s="2"/>
      <c r="H203" s="2"/>
      <c r="I203" s="2"/>
      <c r="J203" s="2"/>
    </row>
    <row r="204" spans="2:10" ht="15.75" customHeight="1" x14ac:dyDescent="0.2">
      <c r="B204" s="2"/>
      <c r="C204" s="2"/>
      <c r="D204" s="2"/>
      <c r="E204" s="188"/>
      <c r="F204" s="2"/>
      <c r="G204" s="2"/>
      <c r="H204" s="2"/>
      <c r="I204" s="2"/>
      <c r="J204" s="2"/>
    </row>
    <row r="205" spans="2:10" ht="15.75" customHeight="1" x14ac:dyDescent="0.2">
      <c r="B205" s="2"/>
      <c r="C205" s="2"/>
      <c r="D205" s="2"/>
      <c r="E205" s="188"/>
      <c r="F205" s="2"/>
      <c r="G205" s="2"/>
      <c r="H205" s="2"/>
      <c r="I205" s="2"/>
      <c r="J205" s="2"/>
    </row>
    <row r="206" spans="2:10" ht="15.75" customHeight="1" x14ac:dyDescent="0.2">
      <c r="B206" s="2"/>
      <c r="C206" s="2"/>
      <c r="D206" s="2"/>
      <c r="E206" s="188"/>
      <c r="F206" s="2"/>
      <c r="G206" s="2"/>
      <c r="H206" s="2"/>
      <c r="I206" s="2"/>
      <c r="J206" s="2"/>
    </row>
    <row r="207" spans="2:10" ht="15.75" customHeight="1" x14ac:dyDescent="0.2">
      <c r="B207" s="2"/>
      <c r="C207" s="2"/>
      <c r="D207" s="2"/>
      <c r="E207" s="188"/>
      <c r="F207" s="2"/>
      <c r="G207" s="2"/>
      <c r="H207" s="2"/>
      <c r="I207" s="2"/>
      <c r="J207" s="2"/>
    </row>
    <row r="208" spans="2:10" ht="15.75" customHeight="1" x14ac:dyDescent="0.2">
      <c r="B208" s="2"/>
      <c r="C208" s="2"/>
      <c r="D208" s="2"/>
      <c r="E208" s="188"/>
      <c r="F208" s="2"/>
      <c r="G208" s="2"/>
      <c r="H208" s="2"/>
      <c r="I208" s="2"/>
      <c r="J208" s="2"/>
    </row>
    <row r="209" spans="2:10" ht="15.75" customHeight="1" x14ac:dyDescent="0.2">
      <c r="B209" s="2"/>
      <c r="C209" s="2"/>
      <c r="D209" s="2"/>
      <c r="E209" s="188"/>
      <c r="F209" s="2"/>
      <c r="G209" s="2"/>
      <c r="H209" s="2"/>
      <c r="I209" s="2"/>
      <c r="J209" s="2"/>
    </row>
    <row r="210" spans="2:10" ht="15.75" customHeight="1" x14ac:dyDescent="0.2">
      <c r="B210" s="2"/>
      <c r="C210" s="2"/>
      <c r="D210" s="2"/>
      <c r="E210" s="188"/>
      <c r="F210" s="2"/>
      <c r="G210" s="2"/>
      <c r="H210" s="2"/>
      <c r="I210" s="2"/>
      <c r="J210" s="2"/>
    </row>
    <row r="211" spans="2:10" ht="15.75" customHeight="1" x14ac:dyDescent="0.2">
      <c r="B211" s="2"/>
      <c r="C211" s="2"/>
      <c r="D211" s="2"/>
      <c r="E211" s="188"/>
      <c r="F211" s="2"/>
      <c r="G211" s="2"/>
      <c r="H211" s="2"/>
      <c r="I211" s="2"/>
      <c r="J211" s="2"/>
    </row>
    <row r="212" spans="2:10" ht="15.75" customHeight="1" x14ac:dyDescent="0.2">
      <c r="B212" s="2"/>
      <c r="C212" s="2"/>
      <c r="D212" s="2"/>
      <c r="E212" s="188"/>
      <c r="F212" s="2"/>
      <c r="G212" s="2"/>
      <c r="H212" s="2"/>
      <c r="I212" s="2"/>
      <c r="J212" s="2"/>
    </row>
    <row r="213" spans="2:10" ht="15.75" customHeight="1" x14ac:dyDescent="0.2">
      <c r="B213" s="2"/>
      <c r="C213" s="2"/>
      <c r="D213" s="2"/>
      <c r="E213" s="188"/>
      <c r="F213" s="2"/>
      <c r="G213" s="2"/>
      <c r="H213" s="2"/>
      <c r="I213" s="2"/>
      <c r="J213" s="2"/>
    </row>
    <row r="214" spans="2:10" ht="15.75" customHeight="1" x14ac:dyDescent="0.2">
      <c r="B214" s="2"/>
      <c r="C214" s="2"/>
      <c r="D214" s="2"/>
      <c r="E214" s="188"/>
      <c r="F214" s="2"/>
      <c r="G214" s="2"/>
      <c r="H214" s="2"/>
      <c r="I214" s="2"/>
      <c r="J214" s="2"/>
    </row>
    <row r="215" spans="2:10" ht="15.75" customHeight="1" x14ac:dyDescent="0.2">
      <c r="B215" s="2"/>
      <c r="C215" s="2"/>
      <c r="D215" s="2"/>
      <c r="E215" s="188"/>
      <c r="F215" s="2"/>
      <c r="G215" s="2"/>
      <c r="H215" s="2"/>
      <c r="I215" s="2"/>
      <c r="J215" s="2"/>
    </row>
    <row r="216" spans="2:10" ht="15.75" customHeight="1" x14ac:dyDescent="0.2">
      <c r="B216" s="2"/>
      <c r="C216" s="2"/>
      <c r="D216" s="2"/>
      <c r="E216" s="188"/>
      <c r="F216" s="2"/>
      <c r="G216" s="2"/>
      <c r="H216" s="2"/>
      <c r="I216" s="2"/>
      <c r="J216" s="2"/>
    </row>
    <row r="217" spans="2:10" ht="15.75" customHeight="1" x14ac:dyDescent="0.2">
      <c r="B217" s="2"/>
      <c r="C217" s="2"/>
      <c r="D217" s="2"/>
      <c r="E217" s="188"/>
      <c r="F217" s="2"/>
      <c r="G217" s="2"/>
      <c r="H217" s="2"/>
      <c r="I217" s="2"/>
      <c r="J217" s="2"/>
    </row>
    <row r="218" spans="2:10" ht="15.75" customHeight="1" x14ac:dyDescent="0.2">
      <c r="B218" s="2"/>
      <c r="C218" s="2"/>
      <c r="D218" s="2"/>
      <c r="E218" s="188"/>
      <c r="F218" s="2"/>
      <c r="G218" s="2"/>
      <c r="H218" s="2"/>
      <c r="I218" s="2"/>
      <c r="J218" s="2"/>
    </row>
    <row r="219" spans="2:10" ht="15.75" customHeight="1" x14ac:dyDescent="0.2">
      <c r="B219" s="2"/>
      <c r="C219" s="2"/>
      <c r="D219" s="2"/>
      <c r="E219" s="188"/>
      <c r="F219" s="2"/>
      <c r="G219" s="2"/>
      <c r="H219" s="2"/>
      <c r="I219" s="2"/>
      <c r="J219" s="2"/>
    </row>
    <row r="220" spans="2:10" ht="15.75" customHeight="1" x14ac:dyDescent="0.2">
      <c r="B220" s="2"/>
      <c r="C220" s="2"/>
      <c r="D220" s="2"/>
      <c r="E220" s="188"/>
      <c r="F220" s="2"/>
      <c r="G220" s="2"/>
      <c r="H220" s="2"/>
      <c r="I220" s="2"/>
      <c r="J220" s="2"/>
    </row>
    <row r="221" spans="2:10" ht="15.75" customHeight="1" x14ac:dyDescent="0.2">
      <c r="B221" s="2"/>
      <c r="C221" s="37"/>
      <c r="D221" s="37"/>
      <c r="E221" s="327"/>
      <c r="F221" s="37"/>
      <c r="G221" s="37"/>
      <c r="H221" s="2"/>
      <c r="I221" s="2"/>
      <c r="J221" s="2"/>
    </row>
    <row r="222" spans="2:10" ht="15.75" customHeight="1" x14ac:dyDescent="0.2">
      <c r="B222" s="2"/>
      <c r="C222" s="37"/>
      <c r="D222" s="37"/>
      <c r="E222" s="327"/>
      <c r="F222" s="37"/>
      <c r="G222" s="37"/>
      <c r="H222" s="2"/>
      <c r="I222" s="2"/>
      <c r="J222" s="2"/>
    </row>
    <row r="223" spans="2:10" ht="15.75" customHeight="1" x14ac:dyDescent="0.2">
      <c r="B223" s="2"/>
      <c r="C223" s="37"/>
      <c r="D223" s="37"/>
      <c r="E223" s="327"/>
      <c r="F223" s="37"/>
      <c r="G223" s="37"/>
      <c r="H223" s="2"/>
      <c r="I223" s="2"/>
      <c r="J223" s="2"/>
    </row>
    <row r="224" spans="2:10" ht="15.75" customHeight="1" x14ac:dyDescent="0.2">
      <c r="B224" s="2"/>
      <c r="C224" s="37"/>
      <c r="D224" s="37"/>
      <c r="E224" s="327"/>
      <c r="F224" s="37"/>
      <c r="G224" s="37"/>
      <c r="H224" s="2"/>
      <c r="I224" s="2"/>
      <c r="J224" s="2"/>
    </row>
    <row r="225" spans="2:10" ht="15.75" customHeight="1" x14ac:dyDescent="0.2">
      <c r="B225" s="2"/>
      <c r="C225" s="37"/>
      <c r="D225" s="37"/>
      <c r="E225" s="327"/>
      <c r="F225" s="37"/>
      <c r="G225" s="37"/>
      <c r="H225" s="2"/>
      <c r="I225" s="2"/>
      <c r="J225" s="2"/>
    </row>
    <row r="226" spans="2:10" ht="15.75" customHeight="1" x14ac:dyDescent="0.2">
      <c r="B226" s="2"/>
      <c r="C226" s="37"/>
      <c r="D226" s="37"/>
      <c r="E226" s="327"/>
      <c r="F226" s="37"/>
      <c r="G226" s="37"/>
      <c r="H226" s="2"/>
      <c r="I226" s="2"/>
      <c r="J226" s="2"/>
    </row>
    <row r="227" spans="2:10" ht="15.75" customHeight="1" x14ac:dyDescent="0.2">
      <c r="B227" s="2"/>
      <c r="C227" s="37"/>
      <c r="D227" s="37"/>
      <c r="E227" s="327"/>
      <c r="F227" s="37"/>
      <c r="G227" s="37"/>
      <c r="H227" s="2"/>
      <c r="I227" s="2"/>
      <c r="J227" s="2"/>
    </row>
    <row r="228" spans="2:10" ht="15.75" customHeight="1" x14ac:dyDescent="0.2">
      <c r="B228" s="2"/>
      <c r="C228" s="37"/>
      <c r="D228" s="37"/>
      <c r="E228" s="327"/>
      <c r="F228" s="37"/>
      <c r="G228" s="37"/>
      <c r="H228" s="2"/>
      <c r="I228" s="2"/>
      <c r="J228" s="2"/>
    </row>
    <row r="229" spans="2:10" ht="15.75" customHeight="1" x14ac:dyDescent="0.2">
      <c r="B229" s="2"/>
      <c r="C229" s="37"/>
      <c r="D229" s="37"/>
      <c r="E229" s="327"/>
      <c r="F229" s="37"/>
      <c r="G229" s="37"/>
      <c r="H229" s="2"/>
      <c r="I229" s="2"/>
      <c r="J229" s="2"/>
    </row>
    <row r="230" spans="2:10" ht="15.75" customHeight="1" x14ac:dyDescent="0.2">
      <c r="B230" s="2"/>
      <c r="C230" s="37"/>
      <c r="D230" s="37"/>
      <c r="E230" s="327"/>
      <c r="F230" s="37"/>
      <c r="G230" s="37"/>
      <c r="H230" s="2"/>
      <c r="I230" s="2"/>
      <c r="J230" s="2"/>
    </row>
    <row r="231" spans="2:10" ht="15.75" customHeight="1" x14ac:dyDescent="0.2">
      <c r="B231" s="2"/>
      <c r="C231" s="37"/>
      <c r="D231" s="37"/>
      <c r="E231" s="327"/>
      <c r="F231" s="37"/>
      <c r="G231" s="37"/>
      <c r="H231" s="2"/>
      <c r="I231" s="2"/>
      <c r="J231" s="2"/>
    </row>
    <row r="232" spans="2:10" ht="15.75" customHeight="1" x14ac:dyDescent="0.2">
      <c r="B232" s="2"/>
      <c r="C232" s="37"/>
      <c r="D232" s="37"/>
      <c r="E232" s="327"/>
      <c r="F232" s="37"/>
      <c r="G232" s="37"/>
      <c r="H232" s="2"/>
      <c r="I232" s="2"/>
      <c r="J232" s="2"/>
    </row>
    <row r="233" spans="2:10" ht="15.75" customHeight="1" x14ac:dyDescent="0.2">
      <c r="B233" s="2"/>
      <c r="C233" s="37"/>
      <c r="D233" s="37"/>
      <c r="E233" s="327"/>
      <c r="F233" s="37"/>
      <c r="G233" s="37"/>
      <c r="H233" s="2"/>
      <c r="I233" s="2"/>
      <c r="J233" s="2"/>
    </row>
    <row r="234" spans="2:10" ht="15.75" customHeight="1" x14ac:dyDescent="0.2">
      <c r="B234" s="2"/>
      <c r="C234" s="37"/>
      <c r="D234" s="37"/>
      <c r="E234" s="327"/>
      <c r="F234" s="37"/>
      <c r="G234" s="37"/>
      <c r="H234" s="2"/>
      <c r="I234" s="2"/>
      <c r="J234" s="2"/>
    </row>
    <row r="235" spans="2:10" ht="15.75" customHeight="1" x14ac:dyDescent="0.2">
      <c r="B235" s="2"/>
      <c r="C235" s="37"/>
      <c r="D235" s="37"/>
      <c r="E235" s="327"/>
      <c r="F235" s="37"/>
      <c r="G235" s="37"/>
      <c r="H235" s="2"/>
      <c r="I235" s="2"/>
      <c r="J235" s="2"/>
    </row>
    <row r="236" spans="2:10" ht="15.75" customHeight="1" x14ac:dyDescent="0.2">
      <c r="B236" s="2"/>
      <c r="C236" s="37"/>
      <c r="D236" s="37"/>
      <c r="E236" s="327"/>
      <c r="F236" s="37"/>
      <c r="G236" s="37"/>
      <c r="H236" s="2"/>
      <c r="I236" s="2"/>
      <c r="J236" s="2"/>
    </row>
    <row r="237" spans="2:10" ht="15.75" customHeight="1" x14ac:dyDescent="0.2">
      <c r="B237" s="2"/>
      <c r="C237" s="37"/>
      <c r="D237" s="37"/>
      <c r="E237" s="327"/>
      <c r="F237" s="37"/>
      <c r="G237" s="37"/>
      <c r="H237" s="2"/>
      <c r="I237" s="2"/>
      <c r="J237" s="2"/>
    </row>
    <row r="238" spans="2:10" ht="15.75" customHeight="1" x14ac:dyDescent="0.2">
      <c r="B238" s="2"/>
      <c r="C238" s="37"/>
      <c r="D238" s="37"/>
      <c r="E238" s="327"/>
      <c r="F238" s="37"/>
      <c r="G238" s="37"/>
      <c r="H238" s="2"/>
      <c r="I238" s="2"/>
      <c r="J238" s="2"/>
    </row>
    <row r="239" spans="2:10" ht="15.75" customHeight="1" x14ac:dyDescent="0.2">
      <c r="B239" s="2"/>
      <c r="C239" s="37"/>
      <c r="D239" s="37"/>
      <c r="E239" s="327"/>
      <c r="F239" s="37"/>
      <c r="G239" s="37"/>
      <c r="H239" s="2"/>
      <c r="I239" s="2"/>
      <c r="J239" s="2"/>
    </row>
    <row r="240" spans="2:10" ht="15.75" customHeight="1" x14ac:dyDescent="0.2">
      <c r="B240" s="2"/>
      <c r="C240" s="37"/>
      <c r="D240" s="37"/>
      <c r="E240" s="327"/>
      <c r="F240" s="37"/>
      <c r="G240" s="37"/>
      <c r="H240" s="2"/>
      <c r="I240" s="2"/>
      <c r="J240" s="2"/>
    </row>
    <row r="241" spans="2:10" ht="15.75" customHeight="1" x14ac:dyDescent="0.2">
      <c r="B241" s="2"/>
      <c r="C241" s="37"/>
      <c r="D241" s="37"/>
      <c r="E241" s="327"/>
      <c r="F241" s="37"/>
      <c r="G241" s="37"/>
      <c r="H241" s="2"/>
      <c r="I241" s="2"/>
      <c r="J241" s="2"/>
    </row>
    <row r="242" spans="2:10" ht="15.75" customHeight="1" x14ac:dyDescent="0.2">
      <c r="B242" s="2"/>
      <c r="C242" s="37"/>
      <c r="D242" s="37"/>
      <c r="E242" s="327"/>
      <c r="F242" s="37"/>
      <c r="G242" s="37"/>
      <c r="H242" s="2"/>
      <c r="I242" s="2"/>
      <c r="J242" s="2"/>
    </row>
    <row r="243" spans="2:10" ht="15.75" customHeight="1" x14ac:dyDescent="0.2">
      <c r="B243" s="2"/>
      <c r="C243" s="37"/>
      <c r="D243" s="37"/>
      <c r="E243" s="327"/>
      <c r="F243" s="37"/>
      <c r="G243" s="37"/>
      <c r="H243" s="2"/>
      <c r="I243" s="2"/>
      <c r="J243" s="2"/>
    </row>
    <row r="244" spans="2:10" ht="15.75" customHeight="1" x14ac:dyDescent="0.2">
      <c r="B244" s="2"/>
      <c r="C244" s="37"/>
      <c r="D244" s="37"/>
      <c r="E244" s="327"/>
      <c r="F244" s="37"/>
      <c r="G244" s="37"/>
      <c r="H244" s="2"/>
      <c r="I244" s="2"/>
      <c r="J244" s="2"/>
    </row>
    <row r="245" spans="2:10" ht="15.75" customHeight="1" x14ac:dyDescent="0.2">
      <c r="B245" s="2"/>
      <c r="C245" s="37"/>
      <c r="D245" s="37"/>
      <c r="E245" s="327"/>
      <c r="F245" s="37"/>
      <c r="G245" s="37"/>
      <c r="H245" s="2"/>
      <c r="I245" s="2"/>
      <c r="J245" s="2"/>
    </row>
    <row r="246" spans="2:10" ht="15.75" customHeight="1" x14ac:dyDescent="0.2">
      <c r="B246" s="2"/>
      <c r="C246" s="37"/>
      <c r="D246" s="37"/>
      <c r="E246" s="327"/>
      <c r="F246" s="37"/>
      <c r="G246" s="37"/>
      <c r="H246" s="2"/>
      <c r="I246" s="2"/>
      <c r="J246" s="2"/>
    </row>
    <row r="247" spans="2:10" ht="15.75" customHeight="1" x14ac:dyDescent="0.2">
      <c r="B247" s="2"/>
      <c r="C247" s="37"/>
      <c r="D247" s="37"/>
      <c r="E247" s="327"/>
      <c r="F247" s="37"/>
      <c r="G247" s="37"/>
      <c r="H247" s="2"/>
      <c r="I247" s="2"/>
      <c r="J247" s="2"/>
    </row>
    <row r="248" spans="2:10" ht="15.75" customHeight="1" x14ac:dyDescent="0.2">
      <c r="B248" s="2"/>
      <c r="C248" s="37"/>
      <c r="D248" s="37"/>
      <c r="E248" s="327"/>
      <c r="F248" s="37"/>
      <c r="G248" s="37"/>
      <c r="H248" s="2"/>
      <c r="I248" s="2"/>
      <c r="J248" s="2"/>
    </row>
    <row r="249" spans="2:10" ht="15.75" customHeight="1" x14ac:dyDescent="0.2">
      <c r="B249" s="2"/>
      <c r="C249" s="37"/>
      <c r="D249" s="37"/>
      <c r="E249" s="327"/>
      <c r="F249" s="37"/>
      <c r="G249" s="37"/>
      <c r="H249" s="2"/>
      <c r="I249" s="2"/>
      <c r="J249" s="2"/>
    </row>
    <row r="250" spans="2:10" ht="15.75" customHeight="1" x14ac:dyDescent="0.2">
      <c r="B250" s="2"/>
      <c r="C250" s="37"/>
      <c r="D250" s="37"/>
      <c r="E250" s="327"/>
      <c r="F250" s="37"/>
      <c r="G250" s="37"/>
      <c r="H250" s="2"/>
      <c r="I250" s="2"/>
      <c r="J250" s="2"/>
    </row>
    <row r="251" spans="2:10" ht="15.75" customHeight="1" x14ac:dyDescent="0.2">
      <c r="B251" s="2"/>
      <c r="C251" s="37"/>
      <c r="D251" s="37"/>
      <c r="E251" s="327"/>
      <c r="F251" s="37"/>
      <c r="G251" s="37"/>
      <c r="H251" s="2"/>
      <c r="I251" s="2"/>
      <c r="J251" s="2"/>
    </row>
    <row r="252" spans="2:10" ht="15.75" customHeight="1" x14ac:dyDescent="0.2">
      <c r="B252" s="2"/>
      <c r="C252" s="37"/>
      <c r="D252" s="37"/>
      <c r="E252" s="327"/>
      <c r="F252" s="37"/>
      <c r="G252" s="37"/>
      <c r="H252" s="2"/>
      <c r="I252" s="2"/>
      <c r="J252" s="2"/>
    </row>
    <row r="253" spans="2:10" ht="15.75" customHeight="1" x14ac:dyDescent="0.2">
      <c r="B253" s="2"/>
      <c r="C253" s="37"/>
      <c r="D253" s="37"/>
      <c r="E253" s="327"/>
      <c r="F253" s="37"/>
      <c r="G253" s="37"/>
      <c r="H253" s="2"/>
      <c r="I253" s="2"/>
      <c r="J253" s="2"/>
    </row>
    <row r="254" spans="2:10" ht="15.75" customHeight="1" x14ac:dyDescent="0.2">
      <c r="B254" s="2"/>
      <c r="C254" s="37"/>
      <c r="D254" s="37"/>
      <c r="E254" s="327"/>
      <c r="F254" s="37"/>
      <c r="G254" s="37"/>
      <c r="H254" s="2"/>
      <c r="I254" s="2"/>
      <c r="J254" s="2"/>
    </row>
    <row r="255" spans="2:10" ht="15.75" customHeight="1" x14ac:dyDescent="0.2">
      <c r="B255" s="2"/>
      <c r="C255" s="37"/>
      <c r="D255" s="37"/>
      <c r="E255" s="327"/>
      <c r="F255" s="37"/>
      <c r="G255" s="37"/>
      <c r="H255" s="2"/>
      <c r="I255" s="2"/>
      <c r="J255" s="2"/>
    </row>
    <row r="256" spans="2:10" ht="15.75" customHeight="1" x14ac:dyDescent="0.2">
      <c r="B256" s="2"/>
      <c r="C256" s="37"/>
      <c r="D256" s="37"/>
      <c r="E256" s="327"/>
      <c r="F256" s="37"/>
      <c r="G256" s="37"/>
      <c r="H256" s="2"/>
      <c r="I256" s="2"/>
      <c r="J256" s="2"/>
    </row>
    <row r="257" spans="2:10" ht="15.75" customHeight="1" x14ac:dyDescent="0.2">
      <c r="B257" s="2"/>
      <c r="C257" s="37"/>
      <c r="D257" s="37"/>
      <c r="E257" s="327"/>
      <c r="F257" s="37"/>
      <c r="G257" s="37"/>
      <c r="H257" s="2"/>
      <c r="I257" s="2"/>
      <c r="J257" s="2"/>
    </row>
    <row r="258" spans="2:10" ht="15.75" customHeight="1" x14ac:dyDescent="0.2">
      <c r="B258" s="2"/>
      <c r="C258" s="37"/>
      <c r="D258" s="37"/>
      <c r="E258" s="327"/>
      <c r="F258" s="37"/>
      <c r="G258" s="37"/>
      <c r="H258" s="2"/>
      <c r="I258" s="2"/>
      <c r="J258" s="2"/>
    </row>
    <row r="259" spans="2:10" ht="15.75" customHeight="1" x14ac:dyDescent="0.2">
      <c r="B259" s="2"/>
      <c r="C259" s="37"/>
      <c r="D259" s="37"/>
      <c r="E259" s="327"/>
      <c r="F259" s="37"/>
      <c r="G259" s="37"/>
      <c r="H259" s="2"/>
      <c r="I259" s="2"/>
      <c r="J259" s="2"/>
    </row>
    <row r="260" spans="2:10" ht="15.75" customHeight="1" x14ac:dyDescent="0.2">
      <c r="B260" s="2"/>
      <c r="C260" s="37"/>
      <c r="D260" s="37"/>
      <c r="E260" s="327"/>
      <c r="F260" s="37"/>
      <c r="G260" s="37"/>
      <c r="H260" s="2"/>
      <c r="I260" s="2"/>
      <c r="J260" s="2"/>
    </row>
    <row r="261" spans="2:10" ht="15.75" customHeight="1" x14ac:dyDescent="0.2">
      <c r="B261" s="2"/>
      <c r="C261" s="37"/>
      <c r="D261" s="37"/>
      <c r="E261" s="327"/>
      <c r="F261" s="37"/>
      <c r="G261" s="37"/>
      <c r="H261" s="2"/>
      <c r="I261" s="2"/>
      <c r="J261" s="2"/>
    </row>
    <row r="262" spans="2:10" ht="15.75" customHeight="1" x14ac:dyDescent="0.2">
      <c r="B262" s="2"/>
      <c r="C262" s="37"/>
      <c r="D262" s="37"/>
      <c r="E262" s="327"/>
      <c r="F262" s="37"/>
      <c r="G262" s="37"/>
      <c r="H262" s="2"/>
      <c r="I262" s="2"/>
      <c r="J262" s="2"/>
    </row>
    <row r="263" spans="2:10" ht="15.75" customHeight="1" x14ac:dyDescent="0.2">
      <c r="B263" s="2"/>
      <c r="C263" s="37"/>
      <c r="D263" s="37"/>
      <c r="E263" s="327"/>
      <c r="F263" s="37"/>
      <c r="G263" s="37"/>
      <c r="H263" s="2"/>
      <c r="I263" s="2"/>
      <c r="J263" s="2"/>
    </row>
    <row r="264" spans="2:10" ht="15.75" customHeight="1" x14ac:dyDescent="0.2">
      <c r="B264" s="2"/>
      <c r="C264" s="37"/>
      <c r="D264" s="37"/>
      <c r="E264" s="327"/>
      <c r="F264" s="37"/>
      <c r="G264" s="37"/>
      <c r="H264" s="2"/>
      <c r="I264" s="2"/>
      <c r="J264" s="2"/>
    </row>
    <row r="265" spans="2:10" ht="15.75" customHeight="1" x14ac:dyDescent="0.2">
      <c r="B265" s="2"/>
      <c r="C265" s="37"/>
      <c r="D265" s="37"/>
      <c r="E265" s="327"/>
      <c r="F265" s="37"/>
      <c r="G265" s="37"/>
      <c r="H265" s="2"/>
      <c r="I265" s="2"/>
      <c r="J265" s="2"/>
    </row>
    <row r="266" spans="2:10" ht="15.75" customHeight="1" x14ac:dyDescent="0.2">
      <c r="B266" s="2"/>
      <c r="C266" s="37"/>
      <c r="D266" s="37"/>
      <c r="E266" s="327"/>
      <c r="F266" s="37"/>
      <c r="G266" s="37"/>
      <c r="H266" s="2"/>
      <c r="I266" s="2"/>
      <c r="J266" s="2"/>
    </row>
    <row r="267" spans="2:10" ht="15.75" customHeight="1" x14ac:dyDescent="0.2">
      <c r="B267" s="2"/>
      <c r="C267" s="37"/>
      <c r="D267" s="37"/>
      <c r="E267" s="327"/>
      <c r="F267" s="37"/>
      <c r="G267" s="37"/>
      <c r="H267" s="2"/>
      <c r="I267" s="2"/>
      <c r="J267" s="2"/>
    </row>
    <row r="268" spans="2:10" ht="15.75" customHeight="1" x14ac:dyDescent="0.2">
      <c r="B268" s="2"/>
      <c r="C268" s="37"/>
      <c r="D268" s="37"/>
      <c r="E268" s="327"/>
      <c r="F268" s="37"/>
      <c r="G268" s="37"/>
      <c r="H268" s="2"/>
      <c r="I268" s="2"/>
      <c r="J268" s="2"/>
    </row>
    <row r="269" spans="2:10" ht="15.75" customHeight="1" x14ac:dyDescent="0.2">
      <c r="B269" s="2"/>
      <c r="C269" s="37"/>
      <c r="D269" s="37"/>
      <c r="E269" s="327"/>
      <c r="F269" s="37"/>
      <c r="G269" s="37"/>
      <c r="H269" s="2"/>
      <c r="I269" s="2"/>
      <c r="J269" s="2"/>
    </row>
    <row r="270" spans="2:10" ht="15.75" customHeight="1" x14ac:dyDescent="0.2">
      <c r="B270" s="2"/>
      <c r="C270" s="37"/>
      <c r="D270" s="37"/>
      <c r="E270" s="327"/>
      <c r="F270" s="37"/>
      <c r="G270" s="37"/>
      <c r="H270" s="2"/>
      <c r="I270" s="2"/>
      <c r="J270" s="2"/>
    </row>
    <row r="271" spans="2:10" ht="15.75" customHeight="1" x14ac:dyDescent="0.2">
      <c r="B271" s="2"/>
      <c r="C271" s="37"/>
      <c r="D271" s="37"/>
      <c r="E271" s="327"/>
      <c r="F271" s="37"/>
      <c r="G271" s="37"/>
      <c r="H271" s="2"/>
      <c r="I271" s="2"/>
      <c r="J271" s="2"/>
    </row>
    <row r="272" spans="2:10" ht="15.75" customHeight="1" x14ac:dyDescent="0.2">
      <c r="B272" s="2"/>
      <c r="C272" s="37"/>
      <c r="D272" s="37"/>
      <c r="E272" s="327"/>
      <c r="F272" s="37"/>
      <c r="G272" s="37"/>
      <c r="H272" s="2"/>
      <c r="I272" s="2"/>
      <c r="J272" s="2"/>
    </row>
    <row r="273" spans="2:10" ht="15.75" customHeight="1" x14ac:dyDescent="0.2">
      <c r="B273" s="2"/>
      <c r="C273" s="37"/>
      <c r="D273" s="37"/>
      <c r="E273" s="327"/>
      <c r="F273" s="37"/>
      <c r="G273" s="37"/>
      <c r="H273" s="2"/>
      <c r="I273" s="2"/>
      <c r="J273" s="2"/>
    </row>
    <row r="274" spans="2:10" ht="15.75" customHeight="1" x14ac:dyDescent="0.2">
      <c r="B274" s="2"/>
      <c r="C274" s="37"/>
      <c r="D274" s="37"/>
      <c r="E274" s="327"/>
      <c r="F274" s="37"/>
      <c r="G274" s="37"/>
      <c r="H274" s="2"/>
      <c r="I274" s="2"/>
      <c r="J274" s="2"/>
    </row>
    <row r="275" spans="2:10" ht="15.75" customHeight="1" x14ac:dyDescent="0.2">
      <c r="B275" s="2"/>
      <c r="C275" s="37"/>
      <c r="D275" s="37"/>
      <c r="E275" s="327"/>
      <c r="F275" s="37"/>
      <c r="G275" s="37"/>
      <c r="H275" s="2"/>
      <c r="I275" s="2"/>
      <c r="J275" s="2"/>
    </row>
    <row r="276" spans="2:10" ht="15.75" customHeight="1" x14ac:dyDescent="0.2">
      <c r="B276" s="2"/>
      <c r="C276" s="37"/>
      <c r="D276" s="37"/>
      <c r="E276" s="327"/>
      <c r="F276" s="37"/>
      <c r="G276" s="37"/>
      <c r="H276" s="2"/>
      <c r="I276" s="2"/>
      <c r="J276" s="2"/>
    </row>
    <row r="277" spans="2:10" ht="15.75" customHeight="1" x14ac:dyDescent="0.2">
      <c r="B277" s="2"/>
      <c r="C277" s="37"/>
      <c r="D277" s="37"/>
      <c r="E277" s="327"/>
      <c r="F277" s="37"/>
      <c r="G277" s="37"/>
      <c r="H277" s="2"/>
      <c r="I277" s="2"/>
      <c r="J277" s="2"/>
    </row>
    <row r="278" spans="2:10" ht="15.75" customHeight="1" x14ac:dyDescent="0.2">
      <c r="B278" s="2"/>
      <c r="C278" s="37"/>
      <c r="D278" s="37"/>
      <c r="E278" s="327"/>
      <c r="F278" s="37"/>
      <c r="G278" s="37"/>
      <c r="H278" s="2"/>
      <c r="I278" s="2"/>
      <c r="J278" s="2"/>
    </row>
    <row r="279" spans="2:10" ht="15.75" customHeight="1" x14ac:dyDescent="0.2">
      <c r="B279" s="2"/>
      <c r="C279" s="37"/>
      <c r="D279" s="37"/>
      <c r="E279" s="327"/>
      <c r="F279" s="37"/>
      <c r="G279" s="37"/>
      <c r="H279" s="2"/>
      <c r="I279" s="2"/>
      <c r="J279" s="2"/>
    </row>
    <row r="280" spans="2:10" ht="15.75" customHeight="1" x14ac:dyDescent="0.2">
      <c r="B280" s="2"/>
      <c r="C280" s="37"/>
      <c r="D280" s="37"/>
      <c r="E280" s="327"/>
      <c r="F280" s="37"/>
      <c r="G280" s="37"/>
      <c r="H280" s="2"/>
      <c r="I280" s="2"/>
      <c r="J280" s="2"/>
    </row>
    <row r="281" spans="2:10" ht="15.75" customHeight="1" x14ac:dyDescent="0.2">
      <c r="B281" s="2"/>
      <c r="C281" s="37"/>
      <c r="D281" s="37"/>
      <c r="E281" s="327"/>
      <c r="F281" s="37"/>
      <c r="G281" s="37"/>
      <c r="H281" s="2"/>
      <c r="I281" s="2"/>
      <c r="J281" s="2"/>
    </row>
    <row r="282" spans="2:10" ht="15.75" customHeight="1" x14ac:dyDescent="0.2">
      <c r="B282" s="2"/>
      <c r="C282" s="37"/>
      <c r="D282" s="37"/>
      <c r="E282" s="327"/>
      <c r="F282" s="37"/>
      <c r="G282" s="37"/>
      <c r="H282" s="2"/>
      <c r="I282" s="2"/>
      <c r="J282" s="2"/>
    </row>
    <row r="283" spans="2:10" ht="15.75" customHeight="1" x14ac:dyDescent="0.2">
      <c r="B283" s="2"/>
      <c r="C283" s="37"/>
      <c r="D283" s="37"/>
      <c r="E283" s="327"/>
      <c r="F283" s="37"/>
      <c r="G283" s="37"/>
      <c r="H283" s="2"/>
      <c r="I283" s="2"/>
      <c r="J283" s="2"/>
    </row>
    <row r="284" spans="2:10" ht="15.75" customHeight="1" x14ac:dyDescent="0.2">
      <c r="B284" s="2"/>
      <c r="C284" s="37"/>
      <c r="D284" s="37"/>
      <c r="E284" s="327"/>
      <c r="F284" s="37"/>
      <c r="G284" s="37"/>
      <c r="H284" s="2"/>
      <c r="I284" s="2"/>
      <c r="J284" s="2"/>
    </row>
    <row r="285" spans="2:10" ht="15.75" customHeight="1" x14ac:dyDescent="0.2">
      <c r="B285" s="2"/>
      <c r="C285" s="37"/>
      <c r="D285" s="37"/>
      <c r="E285" s="327"/>
      <c r="F285" s="37"/>
      <c r="G285" s="37"/>
      <c r="H285" s="2"/>
      <c r="I285" s="2"/>
      <c r="J285" s="2"/>
    </row>
    <row r="286" spans="2:10" ht="15.75" customHeight="1" x14ac:dyDescent="0.2">
      <c r="B286" s="2"/>
      <c r="C286" s="37"/>
      <c r="D286" s="37"/>
      <c r="E286" s="327"/>
      <c r="F286" s="37"/>
      <c r="G286" s="37"/>
      <c r="H286" s="2"/>
      <c r="I286" s="2"/>
      <c r="J286" s="2"/>
    </row>
    <row r="287" spans="2:10" ht="15.75" customHeight="1" x14ac:dyDescent="0.2">
      <c r="B287" s="2"/>
      <c r="C287" s="37"/>
      <c r="D287" s="37"/>
      <c r="E287" s="327"/>
      <c r="F287" s="37"/>
      <c r="G287" s="37"/>
      <c r="H287" s="2"/>
      <c r="I287" s="2"/>
      <c r="J287" s="2"/>
    </row>
    <row r="288" spans="2:10" ht="15.75" customHeight="1" x14ac:dyDescent="0.2">
      <c r="B288" s="2"/>
      <c r="C288" s="37"/>
      <c r="D288" s="37"/>
      <c r="E288" s="327"/>
      <c r="F288" s="37"/>
      <c r="G288" s="37"/>
      <c r="H288" s="2"/>
      <c r="I288" s="2"/>
      <c r="J288" s="2"/>
    </row>
    <row r="289" spans="2:10" ht="15.75" customHeight="1" x14ac:dyDescent="0.2">
      <c r="B289" s="2"/>
      <c r="C289" s="37"/>
      <c r="D289" s="37"/>
      <c r="E289" s="327"/>
      <c r="F289" s="37"/>
      <c r="G289" s="37"/>
      <c r="H289" s="2"/>
      <c r="I289" s="2"/>
      <c r="J289" s="2"/>
    </row>
    <row r="290" spans="2:10" ht="15.75" customHeight="1" x14ac:dyDescent="0.2">
      <c r="B290" s="2"/>
      <c r="C290" s="37"/>
      <c r="D290" s="37"/>
      <c r="E290" s="327"/>
      <c r="F290" s="37"/>
      <c r="G290" s="37"/>
      <c r="H290" s="2"/>
      <c r="I290" s="2"/>
      <c r="J290" s="2"/>
    </row>
    <row r="291" spans="2:10" ht="15.75" customHeight="1" x14ac:dyDescent="0.2">
      <c r="B291" s="2"/>
      <c r="C291" s="37"/>
      <c r="D291" s="37"/>
      <c r="E291" s="327"/>
      <c r="F291" s="37"/>
      <c r="G291" s="37"/>
      <c r="H291" s="2"/>
      <c r="I291" s="2"/>
      <c r="J291" s="2"/>
    </row>
    <row r="292" spans="2:10" ht="15.75" customHeight="1" x14ac:dyDescent="0.2">
      <c r="B292" s="2"/>
      <c r="C292" s="37"/>
      <c r="D292" s="37"/>
      <c r="E292" s="327"/>
      <c r="F292" s="37"/>
      <c r="G292" s="37"/>
      <c r="H292" s="2"/>
      <c r="I292" s="2"/>
      <c r="J292" s="2"/>
    </row>
    <row r="293" spans="2:10" ht="15.75" customHeight="1" x14ac:dyDescent="0.2">
      <c r="B293" s="2"/>
      <c r="C293" s="37"/>
      <c r="D293" s="37"/>
      <c r="E293" s="327"/>
      <c r="F293" s="37"/>
      <c r="G293" s="37"/>
      <c r="H293" s="2"/>
      <c r="I293" s="2"/>
      <c r="J293" s="2"/>
    </row>
    <row r="294" spans="2:10" ht="15.75" customHeight="1" x14ac:dyDescent="0.2">
      <c r="B294" s="2"/>
      <c r="C294" s="37"/>
      <c r="D294" s="37"/>
      <c r="E294" s="327"/>
      <c r="F294" s="37"/>
      <c r="G294" s="37"/>
      <c r="H294" s="2"/>
      <c r="I294" s="2"/>
      <c r="J294" s="2"/>
    </row>
    <row r="295" spans="2:10" ht="15.75" customHeight="1" x14ac:dyDescent="0.2">
      <c r="B295" s="2"/>
      <c r="C295" s="37"/>
      <c r="D295" s="37"/>
      <c r="E295" s="327"/>
      <c r="F295" s="37"/>
      <c r="G295" s="37"/>
      <c r="H295" s="2"/>
      <c r="I295" s="2"/>
      <c r="J295" s="2"/>
    </row>
    <row r="296" spans="2:10" ht="15.75" customHeight="1" x14ac:dyDescent="0.2">
      <c r="B296" s="2"/>
      <c r="C296" s="37"/>
      <c r="D296" s="37"/>
      <c r="E296" s="327"/>
      <c r="F296" s="37"/>
      <c r="G296" s="37"/>
      <c r="H296" s="2"/>
      <c r="I296" s="2"/>
      <c r="J296" s="2"/>
    </row>
    <row r="297" spans="2:10" ht="15.75" customHeight="1" x14ac:dyDescent="0.2">
      <c r="B297" s="2"/>
      <c r="C297" s="37"/>
      <c r="D297" s="37"/>
      <c r="E297" s="327"/>
      <c r="F297" s="37"/>
      <c r="G297" s="37"/>
      <c r="H297" s="2"/>
      <c r="I297" s="2"/>
      <c r="J297" s="2"/>
    </row>
    <row r="298" spans="2:10" ht="15.75" customHeight="1" x14ac:dyDescent="0.2">
      <c r="B298" s="2"/>
      <c r="C298" s="37"/>
      <c r="D298" s="37"/>
      <c r="E298" s="327"/>
      <c r="F298" s="37"/>
      <c r="G298" s="37"/>
      <c r="H298" s="2"/>
      <c r="I298" s="2"/>
      <c r="J298" s="2"/>
    </row>
    <row r="299" spans="2:10" ht="15.75" customHeight="1" x14ac:dyDescent="0.2">
      <c r="B299" s="2"/>
      <c r="C299" s="37"/>
      <c r="D299" s="37"/>
      <c r="E299" s="327"/>
      <c r="F299" s="37"/>
      <c r="G299" s="37"/>
      <c r="H299" s="2"/>
      <c r="I299" s="2"/>
      <c r="J299" s="2"/>
    </row>
    <row r="300" spans="2:10" ht="15.75" customHeight="1" x14ac:dyDescent="0.2">
      <c r="B300" s="2"/>
      <c r="C300" s="37"/>
      <c r="D300" s="37"/>
      <c r="E300" s="327"/>
      <c r="F300" s="37"/>
      <c r="G300" s="37"/>
      <c r="H300" s="2"/>
      <c r="I300" s="2"/>
      <c r="J300" s="2"/>
    </row>
    <row r="301" spans="2:10" ht="15.75" customHeight="1" x14ac:dyDescent="0.2">
      <c r="B301" s="2"/>
      <c r="C301" s="37"/>
      <c r="D301" s="37"/>
      <c r="E301" s="327"/>
      <c r="F301" s="37"/>
      <c r="G301" s="37"/>
      <c r="H301" s="2"/>
      <c r="I301" s="2"/>
      <c r="J301" s="2"/>
    </row>
    <row r="302" spans="2:10" ht="15.75" customHeight="1" x14ac:dyDescent="0.2">
      <c r="B302" s="2"/>
      <c r="C302" s="37"/>
      <c r="D302" s="37"/>
      <c r="E302" s="327"/>
      <c r="F302" s="37"/>
      <c r="G302" s="37"/>
      <c r="H302" s="2"/>
      <c r="I302" s="2"/>
      <c r="J302" s="2"/>
    </row>
    <row r="303" spans="2:10" ht="15.75" customHeight="1" x14ac:dyDescent="0.2">
      <c r="B303" s="2"/>
      <c r="C303" s="37"/>
      <c r="D303" s="37"/>
      <c r="E303" s="327"/>
      <c r="F303" s="37"/>
      <c r="G303" s="37"/>
      <c r="H303" s="2"/>
      <c r="I303" s="2"/>
      <c r="J303" s="2"/>
    </row>
    <row r="304" spans="2:10" ht="15.75" customHeight="1" x14ac:dyDescent="0.2">
      <c r="B304" s="2"/>
      <c r="C304" s="37"/>
      <c r="D304" s="37"/>
      <c r="E304" s="327"/>
      <c r="F304" s="37"/>
      <c r="G304" s="37"/>
      <c r="H304" s="2"/>
      <c r="I304" s="2"/>
      <c r="J304" s="2"/>
    </row>
    <row r="305" spans="2:10" ht="15.75" customHeight="1" x14ac:dyDescent="0.2">
      <c r="B305" s="2"/>
      <c r="C305" s="37"/>
      <c r="D305" s="37"/>
      <c r="E305" s="327"/>
      <c r="F305" s="37"/>
      <c r="G305" s="37"/>
      <c r="H305" s="2"/>
      <c r="I305" s="2"/>
      <c r="J305" s="2"/>
    </row>
    <row r="306" spans="2:10" ht="15.75" customHeight="1" x14ac:dyDescent="0.2">
      <c r="B306" s="2"/>
      <c r="C306" s="37"/>
      <c r="D306" s="37"/>
      <c r="E306" s="327"/>
      <c r="F306" s="37"/>
      <c r="G306" s="37"/>
      <c r="H306" s="2"/>
      <c r="I306" s="2"/>
      <c r="J306" s="2"/>
    </row>
    <row r="307" spans="2:10" ht="15.75" customHeight="1" x14ac:dyDescent="0.2">
      <c r="B307" s="2"/>
      <c r="C307" s="37"/>
      <c r="D307" s="37"/>
      <c r="E307" s="327"/>
      <c r="F307" s="37"/>
      <c r="G307" s="37"/>
      <c r="H307" s="2"/>
      <c r="I307" s="2"/>
      <c r="J307" s="2"/>
    </row>
    <row r="308" spans="2:10" ht="15.75" customHeight="1" x14ac:dyDescent="0.2">
      <c r="B308" s="2"/>
      <c r="C308" s="37"/>
      <c r="D308" s="37"/>
      <c r="E308" s="327"/>
      <c r="F308" s="37"/>
      <c r="G308" s="37"/>
      <c r="H308" s="2"/>
      <c r="I308" s="2"/>
      <c r="J308" s="2"/>
    </row>
    <row r="309" spans="2:10" ht="15.75" customHeight="1" x14ac:dyDescent="0.2">
      <c r="B309" s="2"/>
      <c r="C309" s="37"/>
      <c r="D309" s="37"/>
      <c r="E309" s="327"/>
      <c r="F309" s="37"/>
      <c r="G309" s="37"/>
      <c r="H309" s="2"/>
      <c r="I309" s="2"/>
      <c r="J309" s="2"/>
    </row>
    <row r="310" spans="2:10" ht="15.75" customHeight="1" x14ac:dyDescent="0.2">
      <c r="B310" s="2"/>
      <c r="C310" s="37"/>
      <c r="D310" s="37"/>
      <c r="E310" s="327"/>
      <c r="F310" s="37"/>
      <c r="G310" s="37"/>
      <c r="H310" s="2"/>
      <c r="I310" s="2"/>
      <c r="J310" s="2"/>
    </row>
    <row r="311" spans="2:10" ht="15.75" customHeight="1" x14ac:dyDescent="0.2">
      <c r="B311" s="2"/>
      <c r="C311" s="37"/>
      <c r="D311" s="37"/>
      <c r="E311" s="327"/>
      <c r="F311" s="37"/>
      <c r="G311" s="37"/>
      <c r="H311" s="2"/>
      <c r="I311" s="2"/>
      <c r="J311" s="2"/>
    </row>
    <row r="312" spans="2:10" ht="15.75" customHeight="1" x14ac:dyDescent="0.2">
      <c r="B312" s="2"/>
      <c r="C312" s="37"/>
      <c r="D312" s="37"/>
      <c r="E312" s="327"/>
      <c r="F312" s="37"/>
      <c r="G312" s="37"/>
      <c r="H312" s="2"/>
      <c r="I312" s="2"/>
      <c r="J312" s="2"/>
    </row>
    <row r="313" spans="2:10" ht="15.75" customHeight="1" x14ac:dyDescent="0.2">
      <c r="B313" s="2"/>
      <c r="C313" s="37"/>
      <c r="D313" s="37"/>
      <c r="E313" s="327"/>
      <c r="F313" s="37"/>
      <c r="G313" s="37"/>
      <c r="H313" s="2"/>
      <c r="I313" s="2"/>
      <c r="J313" s="2"/>
    </row>
    <row r="314" spans="2:10" ht="15.75" customHeight="1" x14ac:dyDescent="0.2">
      <c r="B314" s="2"/>
      <c r="C314" s="37"/>
      <c r="D314" s="37"/>
      <c r="E314" s="327"/>
      <c r="F314" s="37"/>
      <c r="G314" s="37"/>
      <c r="H314" s="2"/>
      <c r="I314" s="2"/>
      <c r="J314" s="2"/>
    </row>
    <row r="315" spans="2:10" ht="15.75" customHeight="1" x14ac:dyDescent="0.2">
      <c r="B315" s="2"/>
      <c r="C315" s="37"/>
      <c r="D315" s="37"/>
      <c r="E315" s="327"/>
      <c r="F315" s="37"/>
      <c r="G315" s="37"/>
      <c r="H315" s="2"/>
      <c r="I315" s="2"/>
      <c r="J315" s="2"/>
    </row>
    <row r="316" spans="2:10" ht="15.75" customHeight="1" x14ac:dyDescent="0.2">
      <c r="B316" s="2"/>
      <c r="C316" s="37"/>
      <c r="D316" s="37"/>
      <c r="E316" s="327"/>
      <c r="F316" s="37"/>
      <c r="G316" s="37"/>
      <c r="H316" s="2"/>
      <c r="I316" s="2"/>
      <c r="J316" s="2"/>
    </row>
    <row r="317" spans="2:10" ht="15.75" customHeight="1" x14ac:dyDescent="0.2">
      <c r="B317" s="2"/>
      <c r="C317" s="37"/>
      <c r="D317" s="37"/>
      <c r="E317" s="327"/>
      <c r="F317" s="37"/>
      <c r="G317" s="37"/>
      <c r="H317" s="2"/>
      <c r="I317" s="2"/>
      <c r="J317" s="2"/>
    </row>
    <row r="318" spans="2:10" ht="15.75" customHeight="1" x14ac:dyDescent="0.2">
      <c r="B318" s="2"/>
      <c r="C318" s="37"/>
      <c r="D318" s="37"/>
      <c r="E318" s="327"/>
      <c r="F318" s="37"/>
      <c r="G318" s="37"/>
      <c r="H318" s="2"/>
      <c r="I318" s="2"/>
      <c r="J318" s="2"/>
    </row>
    <row r="319" spans="2:10" ht="15.75" customHeight="1" x14ac:dyDescent="0.2">
      <c r="B319" s="2"/>
      <c r="C319" s="37"/>
      <c r="D319" s="37"/>
      <c r="E319" s="327"/>
      <c r="F319" s="37"/>
      <c r="G319" s="37"/>
      <c r="H319" s="2"/>
      <c r="I319" s="2"/>
      <c r="J319" s="2"/>
    </row>
    <row r="320" spans="2:10" ht="15.75" customHeight="1" x14ac:dyDescent="0.2">
      <c r="B320" s="2"/>
      <c r="C320" s="37"/>
      <c r="D320" s="37"/>
      <c r="E320" s="327"/>
      <c r="F320" s="37"/>
      <c r="G320" s="37"/>
      <c r="H320" s="2"/>
      <c r="I320" s="2"/>
      <c r="J320" s="2"/>
    </row>
    <row r="321" spans="2:10" ht="15.75" customHeight="1" x14ac:dyDescent="0.2">
      <c r="B321" s="2"/>
      <c r="C321" s="37"/>
      <c r="D321" s="37"/>
      <c r="E321" s="327"/>
      <c r="F321" s="37"/>
      <c r="G321" s="37"/>
      <c r="H321" s="2"/>
      <c r="I321" s="2"/>
      <c r="J321" s="2"/>
    </row>
    <row r="322" spans="2:10" ht="15.75" customHeight="1" x14ac:dyDescent="0.2">
      <c r="B322" s="2"/>
      <c r="C322" s="37"/>
      <c r="D322" s="37"/>
      <c r="E322" s="327"/>
      <c r="F322" s="37"/>
      <c r="G322" s="37"/>
      <c r="H322" s="2"/>
      <c r="I322" s="2"/>
      <c r="J322" s="2"/>
    </row>
    <row r="323" spans="2:10" ht="15.75" customHeight="1" x14ac:dyDescent="0.2">
      <c r="B323" s="2"/>
      <c r="C323" s="37"/>
      <c r="D323" s="37"/>
      <c r="E323" s="327"/>
      <c r="F323" s="37"/>
      <c r="G323" s="37"/>
      <c r="H323" s="2"/>
      <c r="I323" s="2"/>
      <c r="J323" s="2"/>
    </row>
    <row r="324" spans="2:10" ht="15.75" customHeight="1" x14ac:dyDescent="0.2">
      <c r="B324" s="2"/>
      <c r="C324" s="37"/>
      <c r="D324" s="37"/>
      <c r="E324" s="327"/>
      <c r="F324" s="37"/>
      <c r="G324" s="37"/>
      <c r="H324" s="2"/>
      <c r="I324" s="2"/>
      <c r="J324" s="2"/>
    </row>
    <row r="325" spans="2:10" ht="15.75" customHeight="1" x14ac:dyDescent="0.2">
      <c r="B325" s="2"/>
      <c r="C325" s="37"/>
      <c r="D325" s="37"/>
      <c r="E325" s="327"/>
      <c r="F325" s="37"/>
      <c r="G325" s="37"/>
      <c r="H325" s="2"/>
      <c r="I325" s="2"/>
      <c r="J325" s="2"/>
    </row>
    <row r="326" spans="2:10" ht="15.75" customHeight="1" x14ac:dyDescent="0.2">
      <c r="B326" s="2"/>
      <c r="C326" s="37"/>
      <c r="D326" s="37"/>
      <c r="E326" s="327"/>
      <c r="F326" s="37"/>
      <c r="G326" s="37"/>
      <c r="H326" s="2"/>
      <c r="I326" s="2"/>
      <c r="J326" s="2"/>
    </row>
    <row r="327" spans="2:10" ht="15.75" customHeight="1" x14ac:dyDescent="0.2">
      <c r="B327" s="2"/>
      <c r="C327" s="37"/>
      <c r="D327" s="37"/>
      <c r="E327" s="327"/>
      <c r="F327" s="37"/>
      <c r="G327" s="37"/>
      <c r="H327" s="2"/>
      <c r="I327" s="2"/>
      <c r="J327" s="2"/>
    </row>
    <row r="328" spans="2:10" ht="15.75" customHeight="1" x14ac:dyDescent="0.2">
      <c r="B328" s="2"/>
      <c r="C328" s="37"/>
      <c r="D328" s="37"/>
      <c r="E328" s="327"/>
      <c r="F328" s="37"/>
      <c r="G328" s="37"/>
      <c r="H328" s="2"/>
      <c r="I328" s="2"/>
      <c r="J328" s="2"/>
    </row>
    <row r="329" spans="2:10" ht="15.75" customHeight="1" x14ac:dyDescent="0.2">
      <c r="B329" s="2"/>
      <c r="C329" s="37"/>
      <c r="D329" s="37"/>
      <c r="E329" s="327"/>
      <c r="F329" s="37"/>
      <c r="G329" s="37"/>
      <c r="H329" s="2"/>
      <c r="I329" s="2"/>
      <c r="J329" s="2"/>
    </row>
    <row r="330" spans="2:10" ht="15.75" customHeight="1" x14ac:dyDescent="0.2">
      <c r="B330" s="2"/>
      <c r="C330" s="37"/>
      <c r="D330" s="37"/>
      <c r="E330" s="327"/>
      <c r="F330" s="37"/>
      <c r="G330" s="37"/>
      <c r="H330" s="2"/>
      <c r="I330" s="2"/>
      <c r="J330" s="2"/>
    </row>
    <row r="331" spans="2:10" ht="15.75" customHeight="1" x14ac:dyDescent="0.2">
      <c r="B331" s="2"/>
      <c r="C331" s="37"/>
      <c r="D331" s="37"/>
      <c r="E331" s="327"/>
      <c r="F331" s="37"/>
      <c r="G331" s="37"/>
      <c r="H331" s="2"/>
      <c r="I331" s="2"/>
      <c r="J331" s="2"/>
    </row>
    <row r="332" spans="2:10" ht="15.75" customHeight="1" x14ac:dyDescent="0.2">
      <c r="B332" s="2"/>
      <c r="C332" s="37"/>
      <c r="D332" s="37"/>
      <c r="E332" s="327"/>
      <c r="F332" s="37"/>
      <c r="G332" s="37"/>
      <c r="H332" s="2"/>
      <c r="I332" s="2"/>
      <c r="J332" s="2"/>
    </row>
    <row r="333" spans="2:10" ht="15.75" customHeight="1" x14ac:dyDescent="0.2">
      <c r="B333" s="2"/>
      <c r="C333" s="37"/>
      <c r="D333" s="37"/>
      <c r="E333" s="327"/>
      <c r="F333" s="37"/>
      <c r="G333" s="37"/>
      <c r="H333" s="2"/>
      <c r="I333" s="2"/>
      <c r="J333" s="2"/>
    </row>
    <row r="334" spans="2:10" ht="15.75" customHeight="1" x14ac:dyDescent="0.2">
      <c r="B334" s="2"/>
      <c r="C334" s="37"/>
      <c r="D334" s="37"/>
      <c r="E334" s="327"/>
      <c r="F334" s="37"/>
      <c r="G334" s="37"/>
      <c r="H334" s="2"/>
      <c r="I334" s="2"/>
      <c r="J334" s="2"/>
    </row>
    <row r="335" spans="2:10" ht="15.75" customHeight="1" x14ac:dyDescent="0.2">
      <c r="B335" s="2"/>
      <c r="C335" s="37"/>
      <c r="D335" s="37"/>
      <c r="E335" s="327"/>
      <c r="F335" s="37"/>
      <c r="G335" s="37"/>
      <c r="H335" s="2"/>
      <c r="I335" s="2"/>
      <c r="J335" s="2"/>
    </row>
    <row r="336" spans="2:10" ht="15.75" customHeight="1" x14ac:dyDescent="0.2">
      <c r="B336" s="2"/>
      <c r="C336" s="37"/>
      <c r="D336" s="37"/>
      <c r="E336" s="327"/>
      <c r="F336" s="37"/>
      <c r="G336" s="37"/>
      <c r="H336" s="2"/>
      <c r="I336" s="2"/>
      <c r="J336" s="2"/>
    </row>
    <row r="337" spans="2:10" ht="15.75" customHeight="1" x14ac:dyDescent="0.2">
      <c r="B337" s="2"/>
      <c r="C337" s="37"/>
      <c r="D337" s="37"/>
      <c r="E337" s="327"/>
      <c r="F337" s="37"/>
      <c r="G337" s="37"/>
      <c r="H337" s="2"/>
      <c r="I337" s="2"/>
      <c r="J337" s="2"/>
    </row>
    <row r="338" spans="2:10" ht="15.75" customHeight="1" x14ac:dyDescent="0.2">
      <c r="B338" s="2"/>
      <c r="C338" s="37"/>
      <c r="D338" s="37"/>
      <c r="E338" s="327"/>
      <c r="F338" s="37"/>
      <c r="G338" s="37"/>
      <c r="H338" s="2"/>
      <c r="I338" s="2"/>
      <c r="J338" s="2"/>
    </row>
    <row r="339" spans="2:10" ht="15.75" customHeight="1" x14ac:dyDescent="0.2">
      <c r="B339" s="2"/>
      <c r="C339" s="37"/>
      <c r="D339" s="37"/>
      <c r="E339" s="327"/>
      <c r="F339" s="37"/>
      <c r="G339" s="37"/>
      <c r="H339" s="2"/>
      <c r="I339" s="2"/>
      <c r="J339" s="2"/>
    </row>
    <row r="340" spans="2:10" ht="15.75" customHeight="1" x14ac:dyDescent="0.2">
      <c r="B340" s="2"/>
      <c r="C340" s="37"/>
      <c r="D340" s="37"/>
      <c r="E340" s="327"/>
      <c r="F340" s="37"/>
      <c r="G340" s="37"/>
      <c r="H340" s="2"/>
      <c r="I340" s="2"/>
      <c r="J340" s="2"/>
    </row>
    <row r="341" spans="2:10" ht="15.75" customHeight="1" x14ac:dyDescent="0.2">
      <c r="B341" s="2"/>
      <c r="C341" s="37"/>
      <c r="D341" s="37"/>
      <c r="E341" s="327"/>
      <c r="F341" s="37"/>
      <c r="G341" s="37"/>
      <c r="H341" s="2"/>
      <c r="I341" s="2"/>
      <c r="J341" s="2"/>
    </row>
    <row r="342" spans="2:10" ht="15.75" customHeight="1" x14ac:dyDescent="0.2">
      <c r="B342" s="2"/>
      <c r="C342" s="37"/>
      <c r="D342" s="37"/>
      <c r="E342" s="327"/>
      <c r="F342" s="37"/>
      <c r="G342" s="37"/>
      <c r="H342" s="2"/>
      <c r="I342" s="2"/>
      <c r="J342" s="2"/>
    </row>
    <row r="343" spans="2:10" ht="15.75" customHeight="1" x14ac:dyDescent="0.2">
      <c r="B343" s="2"/>
      <c r="C343" s="37"/>
      <c r="D343" s="37"/>
      <c r="E343" s="327"/>
      <c r="F343" s="37"/>
      <c r="G343" s="37"/>
      <c r="H343" s="2"/>
      <c r="I343" s="2"/>
      <c r="J343" s="2"/>
    </row>
    <row r="344" spans="2:10" ht="15.75" customHeight="1" x14ac:dyDescent="0.2">
      <c r="B344" s="2"/>
      <c r="C344" s="37"/>
      <c r="D344" s="37"/>
      <c r="E344" s="327"/>
      <c r="F344" s="37"/>
      <c r="G344" s="37"/>
      <c r="H344" s="2"/>
      <c r="I344" s="2"/>
      <c r="J344" s="2"/>
    </row>
    <row r="345" spans="2:10" ht="15.75" customHeight="1" x14ac:dyDescent="0.2">
      <c r="B345" s="2"/>
      <c r="C345" s="37"/>
      <c r="D345" s="37"/>
      <c r="E345" s="327"/>
      <c r="F345" s="37"/>
      <c r="G345" s="37"/>
      <c r="H345" s="2"/>
      <c r="I345" s="2"/>
      <c r="J345" s="2"/>
    </row>
    <row r="346" spans="2:10" ht="15.75" customHeight="1" x14ac:dyDescent="0.2">
      <c r="B346" s="2"/>
      <c r="C346" s="37"/>
      <c r="D346" s="37"/>
      <c r="E346" s="327"/>
      <c r="F346" s="37"/>
      <c r="G346" s="37"/>
      <c r="H346" s="2"/>
      <c r="I346" s="2"/>
      <c r="J346" s="2"/>
    </row>
    <row r="347" spans="2:10" ht="15.75" customHeight="1" x14ac:dyDescent="0.2">
      <c r="B347" s="2"/>
      <c r="C347" s="37"/>
      <c r="D347" s="37"/>
      <c r="E347" s="327"/>
      <c r="F347" s="37"/>
      <c r="G347" s="37"/>
      <c r="H347" s="2"/>
      <c r="I347" s="2"/>
      <c r="J347" s="2"/>
    </row>
    <row r="348" spans="2:10" ht="15.75" customHeight="1" x14ac:dyDescent="0.2">
      <c r="B348" s="2"/>
      <c r="C348" s="37"/>
      <c r="D348" s="37"/>
      <c r="E348" s="327"/>
      <c r="F348" s="37"/>
      <c r="G348" s="37"/>
      <c r="H348" s="2"/>
      <c r="I348" s="2"/>
      <c r="J348" s="2"/>
    </row>
    <row r="349" spans="2:10" ht="15.75" customHeight="1" x14ac:dyDescent="0.2">
      <c r="B349" s="2"/>
      <c r="C349" s="37"/>
      <c r="D349" s="37"/>
      <c r="E349" s="327"/>
      <c r="F349" s="37"/>
      <c r="G349" s="37"/>
      <c r="H349" s="2"/>
      <c r="I349" s="2"/>
      <c r="J349" s="2"/>
    </row>
    <row r="350" spans="2:10" ht="15.75" customHeight="1" x14ac:dyDescent="0.2">
      <c r="B350" s="2"/>
      <c r="C350" s="37"/>
      <c r="D350" s="37"/>
      <c r="E350" s="327"/>
      <c r="F350" s="37"/>
      <c r="G350" s="37"/>
      <c r="H350" s="2"/>
      <c r="I350" s="2"/>
      <c r="J350" s="2"/>
    </row>
    <row r="351" spans="2:10" ht="15.75" customHeight="1" x14ac:dyDescent="0.2">
      <c r="B351" s="2"/>
      <c r="C351" s="37"/>
      <c r="D351" s="37"/>
      <c r="E351" s="327"/>
      <c r="F351" s="37"/>
      <c r="G351" s="37"/>
      <c r="H351" s="2"/>
      <c r="I351" s="2"/>
      <c r="J351" s="2"/>
    </row>
    <row r="352" spans="2:10" ht="15.75" customHeight="1" x14ac:dyDescent="0.2">
      <c r="B352" s="2"/>
      <c r="C352" s="37"/>
      <c r="D352" s="37"/>
      <c r="E352" s="327"/>
      <c r="F352" s="37"/>
      <c r="G352" s="37"/>
      <c r="H352" s="2"/>
      <c r="I352" s="2"/>
      <c r="J352" s="2"/>
    </row>
    <row r="353" spans="2:10" ht="15.75" customHeight="1" x14ac:dyDescent="0.2">
      <c r="B353" s="2"/>
      <c r="C353" s="37"/>
      <c r="D353" s="37"/>
      <c r="E353" s="327"/>
      <c r="F353" s="37"/>
      <c r="G353" s="37"/>
      <c r="H353" s="2"/>
      <c r="I353" s="2"/>
      <c r="J353" s="2"/>
    </row>
    <row r="354" spans="2:10" ht="15.75" customHeight="1" x14ac:dyDescent="0.2">
      <c r="B354" s="2"/>
      <c r="C354" s="37"/>
      <c r="D354" s="37"/>
      <c r="E354" s="327"/>
      <c r="F354" s="37"/>
      <c r="G354" s="37"/>
      <c r="H354" s="2"/>
      <c r="I354" s="2"/>
      <c r="J354" s="2"/>
    </row>
    <row r="355" spans="2:10" ht="15.75" customHeight="1" x14ac:dyDescent="0.2">
      <c r="B355" s="2"/>
      <c r="C355" s="37"/>
      <c r="D355" s="37"/>
      <c r="E355" s="327"/>
      <c r="F355" s="37"/>
      <c r="G355" s="37"/>
      <c r="H355" s="2"/>
      <c r="I355" s="2"/>
      <c r="J355" s="2"/>
    </row>
    <row r="356" spans="2:10" ht="15.75" customHeight="1" x14ac:dyDescent="0.2">
      <c r="B356" s="2"/>
      <c r="C356" s="37"/>
      <c r="D356" s="37"/>
      <c r="E356" s="327"/>
      <c r="F356" s="37"/>
      <c r="G356" s="37"/>
      <c r="H356" s="2"/>
      <c r="I356" s="2"/>
      <c r="J356" s="2"/>
    </row>
    <row r="357" spans="2:10" ht="15.75" customHeight="1" x14ac:dyDescent="0.2">
      <c r="B357" s="2"/>
      <c r="C357" s="37"/>
      <c r="D357" s="37"/>
      <c r="E357" s="327"/>
      <c r="F357" s="37"/>
      <c r="G357" s="37"/>
      <c r="H357" s="2"/>
      <c r="I357" s="2"/>
      <c r="J357" s="2"/>
    </row>
    <row r="358" spans="2:10" ht="15.75" customHeight="1" x14ac:dyDescent="0.2">
      <c r="B358" s="2"/>
      <c r="C358" s="37"/>
      <c r="D358" s="37"/>
      <c r="E358" s="327"/>
      <c r="F358" s="37"/>
      <c r="G358" s="37"/>
      <c r="H358" s="2"/>
      <c r="I358" s="2"/>
      <c r="J358" s="2"/>
    </row>
    <row r="359" spans="2:10" ht="15.75" customHeight="1" x14ac:dyDescent="0.2">
      <c r="B359" s="2"/>
      <c r="C359" s="37"/>
      <c r="D359" s="37"/>
      <c r="E359" s="327"/>
      <c r="F359" s="37"/>
      <c r="G359" s="37"/>
      <c r="H359" s="2"/>
      <c r="I359" s="2"/>
      <c r="J359" s="2"/>
    </row>
    <row r="360" spans="2:10" ht="15.75" customHeight="1" x14ac:dyDescent="0.2">
      <c r="B360" s="2"/>
      <c r="C360" s="37"/>
      <c r="D360" s="37"/>
      <c r="E360" s="327"/>
      <c r="F360" s="37"/>
      <c r="G360" s="37"/>
      <c r="H360" s="2"/>
      <c r="I360" s="2"/>
      <c r="J360" s="2"/>
    </row>
    <row r="361" spans="2:10" ht="15.75" customHeight="1" x14ac:dyDescent="0.2">
      <c r="B361" s="2"/>
      <c r="C361" s="37"/>
      <c r="D361" s="37"/>
      <c r="E361" s="327"/>
      <c r="F361" s="37"/>
      <c r="G361" s="37"/>
      <c r="H361" s="2"/>
      <c r="I361" s="2"/>
      <c r="J361" s="2"/>
    </row>
    <row r="362" spans="2:10" ht="15.75" customHeight="1" x14ac:dyDescent="0.2">
      <c r="B362" s="2"/>
      <c r="C362" s="37"/>
      <c r="D362" s="37"/>
      <c r="E362" s="327"/>
      <c r="F362" s="37"/>
      <c r="G362" s="37"/>
      <c r="H362" s="2"/>
      <c r="I362" s="2"/>
      <c r="J362" s="2"/>
    </row>
    <row r="363" spans="2:10" ht="15.75" customHeight="1" x14ac:dyDescent="0.2">
      <c r="B363" s="2"/>
      <c r="C363" s="37"/>
      <c r="D363" s="37"/>
      <c r="E363" s="327"/>
      <c r="F363" s="37"/>
      <c r="G363" s="37"/>
      <c r="H363" s="2"/>
      <c r="I363" s="2"/>
      <c r="J363" s="2"/>
    </row>
    <row r="364" spans="2:10" ht="15.75" customHeight="1" x14ac:dyDescent="0.2">
      <c r="B364" s="2"/>
      <c r="C364" s="37"/>
      <c r="D364" s="37"/>
      <c r="E364" s="327"/>
      <c r="F364" s="37"/>
      <c r="G364" s="37"/>
      <c r="H364" s="2"/>
      <c r="I364" s="2"/>
      <c r="J364" s="2"/>
    </row>
    <row r="365" spans="2:10" ht="15.75" customHeight="1" x14ac:dyDescent="0.2">
      <c r="B365" s="2"/>
      <c r="C365" s="37"/>
      <c r="D365" s="37"/>
      <c r="E365" s="327"/>
      <c r="F365" s="37"/>
      <c r="G365" s="37"/>
      <c r="H365" s="2"/>
      <c r="I365" s="2"/>
      <c r="J365" s="2"/>
    </row>
    <row r="366" spans="2:10" ht="15.75" customHeight="1" x14ac:dyDescent="0.2">
      <c r="B366" s="2"/>
      <c r="C366" s="37"/>
      <c r="D366" s="37"/>
      <c r="E366" s="327"/>
      <c r="F366" s="37"/>
      <c r="G366" s="37"/>
      <c r="H366" s="2"/>
      <c r="I366" s="2"/>
      <c r="J366" s="2"/>
    </row>
    <row r="367" spans="2:10" ht="15.75" customHeight="1" x14ac:dyDescent="0.2">
      <c r="B367" s="2"/>
      <c r="C367" s="37"/>
      <c r="D367" s="37"/>
      <c r="E367" s="327"/>
      <c r="F367" s="37"/>
      <c r="G367" s="37"/>
      <c r="H367" s="2"/>
      <c r="I367" s="2"/>
      <c r="J367" s="2"/>
    </row>
    <row r="368" spans="2:10" ht="15.75" customHeight="1" x14ac:dyDescent="0.2">
      <c r="B368" s="2"/>
      <c r="C368" s="37"/>
      <c r="D368" s="37"/>
      <c r="E368" s="327"/>
      <c r="F368" s="37"/>
      <c r="G368" s="37"/>
      <c r="H368" s="2"/>
      <c r="I368" s="2"/>
      <c r="J368" s="2"/>
    </row>
    <row r="369" spans="2:10" ht="15.75" customHeight="1" x14ac:dyDescent="0.2">
      <c r="B369" s="2"/>
      <c r="C369" s="37"/>
      <c r="D369" s="37"/>
      <c r="E369" s="327"/>
      <c r="F369" s="37"/>
      <c r="G369" s="37"/>
      <c r="H369" s="2"/>
      <c r="I369" s="2"/>
      <c r="J369" s="2"/>
    </row>
    <row r="370" spans="2:10" ht="15.75" customHeight="1" x14ac:dyDescent="0.2">
      <c r="B370" s="2"/>
      <c r="C370" s="37"/>
      <c r="D370" s="37"/>
      <c r="E370" s="327"/>
      <c r="F370" s="37"/>
      <c r="G370" s="37"/>
      <c r="H370" s="2"/>
      <c r="I370" s="2"/>
      <c r="J370" s="2"/>
    </row>
    <row r="371" spans="2:10" ht="15.75" customHeight="1" x14ac:dyDescent="0.2">
      <c r="B371" s="2"/>
      <c r="C371" s="37"/>
      <c r="D371" s="37"/>
      <c r="E371" s="327"/>
      <c r="F371" s="37"/>
      <c r="G371" s="37"/>
      <c r="H371" s="2"/>
      <c r="I371" s="2"/>
      <c r="J371" s="2"/>
    </row>
    <row r="372" spans="2:10" ht="15.75" customHeight="1" x14ac:dyDescent="0.2">
      <c r="B372" s="2"/>
      <c r="C372" s="37"/>
      <c r="D372" s="37"/>
      <c r="E372" s="327"/>
      <c r="F372" s="37"/>
      <c r="G372" s="37"/>
      <c r="H372" s="2"/>
      <c r="I372" s="2"/>
      <c r="J372" s="2"/>
    </row>
    <row r="373" spans="2:10" ht="15.75" customHeight="1" x14ac:dyDescent="0.2">
      <c r="B373" s="2"/>
      <c r="C373" s="37"/>
      <c r="D373" s="37"/>
      <c r="E373" s="327"/>
      <c r="F373" s="37"/>
      <c r="G373" s="37"/>
      <c r="H373" s="2"/>
      <c r="I373" s="2"/>
      <c r="J373" s="2"/>
    </row>
    <row r="374" spans="2:10" ht="15.75" customHeight="1" x14ac:dyDescent="0.2">
      <c r="B374" s="2"/>
      <c r="C374" s="37"/>
      <c r="D374" s="37"/>
      <c r="E374" s="327"/>
      <c r="F374" s="37"/>
      <c r="G374" s="37"/>
      <c r="H374" s="2"/>
      <c r="I374" s="2"/>
      <c r="J374" s="2"/>
    </row>
    <row r="375" spans="2:10" ht="15.75" customHeight="1" x14ac:dyDescent="0.2">
      <c r="B375" s="2"/>
      <c r="C375" s="37"/>
      <c r="D375" s="37"/>
      <c r="E375" s="327"/>
      <c r="F375" s="37"/>
      <c r="G375" s="37"/>
      <c r="H375" s="2"/>
      <c r="I375" s="2"/>
      <c r="J375" s="2"/>
    </row>
    <row r="376" spans="2:10" ht="15.75" customHeight="1" x14ac:dyDescent="0.2">
      <c r="B376" s="2"/>
      <c r="C376" s="37"/>
      <c r="D376" s="37"/>
      <c r="E376" s="327"/>
      <c r="F376" s="37"/>
      <c r="G376" s="37"/>
      <c r="H376" s="2"/>
      <c r="I376" s="2"/>
      <c r="J376" s="2"/>
    </row>
    <row r="377" spans="2:10" ht="15.75" customHeight="1" x14ac:dyDescent="0.2">
      <c r="B377" s="2"/>
      <c r="C377" s="37"/>
      <c r="D377" s="37"/>
      <c r="E377" s="327"/>
      <c r="F377" s="37"/>
      <c r="G377" s="37"/>
      <c r="H377" s="2"/>
      <c r="I377" s="2"/>
      <c r="J377" s="2"/>
    </row>
    <row r="378" spans="2:10" ht="15.75" customHeight="1" x14ac:dyDescent="0.2">
      <c r="B378" s="2"/>
      <c r="C378" s="37"/>
      <c r="D378" s="37"/>
      <c r="E378" s="327"/>
      <c r="F378" s="37"/>
      <c r="G378" s="37"/>
      <c r="H378" s="2"/>
      <c r="I378" s="2"/>
      <c r="J378" s="2"/>
    </row>
    <row r="379" spans="2:10" ht="15.75" customHeight="1" x14ac:dyDescent="0.2">
      <c r="B379" s="2"/>
      <c r="C379" s="37"/>
      <c r="D379" s="37"/>
      <c r="E379" s="327"/>
      <c r="F379" s="37"/>
      <c r="G379" s="37"/>
      <c r="H379" s="2"/>
      <c r="I379" s="2"/>
      <c r="J379" s="2"/>
    </row>
    <row r="380" spans="2:10" ht="15.75" customHeight="1" x14ac:dyDescent="0.2">
      <c r="B380" s="2"/>
      <c r="C380" s="37"/>
      <c r="D380" s="37"/>
      <c r="E380" s="327"/>
      <c r="F380" s="37"/>
      <c r="G380" s="37"/>
      <c r="H380" s="2"/>
      <c r="I380" s="2"/>
      <c r="J380" s="2"/>
    </row>
    <row r="381" spans="2:10" ht="15.75" customHeight="1" x14ac:dyDescent="0.2">
      <c r="B381" s="2"/>
      <c r="C381" s="37"/>
      <c r="D381" s="37"/>
      <c r="E381" s="327"/>
      <c r="F381" s="37"/>
      <c r="G381" s="37"/>
      <c r="H381" s="2"/>
      <c r="I381" s="2"/>
      <c r="J381" s="2"/>
    </row>
    <row r="382" spans="2:10" ht="15.75" customHeight="1" x14ac:dyDescent="0.2">
      <c r="B382" s="2"/>
      <c r="C382" s="37"/>
      <c r="D382" s="37"/>
      <c r="E382" s="327"/>
      <c r="F382" s="37"/>
      <c r="G382" s="37"/>
      <c r="H382" s="2"/>
      <c r="I382" s="2"/>
      <c r="J382" s="2"/>
    </row>
    <row r="383" spans="2:10" ht="15.75" customHeight="1" x14ac:dyDescent="0.2">
      <c r="B383" s="2"/>
      <c r="C383" s="37"/>
      <c r="D383" s="37"/>
      <c r="E383" s="327"/>
      <c r="F383" s="37"/>
      <c r="G383" s="37"/>
      <c r="H383" s="2"/>
      <c r="I383" s="2"/>
      <c r="J383" s="2"/>
    </row>
    <row r="384" spans="2:10" ht="15.75" customHeight="1" x14ac:dyDescent="0.2">
      <c r="B384" s="2"/>
      <c r="C384" s="37"/>
      <c r="D384" s="37"/>
      <c r="E384" s="327"/>
      <c r="F384" s="37"/>
      <c r="G384" s="37"/>
      <c r="H384" s="2"/>
      <c r="I384" s="2"/>
      <c r="J384" s="2"/>
    </row>
    <row r="385" spans="2:10" ht="15.75" customHeight="1" x14ac:dyDescent="0.2">
      <c r="B385" s="2"/>
      <c r="C385" s="37"/>
      <c r="D385" s="37"/>
      <c r="E385" s="327"/>
      <c r="F385" s="37"/>
      <c r="G385" s="37"/>
      <c r="H385" s="2"/>
      <c r="I385" s="2"/>
      <c r="J385" s="2"/>
    </row>
    <row r="386" spans="2:10" ht="15.75" customHeight="1" x14ac:dyDescent="0.2">
      <c r="B386" s="2"/>
      <c r="C386" s="37"/>
      <c r="D386" s="37"/>
      <c r="E386" s="327"/>
      <c r="F386" s="37"/>
      <c r="G386" s="37"/>
      <c r="H386" s="2"/>
      <c r="I386" s="2"/>
      <c r="J386" s="2"/>
    </row>
    <row r="387" spans="2:10" ht="15.75" customHeight="1" x14ac:dyDescent="0.2">
      <c r="B387" s="2"/>
      <c r="C387" s="37"/>
      <c r="D387" s="37"/>
      <c r="E387" s="327"/>
      <c r="F387" s="37"/>
      <c r="G387" s="37"/>
      <c r="H387" s="2"/>
      <c r="I387" s="2"/>
      <c r="J387" s="2"/>
    </row>
    <row r="388" spans="2:10" ht="15.75" customHeight="1" x14ac:dyDescent="0.2">
      <c r="B388" s="2"/>
      <c r="C388" s="37"/>
      <c r="D388" s="37"/>
      <c r="E388" s="327"/>
      <c r="F388" s="37"/>
      <c r="G388" s="37"/>
      <c r="H388" s="2"/>
      <c r="I388" s="2"/>
      <c r="J388" s="2"/>
    </row>
    <row r="389" spans="2:10" ht="15.75" customHeight="1" x14ac:dyDescent="0.2">
      <c r="B389" s="2"/>
      <c r="C389" s="37"/>
      <c r="D389" s="37"/>
      <c r="E389" s="327"/>
      <c r="F389" s="37"/>
      <c r="G389" s="37"/>
      <c r="H389" s="2"/>
      <c r="I389" s="2"/>
      <c r="J389" s="2"/>
    </row>
    <row r="390" spans="2:10" ht="15.75" customHeight="1" x14ac:dyDescent="0.2">
      <c r="B390" s="2"/>
      <c r="C390" s="37"/>
      <c r="D390" s="37"/>
      <c r="E390" s="327"/>
      <c r="F390" s="37"/>
      <c r="G390" s="37"/>
      <c r="H390" s="2"/>
      <c r="I390" s="2"/>
      <c r="J390" s="2"/>
    </row>
    <row r="391" spans="2:10" ht="15.75" customHeight="1" x14ac:dyDescent="0.2">
      <c r="B391" s="2"/>
      <c r="C391" s="37"/>
      <c r="D391" s="37"/>
      <c r="E391" s="327"/>
      <c r="F391" s="37"/>
      <c r="G391" s="37"/>
      <c r="H391" s="2"/>
      <c r="I391" s="2"/>
      <c r="J391" s="2"/>
    </row>
    <row r="392" spans="2:10" ht="15.75" customHeight="1" x14ac:dyDescent="0.2">
      <c r="B392" s="2"/>
      <c r="C392" s="37"/>
      <c r="D392" s="37"/>
      <c r="E392" s="327"/>
      <c r="F392" s="37"/>
      <c r="G392" s="37"/>
      <c r="H392" s="2"/>
      <c r="I392" s="2"/>
      <c r="J392" s="2"/>
    </row>
    <row r="393" spans="2:10" ht="15.75" customHeight="1" x14ac:dyDescent="0.2">
      <c r="B393" s="2"/>
      <c r="C393" s="37"/>
      <c r="D393" s="37"/>
      <c r="E393" s="327"/>
      <c r="F393" s="37"/>
      <c r="G393" s="37"/>
      <c r="H393" s="2"/>
      <c r="I393" s="2"/>
      <c r="J393" s="2"/>
    </row>
    <row r="394" spans="2:10" ht="15.75" customHeight="1" x14ac:dyDescent="0.2">
      <c r="B394" s="2"/>
      <c r="C394" s="37"/>
      <c r="D394" s="37"/>
      <c r="E394" s="327"/>
      <c r="F394" s="37"/>
      <c r="G394" s="37"/>
      <c r="H394" s="2"/>
      <c r="I394" s="2"/>
      <c r="J394" s="2"/>
    </row>
    <row r="395" spans="2:10" ht="15.75" customHeight="1" x14ac:dyDescent="0.2">
      <c r="B395" s="2"/>
      <c r="C395" s="37"/>
      <c r="D395" s="37"/>
      <c r="E395" s="327"/>
      <c r="F395" s="37"/>
      <c r="G395" s="37"/>
      <c r="H395" s="2"/>
      <c r="I395" s="2"/>
      <c r="J395" s="2"/>
    </row>
    <row r="396" spans="2:10" ht="15.75" customHeight="1" x14ac:dyDescent="0.2">
      <c r="B396" s="2"/>
      <c r="C396" s="37"/>
      <c r="D396" s="37"/>
      <c r="E396" s="327"/>
      <c r="F396" s="37"/>
      <c r="G396" s="37"/>
      <c r="H396" s="2"/>
      <c r="I396" s="2"/>
      <c r="J396" s="2"/>
    </row>
    <row r="397" spans="2:10" ht="15.75" customHeight="1" x14ac:dyDescent="0.2">
      <c r="B397" s="2"/>
      <c r="C397" s="37"/>
      <c r="D397" s="37"/>
      <c r="E397" s="327"/>
      <c r="F397" s="37"/>
      <c r="G397" s="37"/>
      <c r="H397" s="2"/>
      <c r="I397" s="2"/>
      <c r="J397" s="2"/>
    </row>
    <row r="398" spans="2:10" ht="15.75" customHeight="1" x14ac:dyDescent="0.2">
      <c r="B398" s="2"/>
      <c r="C398" s="37"/>
      <c r="D398" s="37"/>
      <c r="E398" s="327"/>
      <c r="F398" s="37"/>
      <c r="G398" s="37"/>
      <c r="H398" s="2"/>
      <c r="I398" s="2"/>
      <c r="J398" s="2"/>
    </row>
    <row r="399" spans="2:10" ht="15.75" customHeight="1" x14ac:dyDescent="0.2">
      <c r="B399" s="2"/>
      <c r="C399" s="37"/>
      <c r="D399" s="37"/>
      <c r="E399" s="327"/>
      <c r="F399" s="37"/>
      <c r="G399" s="37"/>
      <c r="H399" s="2"/>
      <c r="I399" s="2"/>
      <c r="J399" s="2"/>
    </row>
    <row r="400" spans="2:10" ht="15.75" customHeight="1" x14ac:dyDescent="0.2">
      <c r="B400" s="2"/>
      <c r="C400" s="37"/>
      <c r="D400" s="37"/>
      <c r="E400" s="327"/>
      <c r="F400" s="37"/>
      <c r="G400" s="37"/>
      <c r="H400" s="2"/>
      <c r="I400" s="2"/>
      <c r="J400" s="2"/>
    </row>
    <row r="401" spans="2:10" ht="15.75" customHeight="1" x14ac:dyDescent="0.2">
      <c r="B401" s="2"/>
      <c r="C401" s="37"/>
      <c r="D401" s="37"/>
      <c r="E401" s="327"/>
      <c r="F401" s="37"/>
      <c r="G401" s="37"/>
      <c r="H401" s="2"/>
      <c r="I401" s="2"/>
      <c r="J401" s="2"/>
    </row>
    <row r="402" spans="2:10" ht="15.75" customHeight="1" x14ac:dyDescent="0.2">
      <c r="B402" s="2"/>
      <c r="C402" s="37"/>
      <c r="D402" s="37"/>
      <c r="E402" s="327"/>
      <c r="F402" s="37"/>
      <c r="G402" s="37"/>
      <c r="H402" s="2"/>
      <c r="I402" s="2"/>
      <c r="J402" s="2"/>
    </row>
    <row r="403" spans="2:10" ht="15.75" customHeight="1" x14ac:dyDescent="0.2">
      <c r="B403" s="2"/>
      <c r="C403" s="37"/>
      <c r="D403" s="37"/>
      <c r="E403" s="327"/>
      <c r="F403" s="37"/>
      <c r="G403" s="37"/>
      <c r="H403" s="2"/>
      <c r="I403" s="2"/>
      <c r="J403" s="2"/>
    </row>
    <row r="404" spans="2:10" ht="15.75" customHeight="1" x14ac:dyDescent="0.2">
      <c r="B404" s="2"/>
      <c r="C404" s="37"/>
      <c r="D404" s="37"/>
      <c r="E404" s="327"/>
      <c r="F404" s="37"/>
      <c r="G404" s="37"/>
      <c r="H404" s="2"/>
      <c r="I404" s="2"/>
      <c r="J404" s="2"/>
    </row>
    <row r="405" spans="2:10" ht="15.75" customHeight="1" x14ac:dyDescent="0.2">
      <c r="B405" s="2"/>
      <c r="C405" s="37"/>
      <c r="D405" s="37"/>
      <c r="E405" s="327"/>
      <c r="F405" s="37"/>
      <c r="G405" s="37"/>
      <c r="H405" s="2"/>
      <c r="I405" s="2"/>
      <c r="J405" s="2"/>
    </row>
    <row r="406" spans="2:10" ht="15.75" customHeight="1" x14ac:dyDescent="0.2">
      <c r="B406" s="2"/>
      <c r="C406" s="37"/>
      <c r="D406" s="37"/>
      <c r="E406" s="327"/>
      <c r="F406" s="37"/>
      <c r="G406" s="37"/>
      <c r="H406" s="2"/>
      <c r="I406" s="2"/>
      <c r="J406" s="2"/>
    </row>
    <row r="407" spans="2:10" ht="15.75" customHeight="1" x14ac:dyDescent="0.2">
      <c r="B407" s="2"/>
      <c r="C407" s="37"/>
      <c r="D407" s="37"/>
      <c r="E407" s="327"/>
      <c r="F407" s="37"/>
      <c r="G407" s="37"/>
      <c r="H407" s="2"/>
      <c r="I407" s="2"/>
      <c r="J407" s="2"/>
    </row>
    <row r="408" spans="2:10" ht="15.75" customHeight="1" x14ac:dyDescent="0.2">
      <c r="B408" s="2"/>
      <c r="C408" s="37"/>
      <c r="D408" s="37"/>
      <c r="E408" s="327"/>
      <c r="F408" s="37"/>
      <c r="G408" s="37"/>
      <c r="H408" s="2"/>
      <c r="I408" s="2"/>
      <c r="J408" s="2"/>
    </row>
    <row r="409" spans="2:10" ht="15.75" customHeight="1" x14ac:dyDescent="0.2">
      <c r="B409" s="2"/>
      <c r="C409" s="37"/>
      <c r="D409" s="37"/>
      <c r="E409" s="327"/>
      <c r="F409" s="37"/>
      <c r="G409" s="37"/>
      <c r="H409" s="2"/>
      <c r="I409" s="2"/>
      <c r="J409" s="2"/>
    </row>
    <row r="410" spans="2:10" ht="15.75" customHeight="1" x14ac:dyDescent="0.2">
      <c r="B410" s="2"/>
      <c r="C410" s="37"/>
      <c r="D410" s="37"/>
      <c r="E410" s="327"/>
      <c r="F410" s="37"/>
      <c r="G410" s="37"/>
      <c r="H410" s="2"/>
      <c r="I410" s="2"/>
      <c r="J410" s="2"/>
    </row>
    <row r="411" spans="2:10" ht="15.75" customHeight="1" x14ac:dyDescent="0.2">
      <c r="B411" s="2"/>
      <c r="C411" s="37"/>
      <c r="D411" s="37"/>
      <c r="E411" s="327"/>
      <c r="F411" s="37"/>
      <c r="G411" s="37"/>
      <c r="H411" s="2"/>
      <c r="I411" s="2"/>
      <c r="J411" s="2"/>
    </row>
    <row r="412" spans="2:10" ht="15.75" customHeight="1" x14ac:dyDescent="0.2">
      <c r="B412" s="2"/>
      <c r="C412" s="37"/>
      <c r="D412" s="37"/>
      <c r="E412" s="327"/>
      <c r="F412" s="37"/>
      <c r="G412" s="37"/>
      <c r="H412" s="2"/>
      <c r="I412" s="2"/>
      <c r="J412" s="2"/>
    </row>
    <row r="413" spans="2:10" ht="15.75" customHeight="1" x14ac:dyDescent="0.2">
      <c r="B413" s="2"/>
      <c r="C413" s="37"/>
      <c r="D413" s="37"/>
      <c r="E413" s="327"/>
      <c r="F413" s="37"/>
      <c r="G413" s="37"/>
      <c r="H413" s="2"/>
      <c r="I413" s="2"/>
      <c r="J413" s="2"/>
    </row>
    <row r="414" spans="2:10" ht="15.75" customHeight="1" x14ac:dyDescent="0.2">
      <c r="B414" s="2"/>
      <c r="C414" s="37"/>
      <c r="D414" s="37"/>
      <c r="E414" s="327"/>
      <c r="F414" s="37"/>
      <c r="G414" s="37"/>
      <c r="H414" s="2"/>
      <c r="I414" s="2"/>
      <c r="J414" s="2"/>
    </row>
    <row r="415" spans="2:10" ht="15.75" customHeight="1" x14ac:dyDescent="0.2">
      <c r="B415" s="2"/>
      <c r="C415" s="37"/>
      <c r="D415" s="37"/>
      <c r="E415" s="327"/>
      <c r="F415" s="37"/>
      <c r="G415" s="37"/>
      <c r="H415" s="2"/>
      <c r="I415" s="2"/>
      <c r="J415" s="2"/>
    </row>
    <row r="416" spans="2:10" ht="15.75" customHeight="1" x14ac:dyDescent="0.2">
      <c r="B416" s="2"/>
      <c r="C416" s="37"/>
      <c r="D416" s="37"/>
      <c r="E416" s="327"/>
      <c r="F416" s="37"/>
      <c r="G416" s="37"/>
      <c r="H416" s="2"/>
      <c r="I416" s="2"/>
      <c r="J416" s="2"/>
    </row>
    <row r="417" spans="2:10" ht="15.75" customHeight="1" x14ac:dyDescent="0.2">
      <c r="B417" s="2"/>
      <c r="C417" s="37"/>
      <c r="D417" s="37"/>
      <c r="E417" s="327"/>
      <c r="F417" s="37"/>
      <c r="G417" s="37"/>
      <c r="H417" s="2"/>
      <c r="I417" s="2"/>
      <c r="J417" s="2"/>
    </row>
    <row r="418" spans="2:10" ht="15.75" customHeight="1" x14ac:dyDescent="0.2">
      <c r="B418" s="2"/>
      <c r="C418" s="37"/>
      <c r="D418" s="37"/>
      <c r="E418" s="327"/>
      <c r="F418" s="37"/>
      <c r="G418" s="37"/>
      <c r="H418" s="2"/>
      <c r="I418" s="2"/>
      <c r="J418" s="2"/>
    </row>
    <row r="419" spans="2:10" ht="15.75" customHeight="1" x14ac:dyDescent="0.2">
      <c r="B419" s="2"/>
      <c r="C419" s="37"/>
      <c r="D419" s="37"/>
      <c r="E419" s="327"/>
      <c r="F419" s="37"/>
      <c r="G419" s="37"/>
      <c r="H419" s="2"/>
      <c r="I419" s="2"/>
      <c r="J419" s="2"/>
    </row>
    <row r="420" spans="2:10" ht="15.75" customHeight="1" x14ac:dyDescent="0.2">
      <c r="B420" s="2"/>
      <c r="C420" s="37"/>
      <c r="D420" s="37"/>
      <c r="E420" s="327"/>
      <c r="F420" s="37"/>
      <c r="G420" s="37"/>
      <c r="H420" s="2"/>
      <c r="I420" s="2"/>
      <c r="J420" s="2"/>
    </row>
    <row r="421" spans="2:10" ht="15.75" customHeight="1" x14ac:dyDescent="0.2">
      <c r="B421" s="2"/>
      <c r="C421" s="37"/>
      <c r="D421" s="37"/>
      <c r="E421" s="327"/>
      <c r="F421" s="37"/>
      <c r="G421" s="37"/>
      <c r="H421" s="2"/>
      <c r="I421" s="2"/>
      <c r="J421" s="2"/>
    </row>
    <row r="422" spans="2:10" ht="15.75" customHeight="1" x14ac:dyDescent="0.2">
      <c r="B422" s="2"/>
      <c r="C422" s="37"/>
      <c r="D422" s="37"/>
      <c r="E422" s="327"/>
      <c r="F422" s="37"/>
      <c r="G422" s="37"/>
      <c r="H422" s="2"/>
      <c r="I422" s="2"/>
      <c r="J422" s="2"/>
    </row>
    <row r="423" spans="2:10" ht="15.75" customHeight="1" x14ac:dyDescent="0.2">
      <c r="B423" s="2"/>
      <c r="C423" s="37"/>
      <c r="D423" s="37"/>
      <c r="E423" s="327"/>
      <c r="F423" s="37"/>
      <c r="G423" s="37"/>
      <c r="H423" s="2"/>
      <c r="I423" s="2"/>
      <c r="J423" s="2"/>
    </row>
    <row r="424" spans="2:10" ht="15.75" customHeight="1" x14ac:dyDescent="0.2">
      <c r="B424" s="2"/>
      <c r="C424" s="37"/>
      <c r="D424" s="37"/>
      <c r="E424" s="327"/>
      <c r="F424" s="37"/>
      <c r="G424" s="37"/>
      <c r="H424" s="2"/>
      <c r="I424" s="2"/>
      <c r="J424" s="2"/>
    </row>
    <row r="425" spans="2:10" ht="15.75" customHeight="1" x14ac:dyDescent="0.2">
      <c r="B425" s="2"/>
      <c r="C425" s="37"/>
      <c r="D425" s="37"/>
      <c r="E425" s="327"/>
      <c r="F425" s="37"/>
      <c r="G425" s="37"/>
      <c r="H425" s="2"/>
      <c r="I425" s="2"/>
      <c r="J425" s="2"/>
    </row>
    <row r="426" spans="2:10" ht="15.75" customHeight="1" x14ac:dyDescent="0.2">
      <c r="B426" s="2"/>
      <c r="C426" s="37"/>
      <c r="D426" s="37"/>
      <c r="E426" s="327"/>
      <c r="F426" s="37"/>
      <c r="G426" s="37"/>
      <c r="H426" s="2"/>
      <c r="I426" s="2"/>
      <c r="J426" s="2"/>
    </row>
    <row r="427" spans="2:10" ht="15.75" customHeight="1" x14ac:dyDescent="0.2">
      <c r="B427" s="2"/>
      <c r="C427" s="37"/>
      <c r="D427" s="37"/>
      <c r="E427" s="327"/>
      <c r="F427" s="37"/>
      <c r="G427" s="37"/>
      <c r="H427" s="2"/>
      <c r="I427" s="2"/>
      <c r="J427" s="2"/>
    </row>
    <row r="428" spans="2:10" ht="15.75" customHeight="1" x14ac:dyDescent="0.2">
      <c r="B428" s="2"/>
      <c r="C428" s="37"/>
      <c r="D428" s="37"/>
      <c r="E428" s="327"/>
      <c r="F428" s="37"/>
      <c r="G428" s="37"/>
      <c r="H428" s="2"/>
      <c r="I428" s="2"/>
      <c r="J428" s="2"/>
    </row>
    <row r="429" spans="2:10" ht="15.75" customHeight="1" x14ac:dyDescent="0.2">
      <c r="B429" s="2"/>
      <c r="C429" s="37"/>
      <c r="D429" s="37"/>
      <c r="E429" s="327"/>
      <c r="F429" s="37"/>
      <c r="G429" s="37"/>
      <c r="H429" s="2"/>
      <c r="I429" s="2"/>
      <c r="J429" s="2"/>
    </row>
    <row r="430" spans="2:10" ht="15.75" customHeight="1" x14ac:dyDescent="0.2">
      <c r="B430" s="2"/>
      <c r="C430" s="37"/>
      <c r="D430" s="37"/>
      <c r="E430" s="327"/>
      <c r="F430" s="37"/>
      <c r="G430" s="37"/>
      <c r="H430" s="2"/>
      <c r="I430" s="2"/>
      <c r="J430" s="2"/>
    </row>
    <row r="431" spans="2:10" ht="15.75" customHeight="1" x14ac:dyDescent="0.2">
      <c r="B431" s="2"/>
      <c r="C431" s="37"/>
      <c r="D431" s="37"/>
      <c r="E431" s="327"/>
      <c r="F431" s="37"/>
      <c r="G431" s="37"/>
      <c r="H431" s="2"/>
      <c r="I431" s="2"/>
      <c r="J431" s="2"/>
    </row>
    <row r="432" spans="2:10" ht="15.75" customHeight="1" x14ac:dyDescent="0.2">
      <c r="B432" s="2"/>
      <c r="C432" s="37"/>
      <c r="D432" s="37"/>
      <c r="E432" s="327"/>
      <c r="F432" s="37"/>
      <c r="G432" s="37"/>
      <c r="H432" s="2"/>
      <c r="I432" s="2"/>
      <c r="J432" s="2"/>
    </row>
    <row r="433" spans="2:10" ht="15.75" customHeight="1" x14ac:dyDescent="0.2">
      <c r="B433" s="2"/>
      <c r="C433" s="37"/>
      <c r="D433" s="37"/>
      <c r="E433" s="327"/>
      <c r="F433" s="37"/>
      <c r="G433" s="37"/>
      <c r="H433" s="2"/>
      <c r="I433" s="2"/>
      <c r="J433" s="2"/>
    </row>
    <row r="434" spans="2:10" ht="15.75" customHeight="1" x14ac:dyDescent="0.2">
      <c r="B434" s="2"/>
      <c r="C434" s="37"/>
      <c r="D434" s="37"/>
      <c r="E434" s="327"/>
      <c r="F434" s="37"/>
      <c r="G434" s="37"/>
      <c r="H434" s="2"/>
      <c r="I434" s="2"/>
      <c r="J434" s="2"/>
    </row>
    <row r="435" spans="2:10" ht="15.75" customHeight="1" x14ac:dyDescent="0.2">
      <c r="B435" s="2"/>
      <c r="C435" s="37"/>
      <c r="D435" s="37"/>
      <c r="E435" s="327"/>
      <c r="F435" s="37"/>
      <c r="G435" s="37"/>
      <c r="H435" s="2"/>
      <c r="I435" s="2"/>
      <c r="J435" s="2"/>
    </row>
    <row r="436" spans="2:10" ht="15.75" customHeight="1" x14ac:dyDescent="0.2">
      <c r="B436" s="2"/>
      <c r="C436" s="37"/>
      <c r="D436" s="37"/>
      <c r="E436" s="327"/>
      <c r="F436" s="37"/>
      <c r="G436" s="37"/>
      <c r="H436" s="2"/>
      <c r="I436" s="2"/>
      <c r="J436" s="2"/>
    </row>
    <row r="437" spans="2:10" ht="15.75" customHeight="1" x14ac:dyDescent="0.2">
      <c r="B437" s="2"/>
      <c r="C437" s="37"/>
      <c r="D437" s="37"/>
      <c r="E437" s="327"/>
      <c r="F437" s="37"/>
      <c r="G437" s="37"/>
      <c r="H437" s="2"/>
      <c r="I437" s="2"/>
      <c r="J437" s="2"/>
    </row>
    <row r="438" spans="2:10" ht="15.75" customHeight="1" x14ac:dyDescent="0.2">
      <c r="B438" s="2"/>
      <c r="C438" s="37"/>
      <c r="D438" s="37"/>
      <c r="E438" s="327"/>
      <c r="F438" s="37"/>
      <c r="G438" s="37"/>
      <c r="H438" s="2"/>
      <c r="I438" s="2"/>
      <c r="J438" s="2"/>
    </row>
    <row r="439" spans="2:10" ht="15.75" customHeight="1" x14ac:dyDescent="0.2">
      <c r="B439" s="2"/>
      <c r="C439" s="37"/>
      <c r="D439" s="37"/>
      <c r="E439" s="327"/>
      <c r="F439" s="37"/>
      <c r="G439" s="37"/>
      <c r="H439" s="2"/>
      <c r="I439" s="2"/>
      <c r="J439" s="2"/>
    </row>
    <row r="440" spans="2:10" ht="15.75" customHeight="1" x14ac:dyDescent="0.2">
      <c r="B440" s="2"/>
      <c r="C440" s="37"/>
      <c r="D440" s="37"/>
      <c r="E440" s="327"/>
      <c r="F440" s="37"/>
      <c r="G440" s="37"/>
      <c r="H440" s="2"/>
      <c r="I440" s="2"/>
      <c r="J440" s="2"/>
    </row>
    <row r="441" spans="2:10" ht="15.75" customHeight="1" x14ac:dyDescent="0.2">
      <c r="B441" s="2"/>
      <c r="C441" s="37"/>
      <c r="D441" s="37"/>
      <c r="E441" s="327"/>
      <c r="F441" s="37"/>
      <c r="G441" s="37"/>
      <c r="H441" s="2"/>
      <c r="I441" s="2"/>
      <c r="J441" s="2"/>
    </row>
    <row r="442" spans="2:10" ht="15.75" customHeight="1" x14ac:dyDescent="0.2">
      <c r="B442" s="2"/>
      <c r="C442" s="37"/>
      <c r="D442" s="37"/>
      <c r="E442" s="327"/>
      <c r="F442" s="37"/>
      <c r="G442" s="37"/>
      <c r="H442" s="2"/>
      <c r="I442" s="2"/>
      <c r="J442" s="2"/>
    </row>
    <row r="443" spans="2:10" ht="15.75" customHeight="1" x14ac:dyDescent="0.2">
      <c r="B443" s="2"/>
      <c r="C443" s="37"/>
      <c r="D443" s="37"/>
      <c r="E443" s="327"/>
      <c r="F443" s="37"/>
      <c r="G443" s="37"/>
      <c r="H443" s="2"/>
      <c r="I443" s="2"/>
      <c r="J443" s="2"/>
    </row>
    <row r="444" spans="2:10" ht="15.75" customHeight="1" x14ac:dyDescent="0.2">
      <c r="B444" s="2"/>
      <c r="C444" s="37"/>
      <c r="D444" s="37"/>
      <c r="E444" s="327"/>
      <c r="F444" s="37"/>
      <c r="G444" s="37"/>
      <c r="H444" s="2"/>
      <c r="I444" s="2"/>
      <c r="J444" s="2"/>
    </row>
    <row r="445" spans="2:10" ht="15.75" customHeight="1" x14ac:dyDescent="0.2">
      <c r="B445" s="2"/>
      <c r="C445" s="37"/>
      <c r="D445" s="37"/>
      <c r="E445" s="327"/>
      <c r="F445" s="37"/>
      <c r="G445" s="37"/>
      <c r="H445" s="2"/>
      <c r="I445" s="2"/>
      <c r="J445" s="2"/>
    </row>
    <row r="446" spans="2:10" ht="15.75" customHeight="1" x14ac:dyDescent="0.2">
      <c r="B446" s="2"/>
      <c r="C446" s="37"/>
      <c r="D446" s="37"/>
      <c r="E446" s="327"/>
      <c r="F446" s="37"/>
      <c r="G446" s="37"/>
      <c r="H446" s="2"/>
      <c r="I446" s="2"/>
      <c r="J446" s="2"/>
    </row>
    <row r="447" spans="2:10" ht="15.75" customHeight="1" x14ac:dyDescent="0.2">
      <c r="B447" s="2"/>
      <c r="C447" s="37"/>
      <c r="D447" s="37"/>
      <c r="E447" s="327"/>
      <c r="F447" s="37"/>
      <c r="G447" s="37"/>
      <c r="H447" s="2"/>
      <c r="I447" s="2"/>
      <c r="J447" s="2"/>
    </row>
    <row r="448" spans="2:10" ht="15.75" customHeight="1" x14ac:dyDescent="0.2">
      <c r="B448" s="2"/>
      <c r="C448" s="37"/>
      <c r="D448" s="37"/>
      <c r="E448" s="327"/>
      <c r="F448" s="37"/>
      <c r="G448" s="37"/>
      <c r="H448" s="2"/>
      <c r="I448" s="2"/>
      <c r="J448" s="2"/>
    </row>
    <row r="449" spans="2:10" ht="15.75" customHeight="1" x14ac:dyDescent="0.2">
      <c r="B449" s="2"/>
      <c r="C449" s="37"/>
      <c r="D449" s="37"/>
      <c r="E449" s="327"/>
      <c r="F449" s="37"/>
      <c r="G449" s="37"/>
      <c r="H449" s="2"/>
      <c r="I449" s="2"/>
      <c r="J449" s="2"/>
    </row>
    <row r="450" spans="2:10" ht="15.75" customHeight="1" x14ac:dyDescent="0.2">
      <c r="B450" s="2"/>
      <c r="C450" s="37"/>
      <c r="D450" s="37"/>
      <c r="E450" s="327"/>
      <c r="F450" s="37"/>
      <c r="G450" s="37"/>
      <c r="H450" s="2"/>
      <c r="I450" s="2"/>
      <c r="J450" s="2"/>
    </row>
    <row r="451" spans="2:10" ht="15.75" customHeight="1" x14ac:dyDescent="0.2">
      <c r="B451" s="2"/>
      <c r="C451" s="37"/>
      <c r="D451" s="37"/>
      <c r="E451" s="327"/>
      <c r="F451" s="37"/>
      <c r="G451" s="37"/>
      <c r="H451" s="2"/>
      <c r="I451" s="2"/>
      <c r="J451" s="2"/>
    </row>
    <row r="452" spans="2:10" ht="15.75" customHeight="1" x14ac:dyDescent="0.2">
      <c r="B452" s="2"/>
      <c r="C452" s="37"/>
      <c r="D452" s="37"/>
      <c r="E452" s="327"/>
      <c r="F452" s="37"/>
      <c r="G452" s="37"/>
      <c r="H452" s="2"/>
      <c r="I452" s="2"/>
      <c r="J452" s="2"/>
    </row>
    <row r="453" spans="2:10" ht="15.75" customHeight="1" x14ac:dyDescent="0.2">
      <c r="B453" s="2"/>
      <c r="C453" s="37"/>
      <c r="D453" s="37"/>
      <c r="E453" s="327"/>
      <c r="F453" s="37"/>
      <c r="G453" s="37"/>
      <c r="H453" s="2"/>
      <c r="I453" s="2"/>
      <c r="J453" s="2"/>
    </row>
    <row r="454" spans="2:10" ht="15.75" customHeight="1" x14ac:dyDescent="0.2">
      <c r="B454" s="2"/>
      <c r="C454" s="37"/>
      <c r="D454" s="37"/>
      <c r="E454" s="327"/>
      <c r="F454" s="37"/>
      <c r="G454" s="37"/>
      <c r="H454" s="2"/>
      <c r="I454" s="2"/>
      <c r="J454" s="2"/>
    </row>
    <row r="455" spans="2:10" ht="15.75" customHeight="1" x14ac:dyDescent="0.2">
      <c r="B455" s="2"/>
      <c r="C455" s="37"/>
      <c r="D455" s="37"/>
      <c r="E455" s="327"/>
      <c r="F455" s="37"/>
      <c r="G455" s="37"/>
      <c r="H455" s="2"/>
      <c r="I455" s="2"/>
      <c r="J455" s="2"/>
    </row>
    <row r="456" spans="2:10" ht="15.75" customHeight="1" x14ac:dyDescent="0.2">
      <c r="B456" s="2"/>
      <c r="C456" s="37"/>
      <c r="D456" s="37"/>
      <c r="E456" s="327"/>
      <c r="F456" s="37"/>
      <c r="G456" s="37"/>
      <c r="H456" s="2"/>
      <c r="I456" s="2"/>
      <c r="J456" s="2"/>
    </row>
    <row r="457" spans="2:10" ht="15.75" customHeight="1" x14ac:dyDescent="0.2">
      <c r="B457" s="2"/>
      <c r="C457" s="37"/>
      <c r="D457" s="37"/>
      <c r="E457" s="327"/>
      <c r="F457" s="37"/>
      <c r="G457" s="37"/>
      <c r="H457" s="2"/>
      <c r="I457" s="2"/>
      <c r="J457" s="2"/>
    </row>
    <row r="458" spans="2:10" ht="15.75" customHeight="1" x14ac:dyDescent="0.2">
      <c r="B458" s="2"/>
      <c r="C458" s="37"/>
      <c r="D458" s="37"/>
      <c r="E458" s="327"/>
      <c r="F458" s="37"/>
      <c r="G458" s="37"/>
      <c r="H458" s="2"/>
      <c r="I458" s="2"/>
      <c r="J458" s="2"/>
    </row>
    <row r="459" spans="2:10" ht="15.75" customHeight="1" x14ac:dyDescent="0.2">
      <c r="B459" s="2"/>
      <c r="C459" s="37"/>
      <c r="D459" s="37"/>
      <c r="E459" s="327"/>
      <c r="F459" s="37"/>
      <c r="G459" s="37"/>
      <c r="H459" s="2"/>
      <c r="I459" s="2"/>
      <c r="J459" s="2"/>
    </row>
    <row r="460" spans="2:10" ht="15.75" customHeight="1" x14ac:dyDescent="0.2">
      <c r="B460" s="2"/>
      <c r="C460" s="37"/>
      <c r="D460" s="37"/>
      <c r="E460" s="327"/>
      <c r="F460" s="37"/>
      <c r="G460" s="37"/>
      <c r="H460" s="2"/>
      <c r="I460" s="2"/>
      <c r="J460" s="2"/>
    </row>
    <row r="461" spans="2:10" ht="15.75" customHeight="1" x14ac:dyDescent="0.2">
      <c r="B461" s="2"/>
      <c r="C461" s="37"/>
      <c r="D461" s="37"/>
      <c r="E461" s="327"/>
      <c r="F461" s="37"/>
      <c r="G461" s="37"/>
      <c r="H461" s="2"/>
      <c r="I461" s="2"/>
      <c r="J461" s="2"/>
    </row>
    <row r="462" spans="2:10" ht="15.75" customHeight="1" x14ac:dyDescent="0.2">
      <c r="B462" s="2"/>
      <c r="C462" s="37"/>
      <c r="D462" s="37"/>
      <c r="E462" s="327"/>
      <c r="F462" s="37"/>
      <c r="G462" s="37"/>
      <c r="H462" s="2"/>
      <c r="I462" s="2"/>
      <c r="J462" s="2"/>
    </row>
    <row r="463" spans="2:10" ht="15.75" customHeight="1" x14ac:dyDescent="0.2">
      <c r="B463" s="2"/>
      <c r="C463" s="37"/>
      <c r="D463" s="37"/>
      <c r="E463" s="327"/>
      <c r="F463" s="37"/>
      <c r="G463" s="37"/>
      <c r="H463" s="2"/>
      <c r="I463" s="2"/>
      <c r="J463" s="2"/>
    </row>
    <row r="464" spans="2:10" ht="15.75" customHeight="1" x14ac:dyDescent="0.2">
      <c r="B464" s="2"/>
      <c r="C464" s="37"/>
      <c r="D464" s="37"/>
      <c r="E464" s="327"/>
      <c r="F464" s="37"/>
      <c r="G464" s="37"/>
      <c r="H464" s="2"/>
      <c r="I464" s="2"/>
      <c r="J464" s="2"/>
    </row>
    <row r="465" spans="2:10" ht="15.75" customHeight="1" x14ac:dyDescent="0.2">
      <c r="B465" s="2"/>
      <c r="C465" s="37"/>
      <c r="D465" s="37"/>
      <c r="E465" s="327"/>
      <c r="F465" s="37"/>
      <c r="G465" s="37"/>
      <c r="H465" s="2"/>
      <c r="I465" s="2"/>
      <c r="J465" s="2"/>
    </row>
    <row r="466" spans="2:10" ht="15.75" customHeight="1" x14ac:dyDescent="0.2">
      <c r="B466" s="2"/>
      <c r="C466" s="37"/>
      <c r="D466" s="37"/>
      <c r="E466" s="327"/>
      <c r="F466" s="37"/>
      <c r="G466" s="37"/>
      <c r="H466" s="2"/>
      <c r="I466" s="2"/>
      <c r="J466" s="2"/>
    </row>
    <row r="467" spans="2:10" ht="15.75" customHeight="1" x14ac:dyDescent="0.2">
      <c r="B467" s="2"/>
      <c r="C467" s="37"/>
      <c r="D467" s="37"/>
      <c r="E467" s="327"/>
      <c r="F467" s="37"/>
      <c r="G467" s="37"/>
      <c r="H467" s="2"/>
      <c r="I467" s="2"/>
      <c r="J467" s="2"/>
    </row>
    <row r="468" spans="2:10" ht="15.75" customHeight="1" x14ac:dyDescent="0.2">
      <c r="B468" s="2"/>
      <c r="C468" s="37"/>
      <c r="D468" s="37"/>
      <c r="E468" s="327"/>
      <c r="F468" s="37"/>
      <c r="G468" s="37"/>
      <c r="H468" s="2"/>
      <c r="I468" s="2"/>
      <c r="J468" s="2"/>
    </row>
    <row r="469" spans="2:10" ht="15.75" customHeight="1" x14ac:dyDescent="0.2">
      <c r="B469" s="2"/>
      <c r="C469" s="37"/>
      <c r="D469" s="37"/>
      <c r="E469" s="327"/>
      <c r="F469" s="37"/>
      <c r="G469" s="37"/>
      <c r="H469" s="2"/>
      <c r="I469" s="2"/>
      <c r="J469" s="2"/>
    </row>
    <row r="470" spans="2:10" ht="15.75" customHeight="1" x14ac:dyDescent="0.2">
      <c r="B470" s="2"/>
      <c r="C470" s="37"/>
      <c r="D470" s="37"/>
      <c r="E470" s="327"/>
      <c r="F470" s="37"/>
      <c r="G470" s="37"/>
      <c r="H470" s="2"/>
      <c r="I470" s="2"/>
      <c r="J470" s="2"/>
    </row>
    <row r="471" spans="2:10" ht="15.75" customHeight="1" x14ac:dyDescent="0.2">
      <c r="B471" s="2"/>
      <c r="C471" s="37"/>
      <c r="D471" s="37"/>
      <c r="E471" s="327"/>
      <c r="F471" s="37"/>
      <c r="G471" s="37"/>
      <c r="H471" s="2"/>
      <c r="I471" s="2"/>
      <c r="J471" s="2"/>
    </row>
    <row r="472" spans="2:10" ht="15.75" customHeight="1" x14ac:dyDescent="0.2">
      <c r="B472" s="2"/>
      <c r="C472" s="37"/>
      <c r="D472" s="37"/>
      <c r="E472" s="327"/>
      <c r="F472" s="37"/>
      <c r="G472" s="37"/>
      <c r="H472" s="2"/>
      <c r="I472" s="2"/>
      <c r="J472" s="2"/>
    </row>
    <row r="473" spans="2:10" ht="15.75" customHeight="1" x14ac:dyDescent="0.2">
      <c r="B473" s="2"/>
      <c r="C473" s="37"/>
      <c r="D473" s="37"/>
      <c r="E473" s="327"/>
      <c r="F473" s="37"/>
      <c r="G473" s="37"/>
      <c r="H473" s="2"/>
      <c r="I473" s="2"/>
      <c r="J473" s="2"/>
    </row>
    <row r="474" spans="2:10" ht="15.75" customHeight="1" x14ac:dyDescent="0.2">
      <c r="B474" s="2"/>
      <c r="C474" s="37"/>
      <c r="D474" s="37"/>
      <c r="E474" s="327"/>
      <c r="F474" s="37"/>
      <c r="G474" s="37"/>
      <c r="H474" s="2"/>
      <c r="I474" s="2"/>
      <c r="J474" s="2"/>
    </row>
    <row r="475" spans="2:10" ht="15.75" customHeight="1" x14ac:dyDescent="0.2">
      <c r="B475" s="2"/>
      <c r="C475" s="37"/>
      <c r="D475" s="37"/>
      <c r="E475" s="327"/>
      <c r="F475" s="37"/>
      <c r="G475" s="37"/>
      <c r="H475" s="2"/>
      <c r="I475" s="2"/>
      <c r="J475" s="2"/>
    </row>
    <row r="476" spans="2:10" ht="15.75" customHeight="1" x14ac:dyDescent="0.2">
      <c r="B476" s="2"/>
      <c r="C476" s="37"/>
      <c r="D476" s="37"/>
      <c r="E476" s="327"/>
      <c r="F476" s="37"/>
      <c r="G476" s="37"/>
      <c r="H476" s="2"/>
      <c r="I476" s="2"/>
      <c r="J476" s="2"/>
    </row>
    <row r="477" spans="2:10" ht="15.75" customHeight="1" x14ac:dyDescent="0.2">
      <c r="B477" s="2"/>
      <c r="C477" s="37"/>
      <c r="D477" s="37"/>
      <c r="E477" s="327"/>
      <c r="F477" s="37"/>
      <c r="G477" s="37"/>
      <c r="H477" s="2"/>
      <c r="I477" s="2"/>
      <c r="J477" s="2"/>
    </row>
    <row r="478" spans="2:10" ht="15.75" customHeight="1" x14ac:dyDescent="0.2">
      <c r="B478" s="2"/>
      <c r="C478" s="37"/>
      <c r="D478" s="37"/>
      <c r="E478" s="327"/>
      <c r="F478" s="37"/>
      <c r="G478" s="37"/>
      <c r="H478" s="2"/>
      <c r="I478" s="2"/>
      <c r="J478" s="2"/>
    </row>
    <row r="479" spans="2:10" ht="15.75" customHeight="1" x14ac:dyDescent="0.2">
      <c r="B479" s="2"/>
      <c r="C479" s="37"/>
      <c r="D479" s="37"/>
      <c r="E479" s="327"/>
      <c r="F479" s="37"/>
      <c r="G479" s="37"/>
      <c r="H479" s="2"/>
      <c r="I479" s="2"/>
      <c r="J479" s="2"/>
    </row>
    <row r="480" spans="2:10" ht="15.75" customHeight="1" x14ac:dyDescent="0.2">
      <c r="B480" s="2"/>
      <c r="C480" s="37"/>
      <c r="D480" s="37"/>
      <c r="E480" s="327"/>
      <c r="F480" s="37"/>
      <c r="G480" s="37"/>
      <c r="H480" s="2"/>
      <c r="I480" s="2"/>
      <c r="J480" s="2"/>
    </row>
    <row r="481" spans="2:10" ht="15.75" customHeight="1" x14ac:dyDescent="0.2">
      <c r="B481" s="2"/>
      <c r="C481" s="37"/>
      <c r="D481" s="37"/>
      <c r="E481" s="327"/>
      <c r="F481" s="37"/>
      <c r="G481" s="37"/>
      <c r="H481" s="2"/>
      <c r="I481" s="2"/>
      <c r="J481" s="2"/>
    </row>
    <row r="482" spans="2:10" ht="15.75" customHeight="1" x14ac:dyDescent="0.2">
      <c r="B482" s="2"/>
      <c r="C482" s="37"/>
      <c r="D482" s="37"/>
      <c r="E482" s="327"/>
      <c r="F482" s="37"/>
      <c r="G482" s="37"/>
      <c r="H482" s="2"/>
      <c r="I482" s="2"/>
      <c r="J482" s="2"/>
    </row>
    <row r="483" spans="2:10" ht="15.75" customHeight="1" x14ac:dyDescent="0.2">
      <c r="B483" s="2"/>
      <c r="C483" s="37"/>
      <c r="D483" s="37"/>
      <c r="E483" s="327"/>
      <c r="F483" s="37"/>
      <c r="G483" s="37"/>
      <c r="H483" s="2"/>
      <c r="I483" s="2"/>
      <c r="J483" s="2"/>
    </row>
    <row r="484" spans="2:10" ht="15.75" customHeight="1" x14ac:dyDescent="0.2">
      <c r="B484" s="2"/>
      <c r="C484" s="37"/>
      <c r="D484" s="37"/>
      <c r="E484" s="327"/>
      <c r="F484" s="37"/>
      <c r="G484" s="37"/>
      <c r="H484" s="2"/>
      <c r="I484" s="2"/>
      <c r="J484" s="2"/>
    </row>
    <row r="485" spans="2:10" ht="15.75" customHeight="1" x14ac:dyDescent="0.2">
      <c r="B485" s="2"/>
      <c r="C485" s="37"/>
      <c r="D485" s="37"/>
      <c r="E485" s="327"/>
      <c r="F485" s="37"/>
      <c r="G485" s="37"/>
      <c r="H485" s="2"/>
      <c r="I485" s="2"/>
      <c r="J485" s="2"/>
    </row>
    <row r="486" spans="2:10" ht="15.75" customHeight="1" x14ac:dyDescent="0.2">
      <c r="B486" s="2"/>
      <c r="C486" s="37"/>
      <c r="D486" s="37"/>
      <c r="E486" s="327"/>
      <c r="F486" s="37"/>
      <c r="G486" s="37"/>
      <c r="H486" s="2"/>
      <c r="I486" s="2"/>
      <c r="J486" s="2"/>
    </row>
    <row r="487" spans="2:10" ht="15.75" customHeight="1" x14ac:dyDescent="0.2">
      <c r="B487" s="2"/>
      <c r="C487" s="37"/>
      <c r="D487" s="37"/>
      <c r="E487" s="327"/>
      <c r="F487" s="37"/>
      <c r="G487" s="37"/>
      <c r="H487" s="2"/>
      <c r="I487" s="2"/>
      <c r="J487" s="2"/>
    </row>
    <row r="488" spans="2:10" ht="15.75" customHeight="1" x14ac:dyDescent="0.2">
      <c r="B488" s="2"/>
      <c r="C488" s="37"/>
      <c r="D488" s="37"/>
      <c r="E488" s="327"/>
      <c r="F488" s="37"/>
      <c r="G488" s="37"/>
      <c r="H488" s="2"/>
      <c r="I488" s="2"/>
      <c r="J488" s="2"/>
    </row>
    <row r="489" spans="2:10" ht="15.75" customHeight="1" x14ac:dyDescent="0.2">
      <c r="B489" s="2"/>
      <c r="C489" s="37"/>
      <c r="D489" s="37"/>
      <c r="E489" s="327"/>
      <c r="F489" s="37"/>
      <c r="G489" s="37"/>
      <c r="H489" s="2"/>
      <c r="I489" s="2"/>
      <c r="J489" s="2"/>
    </row>
    <row r="490" spans="2:10" ht="15.75" customHeight="1" x14ac:dyDescent="0.2">
      <c r="B490" s="2"/>
      <c r="C490" s="37"/>
      <c r="D490" s="37"/>
      <c r="E490" s="327"/>
      <c r="F490" s="37"/>
      <c r="G490" s="37"/>
      <c r="H490" s="2"/>
      <c r="I490" s="2"/>
      <c r="J490" s="2"/>
    </row>
    <row r="491" spans="2:10" ht="15.75" customHeight="1" x14ac:dyDescent="0.2">
      <c r="B491" s="2"/>
      <c r="C491" s="37"/>
      <c r="D491" s="37"/>
      <c r="E491" s="327"/>
      <c r="F491" s="37"/>
      <c r="G491" s="37"/>
      <c r="H491" s="2"/>
      <c r="I491" s="2"/>
      <c r="J491" s="2"/>
    </row>
    <row r="492" spans="2:10" ht="15.75" customHeight="1" x14ac:dyDescent="0.2">
      <c r="B492" s="2"/>
      <c r="C492" s="37"/>
      <c r="D492" s="37"/>
      <c r="E492" s="327"/>
      <c r="F492" s="37"/>
      <c r="G492" s="37"/>
      <c r="H492" s="2"/>
      <c r="I492" s="2"/>
      <c r="J492" s="2"/>
    </row>
    <row r="493" spans="2:10" ht="15.75" customHeight="1" x14ac:dyDescent="0.2">
      <c r="B493" s="2"/>
      <c r="C493" s="37"/>
      <c r="D493" s="37"/>
      <c r="E493" s="327"/>
      <c r="F493" s="37"/>
      <c r="G493" s="37"/>
      <c r="H493" s="2"/>
      <c r="I493" s="2"/>
      <c r="J493" s="2"/>
    </row>
    <row r="494" spans="2:10" ht="15.75" customHeight="1" x14ac:dyDescent="0.2">
      <c r="B494" s="2"/>
      <c r="C494" s="37"/>
      <c r="D494" s="37"/>
      <c r="E494" s="327"/>
      <c r="F494" s="37"/>
      <c r="G494" s="37"/>
      <c r="H494" s="2"/>
      <c r="I494" s="2"/>
      <c r="J494" s="2"/>
    </row>
    <row r="495" spans="2:10" ht="15.75" customHeight="1" x14ac:dyDescent="0.2">
      <c r="B495" s="2"/>
      <c r="C495" s="37"/>
      <c r="D495" s="37"/>
      <c r="E495" s="327"/>
      <c r="F495" s="37"/>
      <c r="G495" s="37"/>
      <c r="H495" s="2"/>
      <c r="I495" s="2"/>
      <c r="J495" s="2"/>
    </row>
    <row r="496" spans="2:10" ht="15.75" customHeight="1" x14ac:dyDescent="0.2">
      <c r="B496" s="2"/>
      <c r="C496" s="37"/>
      <c r="D496" s="37"/>
      <c r="E496" s="327"/>
      <c r="F496" s="37"/>
      <c r="G496" s="37"/>
      <c r="H496" s="2"/>
      <c r="I496" s="2"/>
      <c r="J496" s="2"/>
    </row>
    <row r="497" spans="2:10" ht="15.75" customHeight="1" x14ac:dyDescent="0.2">
      <c r="B497" s="2"/>
      <c r="C497" s="37"/>
      <c r="D497" s="37"/>
      <c r="E497" s="327"/>
      <c r="F497" s="37"/>
      <c r="G497" s="37"/>
      <c r="H497" s="2"/>
      <c r="I497" s="2"/>
      <c r="J497" s="2"/>
    </row>
    <row r="498" spans="2:10" ht="15.75" customHeight="1" x14ac:dyDescent="0.2">
      <c r="B498" s="2"/>
      <c r="C498" s="37"/>
      <c r="D498" s="37"/>
      <c r="E498" s="327"/>
      <c r="F498" s="37"/>
      <c r="G498" s="37"/>
      <c r="H498" s="2"/>
      <c r="I498" s="2"/>
      <c r="J498" s="2"/>
    </row>
    <row r="499" spans="2:10" ht="15.75" customHeight="1" x14ac:dyDescent="0.2">
      <c r="B499" s="2"/>
      <c r="C499" s="37"/>
      <c r="D499" s="37"/>
      <c r="E499" s="327"/>
      <c r="F499" s="37"/>
      <c r="G499" s="37"/>
      <c r="H499" s="2"/>
      <c r="I499" s="2"/>
      <c r="J499" s="2"/>
    </row>
    <row r="500" spans="2:10" ht="15.75" customHeight="1" x14ac:dyDescent="0.2">
      <c r="B500" s="2"/>
      <c r="C500" s="37"/>
      <c r="D500" s="37"/>
      <c r="E500" s="327"/>
      <c r="F500" s="37"/>
      <c r="G500" s="37"/>
      <c r="H500" s="2"/>
      <c r="I500" s="2"/>
      <c r="J500" s="2"/>
    </row>
    <row r="501" spans="2:10" ht="15.75" customHeight="1" x14ac:dyDescent="0.2">
      <c r="B501" s="2"/>
      <c r="C501" s="37"/>
      <c r="D501" s="37"/>
      <c r="E501" s="327"/>
      <c r="F501" s="37"/>
      <c r="G501" s="37"/>
      <c r="H501" s="2"/>
      <c r="I501" s="2"/>
      <c r="J501" s="2"/>
    </row>
    <row r="502" spans="2:10" ht="15.75" customHeight="1" x14ac:dyDescent="0.2">
      <c r="B502" s="2"/>
      <c r="C502" s="37"/>
      <c r="D502" s="37"/>
      <c r="E502" s="327"/>
      <c r="F502" s="37"/>
      <c r="G502" s="37"/>
      <c r="H502" s="2"/>
      <c r="I502" s="2"/>
      <c r="J502" s="2"/>
    </row>
    <row r="503" spans="2:10" ht="15.75" customHeight="1" x14ac:dyDescent="0.2">
      <c r="B503" s="2"/>
      <c r="C503" s="37"/>
      <c r="D503" s="37"/>
      <c r="E503" s="327"/>
      <c r="F503" s="37"/>
      <c r="G503" s="37"/>
      <c r="H503" s="2"/>
      <c r="I503" s="2"/>
      <c r="J503" s="2"/>
    </row>
    <row r="504" spans="2:10" ht="15.75" customHeight="1" x14ac:dyDescent="0.2">
      <c r="B504" s="2"/>
      <c r="C504" s="37"/>
      <c r="D504" s="37"/>
      <c r="E504" s="327"/>
      <c r="F504" s="37"/>
      <c r="G504" s="37"/>
      <c r="H504" s="2"/>
      <c r="I504" s="2"/>
      <c r="J504" s="2"/>
    </row>
    <row r="505" spans="2:10" ht="15.75" customHeight="1" x14ac:dyDescent="0.2">
      <c r="B505" s="2"/>
      <c r="C505" s="37"/>
      <c r="D505" s="37"/>
      <c r="E505" s="327"/>
      <c r="F505" s="37"/>
      <c r="G505" s="37"/>
      <c r="H505" s="2"/>
      <c r="I505" s="2"/>
      <c r="J505" s="2"/>
    </row>
    <row r="506" spans="2:10" ht="15.75" customHeight="1" x14ac:dyDescent="0.2">
      <c r="B506" s="2"/>
      <c r="C506" s="37"/>
      <c r="D506" s="37"/>
      <c r="E506" s="327"/>
      <c r="F506" s="37"/>
      <c r="G506" s="37"/>
      <c r="H506" s="2"/>
      <c r="I506" s="2"/>
      <c r="J506" s="2"/>
    </row>
    <row r="507" spans="2:10" ht="15.75" customHeight="1" x14ac:dyDescent="0.2">
      <c r="B507" s="2"/>
      <c r="C507" s="37"/>
      <c r="D507" s="37"/>
      <c r="E507" s="327"/>
      <c r="F507" s="37"/>
      <c r="G507" s="37"/>
      <c r="H507" s="2"/>
      <c r="I507" s="2"/>
      <c r="J507" s="2"/>
    </row>
    <row r="508" spans="2:10" ht="15.75" customHeight="1" x14ac:dyDescent="0.2">
      <c r="B508" s="2"/>
      <c r="C508" s="37"/>
      <c r="D508" s="37"/>
      <c r="E508" s="327"/>
      <c r="F508" s="37"/>
      <c r="G508" s="37"/>
      <c r="H508" s="2"/>
      <c r="I508" s="2"/>
      <c r="J508" s="2"/>
    </row>
    <row r="509" spans="2:10" ht="15.75" customHeight="1" x14ac:dyDescent="0.2">
      <c r="B509" s="2"/>
      <c r="C509" s="37"/>
      <c r="D509" s="37"/>
      <c r="E509" s="327"/>
      <c r="F509" s="37"/>
      <c r="G509" s="37"/>
      <c r="H509" s="2"/>
      <c r="I509" s="2"/>
      <c r="J509" s="2"/>
    </row>
    <row r="510" spans="2:10" ht="15.75" customHeight="1" x14ac:dyDescent="0.2">
      <c r="B510" s="2"/>
      <c r="C510" s="37"/>
      <c r="D510" s="37"/>
      <c r="E510" s="327"/>
      <c r="F510" s="37"/>
      <c r="G510" s="37"/>
      <c r="H510" s="2"/>
      <c r="I510" s="2"/>
      <c r="J510" s="2"/>
    </row>
    <row r="511" spans="2:10" ht="15.75" customHeight="1" x14ac:dyDescent="0.2">
      <c r="B511" s="2"/>
      <c r="C511" s="37"/>
      <c r="D511" s="37"/>
      <c r="E511" s="327"/>
      <c r="F511" s="37"/>
      <c r="G511" s="37"/>
      <c r="H511" s="2"/>
      <c r="I511" s="2"/>
      <c r="J511" s="2"/>
    </row>
    <row r="512" spans="2:10" ht="15.75" customHeight="1" x14ac:dyDescent="0.2">
      <c r="B512" s="2"/>
      <c r="C512" s="37"/>
      <c r="D512" s="37"/>
      <c r="E512" s="327"/>
      <c r="F512" s="37"/>
      <c r="G512" s="37"/>
      <c r="H512" s="2"/>
      <c r="I512" s="2"/>
      <c r="J512" s="2"/>
    </row>
    <row r="513" spans="2:10" ht="15.75" customHeight="1" x14ac:dyDescent="0.2">
      <c r="B513" s="2"/>
      <c r="C513" s="37"/>
      <c r="D513" s="37"/>
      <c r="E513" s="327"/>
      <c r="F513" s="37"/>
      <c r="G513" s="37"/>
      <c r="H513" s="2"/>
      <c r="I513" s="2"/>
      <c r="J513" s="2"/>
    </row>
    <row r="514" spans="2:10" ht="15.75" customHeight="1" x14ac:dyDescent="0.2">
      <c r="B514" s="2"/>
      <c r="C514" s="37"/>
      <c r="D514" s="37"/>
      <c r="E514" s="327"/>
      <c r="F514" s="37"/>
      <c r="G514" s="37"/>
      <c r="H514" s="2"/>
      <c r="I514" s="2"/>
      <c r="J514" s="2"/>
    </row>
    <row r="515" spans="2:10" ht="15.75" customHeight="1" x14ac:dyDescent="0.2">
      <c r="B515" s="2"/>
      <c r="C515" s="37"/>
      <c r="D515" s="37"/>
      <c r="E515" s="327"/>
      <c r="F515" s="37"/>
      <c r="G515" s="37"/>
      <c r="H515" s="2"/>
      <c r="I515" s="2"/>
      <c r="J515" s="2"/>
    </row>
    <row r="516" spans="2:10" ht="15.75" customHeight="1" x14ac:dyDescent="0.2">
      <c r="B516" s="2"/>
      <c r="C516" s="37"/>
      <c r="D516" s="37"/>
      <c r="E516" s="327"/>
      <c r="F516" s="37"/>
      <c r="G516" s="37"/>
      <c r="H516" s="2"/>
      <c r="I516" s="2"/>
      <c r="J516" s="2"/>
    </row>
    <row r="517" spans="2:10" ht="15.75" customHeight="1" x14ac:dyDescent="0.2">
      <c r="B517" s="2"/>
      <c r="C517" s="37"/>
      <c r="D517" s="37"/>
      <c r="E517" s="327"/>
      <c r="F517" s="37"/>
      <c r="G517" s="37"/>
      <c r="H517" s="2"/>
      <c r="I517" s="2"/>
      <c r="J517" s="2"/>
    </row>
    <row r="518" spans="2:10" ht="15.75" customHeight="1" x14ac:dyDescent="0.2">
      <c r="B518" s="2"/>
      <c r="C518" s="37"/>
      <c r="D518" s="37"/>
      <c r="E518" s="327"/>
      <c r="F518" s="37"/>
      <c r="G518" s="37"/>
      <c r="H518" s="2"/>
      <c r="I518" s="2"/>
      <c r="J518" s="2"/>
    </row>
    <row r="519" spans="2:10" ht="15.75" customHeight="1" x14ac:dyDescent="0.2">
      <c r="B519" s="2"/>
      <c r="C519" s="37"/>
      <c r="D519" s="37"/>
      <c r="E519" s="327"/>
      <c r="F519" s="37"/>
      <c r="G519" s="37"/>
      <c r="H519" s="2"/>
      <c r="I519" s="2"/>
      <c r="J519" s="2"/>
    </row>
    <row r="520" spans="2:10" ht="15.75" customHeight="1" x14ac:dyDescent="0.2">
      <c r="B520" s="2"/>
      <c r="C520" s="37"/>
      <c r="D520" s="37"/>
      <c r="E520" s="327"/>
      <c r="F520" s="37"/>
      <c r="G520" s="37"/>
      <c r="H520" s="2"/>
      <c r="I520" s="2"/>
      <c r="J520" s="2"/>
    </row>
    <row r="521" spans="2:10" ht="15.75" customHeight="1" x14ac:dyDescent="0.2">
      <c r="B521" s="2"/>
      <c r="C521" s="37"/>
      <c r="D521" s="37"/>
      <c r="E521" s="327"/>
      <c r="F521" s="37"/>
      <c r="G521" s="37"/>
      <c r="H521" s="2"/>
      <c r="I521" s="2"/>
      <c r="J521" s="2"/>
    </row>
    <row r="522" spans="2:10" ht="15.75" customHeight="1" x14ac:dyDescent="0.2">
      <c r="B522" s="2"/>
      <c r="C522" s="37"/>
      <c r="D522" s="37"/>
      <c r="E522" s="327"/>
      <c r="F522" s="37"/>
      <c r="G522" s="37"/>
      <c r="H522" s="2"/>
      <c r="I522" s="2"/>
      <c r="J522" s="2"/>
    </row>
    <row r="523" spans="2:10" ht="15.75" customHeight="1" x14ac:dyDescent="0.2">
      <c r="B523" s="2"/>
      <c r="C523" s="37"/>
      <c r="D523" s="37"/>
      <c r="E523" s="327"/>
      <c r="F523" s="37"/>
      <c r="G523" s="37"/>
      <c r="H523" s="2"/>
      <c r="I523" s="2"/>
      <c r="J523" s="2"/>
    </row>
    <row r="524" spans="2:10" ht="15.75" customHeight="1" x14ac:dyDescent="0.2">
      <c r="B524" s="2"/>
      <c r="C524" s="37"/>
      <c r="D524" s="37"/>
      <c r="E524" s="327"/>
      <c r="F524" s="37"/>
      <c r="G524" s="37"/>
      <c r="H524" s="2"/>
      <c r="I524" s="2"/>
      <c r="J524" s="2"/>
    </row>
    <row r="525" spans="2:10" ht="15.75" customHeight="1" x14ac:dyDescent="0.2">
      <c r="B525" s="2"/>
      <c r="C525" s="37"/>
      <c r="D525" s="37"/>
      <c r="E525" s="327"/>
      <c r="F525" s="37"/>
      <c r="G525" s="37"/>
      <c r="H525" s="2"/>
      <c r="I525" s="2"/>
      <c r="J525" s="2"/>
    </row>
    <row r="526" spans="2:10" ht="15.75" customHeight="1" x14ac:dyDescent="0.2">
      <c r="B526" s="2"/>
      <c r="C526" s="37"/>
      <c r="D526" s="37"/>
      <c r="E526" s="327"/>
      <c r="F526" s="37"/>
      <c r="G526" s="37"/>
      <c r="H526" s="2"/>
      <c r="I526" s="2"/>
      <c r="J526" s="2"/>
    </row>
    <row r="527" spans="2:10" ht="15.75" customHeight="1" x14ac:dyDescent="0.2">
      <c r="B527" s="2"/>
      <c r="C527" s="37"/>
      <c r="D527" s="37"/>
      <c r="E527" s="327"/>
      <c r="F527" s="37"/>
      <c r="G527" s="37"/>
      <c r="H527" s="2"/>
      <c r="I527" s="2"/>
      <c r="J527" s="2"/>
    </row>
    <row r="528" spans="2:10" ht="15.75" customHeight="1" x14ac:dyDescent="0.2">
      <c r="B528" s="2"/>
      <c r="C528" s="37"/>
      <c r="D528" s="37"/>
      <c r="E528" s="327"/>
      <c r="F528" s="37"/>
      <c r="G528" s="37"/>
      <c r="H528" s="2"/>
      <c r="I528" s="2"/>
      <c r="J528" s="2"/>
    </row>
    <row r="529" spans="2:10" ht="15.75" customHeight="1" x14ac:dyDescent="0.2">
      <c r="B529" s="2"/>
      <c r="C529" s="37"/>
      <c r="D529" s="37"/>
      <c r="E529" s="327"/>
      <c r="F529" s="37"/>
      <c r="G529" s="37"/>
      <c r="H529" s="2"/>
      <c r="I529" s="2"/>
      <c r="J529" s="2"/>
    </row>
    <row r="530" spans="2:10" ht="15.75" customHeight="1" x14ac:dyDescent="0.2">
      <c r="B530" s="2"/>
      <c r="C530" s="37"/>
      <c r="D530" s="37"/>
      <c r="E530" s="327"/>
      <c r="F530" s="37"/>
      <c r="G530" s="37"/>
      <c r="H530" s="2"/>
      <c r="I530" s="2"/>
      <c r="J530" s="2"/>
    </row>
    <row r="531" spans="2:10" ht="15.75" customHeight="1" x14ac:dyDescent="0.2">
      <c r="B531" s="2"/>
      <c r="C531" s="37"/>
      <c r="D531" s="37"/>
      <c r="E531" s="327"/>
      <c r="F531" s="37"/>
      <c r="G531" s="37"/>
      <c r="H531" s="2"/>
      <c r="I531" s="2"/>
      <c r="J531" s="2"/>
    </row>
    <row r="532" spans="2:10" ht="15.75" customHeight="1" x14ac:dyDescent="0.2">
      <c r="B532" s="2"/>
      <c r="C532" s="37"/>
      <c r="D532" s="37"/>
      <c r="E532" s="327"/>
      <c r="F532" s="37"/>
      <c r="G532" s="37"/>
      <c r="H532" s="2"/>
      <c r="I532" s="2"/>
      <c r="J532" s="2"/>
    </row>
    <row r="533" spans="2:10" ht="15.75" customHeight="1" x14ac:dyDescent="0.2">
      <c r="B533" s="2"/>
      <c r="C533" s="37"/>
      <c r="D533" s="37"/>
      <c r="E533" s="327"/>
      <c r="F533" s="37"/>
      <c r="G533" s="37"/>
      <c r="H533" s="2"/>
      <c r="I533" s="2"/>
      <c r="J533" s="2"/>
    </row>
    <row r="534" spans="2:10" ht="15.75" customHeight="1" x14ac:dyDescent="0.2">
      <c r="B534" s="2"/>
      <c r="C534" s="37"/>
      <c r="D534" s="37"/>
      <c r="E534" s="327"/>
      <c r="F534" s="37"/>
      <c r="G534" s="37"/>
      <c r="H534" s="2"/>
      <c r="I534" s="2"/>
      <c r="J534" s="2"/>
    </row>
    <row r="535" spans="2:10" ht="15.75" customHeight="1" x14ac:dyDescent="0.2">
      <c r="B535" s="2"/>
      <c r="C535" s="37"/>
      <c r="D535" s="37"/>
      <c r="E535" s="327"/>
      <c r="F535" s="37"/>
      <c r="G535" s="37"/>
      <c r="H535" s="2"/>
      <c r="I535" s="2"/>
      <c r="J535" s="2"/>
    </row>
    <row r="536" spans="2:10" ht="15.75" customHeight="1" x14ac:dyDescent="0.2">
      <c r="B536" s="2"/>
      <c r="C536" s="37"/>
      <c r="D536" s="37"/>
      <c r="E536" s="327"/>
      <c r="F536" s="37"/>
      <c r="G536" s="37"/>
      <c r="H536" s="2"/>
      <c r="I536" s="2"/>
      <c r="J536" s="2"/>
    </row>
    <row r="537" spans="2:10" ht="15.75" customHeight="1" x14ac:dyDescent="0.2">
      <c r="B537" s="2"/>
      <c r="C537" s="37"/>
      <c r="D537" s="37"/>
      <c r="E537" s="327"/>
      <c r="F537" s="37"/>
      <c r="G537" s="37"/>
      <c r="H537" s="2"/>
      <c r="I537" s="2"/>
      <c r="J537" s="2"/>
    </row>
    <row r="538" spans="2:10" ht="15.75" customHeight="1" x14ac:dyDescent="0.2">
      <c r="B538" s="2"/>
      <c r="C538" s="37"/>
      <c r="D538" s="37"/>
      <c r="E538" s="327"/>
      <c r="F538" s="37"/>
      <c r="G538" s="37"/>
      <c r="H538" s="2"/>
      <c r="I538" s="2"/>
      <c r="J538" s="2"/>
    </row>
    <row r="539" spans="2:10" ht="15.75" customHeight="1" x14ac:dyDescent="0.2">
      <c r="B539" s="2"/>
      <c r="C539" s="37"/>
      <c r="D539" s="37"/>
      <c r="E539" s="327"/>
      <c r="F539" s="37"/>
      <c r="G539" s="37"/>
      <c r="H539" s="2"/>
      <c r="I539" s="2"/>
      <c r="J539" s="2"/>
    </row>
    <row r="540" spans="2:10" ht="15.75" customHeight="1" x14ac:dyDescent="0.2">
      <c r="B540" s="2"/>
      <c r="C540" s="37"/>
      <c r="D540" s="37"/>
      <c r="E540" s="327"/>
      <c r="F540" s="37"/>
      <c r="G540" s="37"/>
      <c r="H540" s="2"/>
      <c r="I540" s="2"/>
      <c r="J540" s="2"/>
    </row>
    <row r="541" spans="2:10" ht="15.75" customHeight="1" x14ac:dyDescent="0.2">
      <c r="B541" s="2"/>
      <c r="C541" s="37"/>
      <c r="D541" s="37"/>
      <c r="E541" s="327"/>
      <c r="F541" s="37"/>
      <c r="G541" s="37"/>
      <c r="H541" s="2"/>
      <c r="I541" s="2"/>
      <c r="J541" s="2"/>
    </row>
    <row r="542" spans="2:10" ht="15.75" customHeight="1" x14ac:dyDescent="0.2">
      <c r="B542" s="2"/>
      <c r="C542" s="37"/>
      <c r="D542" s="37"/>
      <c r="E542" s="327"/>
      <c r="F542" s="37"/>
      <c r="G542" s="37"/>
      <c r="H542" s="2"/>
      <c r="I542" s="2"/>
      <c r="J542" s="2"/>
    </row>
    <row r="543" spans="2:10" ht="15.75" customHeight="1" x14ac:dyDescent="0.2">
      <c r="B543" s="2"/>
      <c r="C543" s="37"/>
      <c r="D543" s="37"/>
      <c r="E543" s="327"/>
      <c r="F543" s="37"/>
      <c r="G543" s="37"/>
      <c r="H543" s="2"/>
      <c r="I543" s="2"/>
      <c r="J543" s="2"/>
    </row>
    <row r="544" spans="2:10" ht="15.75" customHeight="1" x14ac:dyDescent="0.2">
      <c r="B544" s="2"/>
      <c r="C544" s="37"/>
      <c r="D544" s="37"/>
      <c r="E544" s="327"/>
      <c r="F544" s="37"/>
      <c r="G544" s="37"/>
      <c r="H544" s="2"/>
      <c r="I544" s="2"/>
      <c r="J544" s="2"/>
    </row>
    <row r="545" spans="2:10" ht="15.75" customHeight="1" x14ac:dyDescent="0.2">
      <c r="B545" s="2"/>
      <c r="C545" s="37"/>
      <c r="D545" s="37"/>
      <c r="E545" s="327"/>
      <c r="F545" s="37"/>
      <c r="G545" s="37"/>
      <c r="H545" s="2"/>
      <c r="I545" s="2"/>
      <c r="J545" s="2"/>
    </row>
    <row r="546" spans="2:10" ht="15.75" customHeight="1" x14ac:dyDescent="0.2">
      <c r="B546" s="2"/>
      <c r="C546" s="37"/>
      <c r="D546" s="37"/>
      <c r="E546" s="327"/>
      <c r="F546" s="37"/>
      <c r="G546" s="37"/>
      <c r="H546" s="2"/>
      <c r="I546" s="2"/>
      <c r="J546" s="2"/>
    </row>
    <row r="547" spans="2:10" ht="15.75" customHeight="1" x14ac:dyDescent="0.2">
      <c r="B547" s="2"/>
      <c r="C547" s="37"/>
      <c r="D547" s="37"/>
      <c r="E547" s="327"/>
      <c r="F547" s="37"/>
      <c r="G547" s="37"/>
      <c r="H547" s="2"/>
      <c r="I547" s="2"/>
      <c r="J547" s="2"/>
    </row>
    <row r="548" spans="2:10" ht="15.75" customHeight="1" x14ac:dyDescent="0.2">
      <c r="B548" s="2"/>
      <c r="C548" s="37"/>
      <c r="D548" s="37"/>
      <c r="E548" s="327"/>
      <c r="F548" s="37"/>
      <c r="G548" s="37"/>
      <c r="H548" s="2"/>
      <c r="I548" s="2"/>
      <c r="J548" s="2"/>
    </row>
    <row r="549" spans="2:10" ht="15.75" customHeight="1" x14ac:dyDescent="0.2">
      <c r="B549" s="2"/>
      <c r="C549" s="37"/>
      <c r="D549" s="37"/>
      <c r="E549" s="327"/>
      <c r="F549" s="37"/>
      <c r="G549" s="37"/>
      <c r="H549" s="2"/>
      <c r="I549" s="2"/>
      <c r="J549" s="2"/>
    </row>
    <row r="550" spans="2:10" ht="15.75" customHeight="1" x14ac:dyDescent="0.2">
      <c r="B550" s="2"/>
      <c r="C550" s="37"/>
      <c r="D550" s="37"/>
      <c r="E550" s="327"/>
      <c r="F550" s="37"/>
      <c r="G550" s="37"/>
      <c r="H550" s="2"/>
      <c r="I550" s="2"/>
      <c r="J550" s="2"/>
    </row>
    <row r="551" spans="2:10" ht="15.75" customHeight="1" x14ac:dyDescent="0.2">
      <c r="B551" s="2"/>
      <c r="C551" s="37"/>
      <c r="D551" s="37"/>
      <c r="E551" s="327"/>
      <c r="F551" s="37"/>
      <c r="G551" s="37"/>
      <c r="H551" s="2"/>
      <c r="I551" s="2"/>
      <c r="J551" s="2"/>
    </row>
    <row r="552" spans="2:10" ht="15.75" customHeight="1" x14ac:dyDescent="0.2">
      <c r="B552" s="2"/>
      <c r="C552" s="37"/>
      <c r="D552" s="37"/>
      <c r="E552" s="327"/>
      <c r="F552" s="37"/>
      <c r="G552" s="37"/>
      <c r="H552" s="2"/>
      <c r="I552" s="2"/>
      <c r="J552" s="2"/>
    </row>
    <row r="553" spans="2:10" ht="15.75" customHeight="1" x14ac:dyDescent="0.2">
      <c r="B553" s="2"/>
      <c r="C553" s="37"/>
      <c r="D553" s="37"/>
      <c r="E553" s="327"/>
      <c r="F553" s="37"/>
      <c r="G553" s="37"/>
      <c r="H553" s="2"/>
      <c r="I553" s="2"/>
      <c r="J553" s="2"/>
    </row>
    <row r="554" spans="2:10" ht="15.75" customHeight="1" x14ac:dyDescent="0.2">
      <c r="B554" s="2"/>
      <c r="C554" s="37"/>
      <c r="D554" s="37"/>
      <c r="E554" s="327"/>
      <c r="F554" s="37"/>
      <c r="G554" s="37"/>
      <c r="H554" s="2"/>
      <c r="I554" s="2"/>
      <c r="J554" s="2"/>
    </row>
    <row r="555" spans="2:10" ht="15.75" customHeight="1" x14ac:dyDescent="0.2">
      <c r="B555" s="2"/>
      <c r="C555" s="37"/>
      <c r="D555" s="37"/>
      <c r="E555" s="327"/>
      <c r="F555" s="37"/>
      <c r="G555" s="37"/>
      <c r="H555" s="2"/>
      <c r="I555" s="2"/>
      <c r="J555" s="2"/>
    </row>
    <row r="556" spans="2:10" ht="15.75" customHeight="1" x14ac:dyDescent="0.2">
      <c r="B556" s="2"/>
      <c r="C556" s="37"/>
      <c r="D556" s="37"/>
      <c r="E556" s="327"/>
      <c r="F556" s="37"/>
      <c r="G556" s="37"/>
      <c r="H556" s="2"/>
      <c r="I556" s="2"/>
      <c r="J556" s="2"/>
    </row>
    <row r="557" spans="2:10" ht="15.75" customHeight="1" x14ac:dyDescent="0.2">
      <c r="B557" s="2"/>
      <c r="C557" s="37"/>
      <c r="D557" s="37"/>
      <c r="E557" s="327"/>
      <c r="F557" s="37"/>
      <c r="G557" s="37"/>
      <c r="H557" s="2"/>
      <c r="I557" s="2"/>
      <c r="J557" s="2"/>
    </row>
    <row r="558" spans="2:10" ht="15.75" customHeight="1" x14ac:dyDescent="0.2">
      <c r="B558" s="2"/>
      <c r="C558" s="37"/>
      <c r="D558" s="37"/>
      <c r="E558" s="327"/>
      <c r="F558" s="37"/>
      <c r="G558" s="37"/>
      <c r="H558" s="2"/>
      <c r="I558" s="2"/>
      <c r="J558" s="2"/>
    </row>
    <row r="559" spans="2:10" ht="15.75" customHeight="1" x14ac:dyDescent="0.2">
      <c r="B559" s="2"/>
      <c r="C559" s="37"/>
      <c r="D559" s="37"/>
      <c r="E559" s="327"/>
      <c r="F559" s="37"/>
      <c r="G559" s="37"/>
      <c r="H559" s="2"/>
      <c r="I559" s="2"/>
      <c r="J559" s="2"/>
    </row>
    <row r="560" spans="2:10" ht="15.75" customHeight="1" x14ac:dyDescent="0.2">
      <c r="B560" s="2"/>
      <c r="C560" s="37"/>
      <c r="D560" s="37"/>
      <c r="E560" s="327"/>
      <c r="F560" s="37"/>
      <c r="G560" s="37"/>
      <c r="H560" s="2"/>
      <c r="I560" s="2"/>
      <c r="J560" s="2"/>
    </row>
    <row r="561" spans="2:10" ht="15.75" customHeight="1" x14ac:dyDescent="0.2">
      <c r="B561" s="2"/>
      <c r="C561" s="37"/>
      <c r="D561" s="37"/>
      <c r="E561" s="327"/>
      <c r="F561" s="37"/>
      <c r="G561" s="37"/>
      <c r="H561" s="2"/>
      <c r="I561" s="2"/>
      <c r="J561" s="2"/>
    </row>
    <row r="562" spans="2:10" ht="15.75" customHeight="1" x14ac:dyDescent="0.2">
      <c r="B562" s="2"/>
      <c r="C562" s="37"/>
      <c r="D562" s="37"/>
      <c r="E562" s="327"/>
      <c r="F562" s="37"/>
      <c r="G562" s="37"/>
      <c r="H562" s="2"/>
      <c r="I562" s="2"/>
      <c r="J562" s="2"/>
    </row>
    <row r="563" spans="2:10" ht="15.75" customHeight="1" x14ac:dyDescent="0.2">
      <c r="B563" s="2"/>
      <c r="C563" s="37"/>
      <c r="D563" s="37"/>
      <c r="E563" s="327"/>
      <c r="F563" s="37"/>
      <c r="G563" s="37"/>
      <c r="H563" s="2"/>
      <c r="I563" s="2"/>
      <c r="J563" s="2"/>
    </row>
    <row r="564" spans="2:10" ht="15.75" customHeight="1" x14ac:dyDescent="0.2">
      <c r="B564" s="2"/>
      <c r="C564" s="37"/>
      <c r="D564" s="37"/>
      <c r="E564" s="327"/>
      <c r="F564" s="37"/>
      <c r="G564" s="37"/>
      <c r="H564" s="2"/>
      <c r="I564" s="2"/>
      <c r="J564" s="2"/>
    </row>
    <row r="565" spans="2:10" ht="15.75" customHeight="1" x14ac:dyDescent="0.2">
      <c r="B565" s="2"/>
      <c r="C565" s="37"/>
      <c r="D565" s="37"/>
      <c r="E565" s="327"/>
      <c r="F565" s="37"/>
      <c r="G565" s="37"/>
      <c r="H565" s="2"/>
      <c r="I565" s="2"/>
      <c r="J565" s="2"/>
    </row>
    <row r="566" spans="2:10" ht="15.75" customHeight="1" x14ac:dyDescent="0.2">
      <c r="B566" s="2"/>
      <c r="C566" s="37"/>
      <c r="D566" s="37"/>
      <c r="E566" s="327"/>
      <c r="F566" s="37"/>
      <c r="G566" s="37"/>
      <c r="H566" s="2"/>
      <c r="I566" s="2"/>
      <c r="J566" s="2"/>
    </row>
    <row r="567" spans="2:10" ht="15.75" customHeight="1" x14ac:dyDescent="0.2">
      <c r="B567" s="2"/>
      <c r="C567" s="37"/>
      <c r="D567" s="37"/>
      <c r="E567" s="327"/>
      <c r="F567" s="37"/>
      <c r="G567" s="37"/>
      <c r="H567" s="2"/>
      <c r="I567" s="2"/>
      <c r="J567" s="2"/>
    </row>
    <row r="568" spans="2:10" ht="15.75" customHeight="1" x14ac:dyDescent="0.2">
      <c r="B568" s="2"/>
      <c r="C568" s="37"/>
      <c r="D568" s="37"/>
      <c r="E568" s="327"/>
      <c r="F568" s="37"/>
      <c r="G568" s="37"/>
      <c r="H568" s="2"/>
      <c r="I568" s="2"/>
      <c r="J568" s="2"/>
    </row>
    <row r="569" spans="2:10" ht="15.75" customHeight="1" x14ac:dyDescent="0.2">
      <c r="B569" s="2"/>
      <c r="C569" s="37"/>
      <c r="D569" s="37"/>
      <c r="E569" s="327"/>
      <c r="F569" s="37"/>
      <c r="G569" s="37"/>
      <c r="H569" s="2"/>
      <c r="I569" s="2"/>
      <c r="J569" s="2"/>
    </row>
    <row r="570" spans="2:10" ht="15.75" customHeight="1" x14ac:dyDescent="0.2">
      <c r="B570" s="2"/>
      <c r="C570" s="37"/>
      <c r="D570" s="37"/>
      <c r="E570" s="327"/>
      <c r="F570" s="37"/>
      <c r="G570" s="37"/>
      <c r="H570" s="2"/>
      <c r="I570" s="2"/>
      <c r="J570" s="2"/>
    </row>
    <row r="571" spans="2:10" ht="15.75" customHeight="1" x14ac:dyDescent="0.2">
      <c r="B571" s="2"/>
      <c r="C571" s="37"/>
      <c r="D571" s="37"/>
      <c r="E571" s="327"/>
      <c r="F571" s="37"/>
      <c r="G571" s="37"/>
      <c r="H571" s="2"/>
      <c r="I571" s="2"/>
      <c r="J571" s="2"/>
    </row>
    <row r="572" spans="2:10" ht="15.75" customHeight="1" x14ac:dyDescent="0.2">
      <c r="B572" s="2"/>
      <c r="C572" s="37"/>
      <c r="D572" s="37"/>
      <c r="E572" s="327"/>
      <c r="F572" s="37"/>
      <c r="G572" s="37"/>
      <c r="H572" s="2"/>
      <c r="I572" s="2"/>
      <c r="J572" s="2"/>
    </row>
    <row r="573" spans="2:10" ht="15.75" customHeight="1" x14ac:dyDescent="0.2">
      <c r="B573" s="2"/>
      <c r="C573" s="37"/>
      <c r="D573" s="37"/>
      <c r="E573" s="327"/>
      <c r="F573" s="37"/>
      <c r="G573" s="37"/>
      <c r="H573" s="2"/>
      <c r="I573" s="2"/>
      <c r="J573" s="2"/>
    </row>
    <row r="574" spans="2:10" ht="15.75" customHeight="1" x14ac:dyDescent="0.2">
      <c r="B574" s="2"/>
      <c r="C574" s="37"/>
      <c r="D574" s="37"/>
      <c r="E574" s="327"/>
      <c r="F574" s="37"/>
      <c r="G574" s="37"/>
      <c r="H574" s="2"/>
      <c r="I574" s="2"/>
      <c r="J574" s="2"/>
    </row>
    <row r="575" spans="2:10" ht="15.75" customHeight="1" x14ac:dyDescent="0.2">
      <c r="B575" s="2"/>
      <c r="C575" s="37"/>
      <c r="D575" s="37"/>
      <c r="E575" s="327"/>
      <c r="F575" s="37"/>
      <c r="G575" s="37"/>
      <c r="H575" s="2"/>
      <c r="I575" s="2"/>
      <c r="J575" s="2"/>
    </row>
    <row r="576" spans="2:10" ht="15.75" customHeight="1" x14ac:dyDescent="0.2">
      <c r="B576" s="2"/>
      <c r="C576" s="37"/>
      <c r="D576" s="37"/>
      <c r="E576" s="327"/>
      <c r="F576" s="37"/>
      <c r="G576" s="37"/>
      <c r="H576" s="2"/>
      <c r="I576" s="2"/>
      <c r="J576" s="2"/>
    </row>
    <row r="577" spans="2:10" ht="15.75" customHeight="1" x14ac:dyDescent="0.2">
      <c r="B577" s="2"/>
      <c r="C577" s="37"/>
      <c r="D577" s="37"/>
      <c r="E577" s="327"/>
      <c r="F577" s="37"/>
      <c r="G577" s="37"/>
      <c r="H577" s="2"/>
      <c r="I577" s="2"/>
      <c r="J577" s="2"/>
    </row>
    <row r="578" spans="2:10" ht="15.75" customHeight="1" x14ac:dyDescent="0.2">
      <c r="B578" s="2"/>
      <c r="C578" s="37"/>
      <c r="D578" s="37"/>
      <c r="E578" s="327"/>
      <c r="F578" s="37"/>
      <c r="G578" s="37"/>
      <c r="H578" s="2"/>
      <c r="I578" s="2"/>
      <c r="J578" s="2"/>
    </row>
    <row r="579" spans="2:10" ht="15.75" customHeight="1" x14ac:dyDescent="0.2">
      <c r="B579" s="2"/>
      <c r="C579" s="37"/>
      <c r="D579" s="37"/>
      <c r="E579" s="327"/>
      <c r="F579" s="37"/>
      <c r="G579" s="37"/>
      <c r="H579" s="2"/>
      <c r="I579" s="2"/>
      <c r="J579" s="2"/>
    </row>
    <row r="580" spans="2:10" ht="15.75" customHeight="1" x14ac:dyDescent="0.2">
      <c r="B580" s="2"/>
      <c r="C580" s="37"/>
      <c r="D580" s="37"/>
      <c r="E580" s="327"/>
      <c r="F580" s="37"/>
      <c r="G580" s="37"/>
      <c r="H580" s="2"/>
      <c r="I580" s="2"/>
      <c r="J580" s="2"/>
    </row>
    <row r="581" spans="2:10" ht="15.75" customHeight="1" x14ac:dyDescent="0.2">
      <c r="B581" s="2"/>
      <c r="C581" s="37"/>
      <c r="D581" s="37"/>
      <c r="E581" s="327"/>
      <c r="F581" s="37"/>
      <c r="G581" s="37"/>
      <c r="H581" s="2"/>
      <c r="I581" s="2"/>
      <c r="J581" s="2"/>
    </row>
    <row r="582" spans="2:10" ht="15.75" customHeight="1" x14ac:dyDescent="0.2">
      <c r="B582" s="2"/>
      <c r="C582" s="37"/>
      <c r="D582" s="37"/>
      <c r="E582" s="327"/>
      <c r="F582" s="37"/>
      <c r="G582" s="37"/>
      <c r="H582" s="2"/>
      <c r="I582" s="2"/>
      <c r="J582" s="2"/>
    </row>
    <row r="583" spans="2:10" ht="15.75" customHeight="1" x14ac:dyDescent="0.2">
      <c r="B583" s="2"/>
      <c r="C583" s="37"/>
      <c r="D583" s="37"/>
      <c r="E583" s="327"/>
      <c r="F583" s="37"/>
      <c r="G583" s="37"/>
      <c r="H583" s="2"/>
      <c r="I583" s="2"/>
      <c r="J583" s="2"/>
    </row>
    <row r="584" spans="2:10" ht="15.75" customHeight="1" x14ac:dyDescent="0.2">
      <c r="B584" s="2"/>
      <c r="C584" s="37"/>
      <c r="D584" s="37"/>
      <c r="E584" s="327"/>
      <c r="F584" s="37"/>
      <c r="G584" s="37"/>
      <c r="H584" s="2"/>
      <c r="I584" s="2"/>
      <c r="J584" s="2"/>
    </row>
    <row r="585" spans="2:10" ht="15.75" customHeight="1" x14ac:dyDescent="0.2">
      <c r="B585" s="2"/>
      <c r="C585" s="37"/>
      <c r="D585" s="37"/>
      <c r="E585" s="327"/>
      <c r="F585" s="37"/>
      <c r="G585" s="37"/>
      <c r="H585" s="2"/>
      <c r="I585" s="2"/>
      <c r="J585" s="2"/>
    </row>
    <row r="586" spans="2:10" ht="15.75" customHeight="1" x14ac:dyDescent="0.2">
      <c r="B586" s="2"/>
      <c r="C586" s="37"/>
      <c r="D586" s="37"/>
      <c r="E586" s="327"/>
      <c r="F586" s="37"/>
      <c r="G586" s="37"/>
      <c r="H586" s="2"/>
      <c r="I586" s="2"/>
      <c r="J586" s="2"/>
    </row>
    <row r="587" spans="2:10" ht="15.75" customHeight="1" x14ac:dyDescent="0.2">
      <c r="B587" s="2"/>
      <c r="C587" s="37"/>
      <c r="D587" s="37"/>
      <c r="E587" s="327"/>
      <c r="F587" s="37"/>
      <c r="G587" s="37"/>
      <c r="H587" s="2"/>
      <c r="I587" s="2"/>
      <c r="J587" s="2"/>
    </row>
    <row r="588" spans="2:10" ht="15.75" customHeight="1" x14ac:dyDescent="0.2">
      <c r="B588" s="2"/>
      <c r="C588" s="37"/>
      <c r="D588" s="37"/>
      <c r="E588" s="327"/>
      <c r="F588" s="37"/>
      <c r="G588" s="37"/>
      <c r="H588" s="2"/>
      <c r="I588" s="2"/>
      <c r="J588" s="2"/>
    </row>
    <row r="589" spans="2:10" ht="15.75" customHeight="1" x14ac:dyDescent="0.2">
      <c r="B589" s="2"/>
      <c r="C589" s="37"/>
      <c r="D589" s="37"/>
      <c r="E589" s="327"/>
      <c r="F589" s="37"/>
      <c r="G589" s="37"/>
      <c r="H589" s="2"/>
      <c r="I589" s="2"/>
      <c r="J589" s="2"/>
    </row>
    <row r="590" spans="2:10" ht="15.75" customHeight="1" x14ac:dyDescent="0.2">
      <c r="B590" s="2"/>
      <c r="C590" s="37"/>
      <c r="D590" s="37"/>
      <c r="E590" s="327"/>
      <c r="F590" s="37"/>
      <c r="G590" s="37"/>
      <c r="H590" s="2"/>
      <c r="I590" s="2"/>
      <c r="J590" s="2"/>
    </row>
    <row r="591" spans="2:10" ht="15.75" customHeight="1" x14ac:dyDescent="0.2">
      <c r="B591" s="2"/>
      <c r="C591" s="37"/>
      <c r="D591" s="37"/>
      <c r="E591" s="327"/>
      <c r="F591" s="37"/>
      <c r="G591" s="37"/>
      <c r="H591" s="2"/>
      <c r="I591" s="2"/>
      <c r="J591" s="2"/>
    </row>
    <row r="592" spans="2:10" ht="15.75" customHeight="1" x14ac:dyDescent="0.2">
      <c r="B592" s="2"/>
      <c r="C592" s="37"/>
      <c r="D592" s="37"/>
      <c r="E592" s="327"/>
      <c r="F592" s="37"/>
      <c r="G592" s="37"/>
      <c r="H592" s="2"/>
      <c r="I592" s="2"/>
      <c r="J592" s="2"/>
    </row>
    <row r="593" spans="2:10" ht="15.75" customHeight="1" x14ac:dyDescent="0.2">
      <c r="B593" s="2"/>
      <c r="C593" s="37"/>
      <c r="D593" s="37"/>
      <c r="E593" s="327"/>
      <c r="F593" s="37"/>
      <c r="G593" s="37"/>
      <c r="H593" s="2"/>
      <c r="I593" s="2"/>
      <c r="J593" s="2"/>
    </row>
    <row r="594" spans="2:10" ht="15.75" customHeight="1" x14ac:dyDescent="0.2">
      <c r="B594" s="2"/>
      <c r="C594" s="37"/>
      <c r="D594" s="37"/>
      <c r="E594" s="327"/>
      <c r="F594" s="37"/>
      <c r="G594" s="37"/>
      <c r="H594" s="2"/>
      <c r="I594" s="2"/>
      <c r="J594" s="2"/>
    </row>
    <row r="595" spans="2:10" ht="15.75" customHeight="1" x14ac:dyDescent="0.2">
      <c r="B595" s="2"/>
      <c r="C595" s="37"/>
      <c r="D595" s="37"/>
      <c r="E595" s="327"/>
      <c r="F595" s="37"/>
      <c r="G595" s="37"/>
      <c r="H595" s="2"/>
      <c r="I595" s="2"/>
      <c r="J595" s="2"/>
    </row>
    <row r="596" spans="2:10" ht="15.75" customHeight="1" x14ac:dyDescent="0.2">
      <c r="B596" s="2"/>
      <c r="C596" s="37"/>
      <c r="D596" s="37"/>
      <c r="E596" s="327"/>
      <c r="F596" s="37"/>
      <c r="G596" s="37"/>
      <c r="H596" s="2"/>
      <c r="I596" s="2"/>
      <c r="J596" s="2"/>
    </row>
    <row r="597" spans="2:10" ht="15.75" customHeight="1" x14ac:dyDescent="0.2">
      <c r="B597" s="2"/>
      <c r="C597" s="37"/>
      <c r="D597" s="37"/>
      <c r="E597" s="327"/>
      <c r="F597" s="37"/>
      <c r="G597" s="37"/>
      <c r="H597" s="2"/>
      <c r="I597" s="2"/>
      <c r="J597" s="2"/>
    </row>
    <row r="598" spans="2:10" ht="15.75" customHeight="1" x14ac:dyDescent="0.2">
      <c r="B598" s="2"/>
      <c r="C598" s="37"/>
      <c r="D598" s="37"/>
      <c r="E598" s="327"/>
      <c r="F598" s="37"/>
      <c r="G598" s="37"/>
      <c r="H598" s="2"/>
      <c r="I598" s="2"/>
      <c r="J598" s="2"/>
    </row>
    <row r="599" spans="2:10" ht="15.75" customHeight="1" x14ac:dyDescent="0.2">
      <c r="B599" s="2"/>
      <c r="C599" s="37"/>
      <c r="D599" s="37"/>
      <c r="E599" s="327"/>
      <c r="F599" s="37"/>
      <c r="G599" s="37"/>
      <c r="H599" s="2"/>
      <c r="I599" s="2"/>
      <c r="J599" s="2"/>
    </row>
    <row r="600" spans="2:10" ht="15.75" customHeight="1" x14ac:dyDescent="0.2">
      <c r="B600" s="2"/>
      <c r="C600" s="37"/>
      <c r="D600" s="37"/>
      <c r="E600" s="327"/>
      <c r="F600" s="37"/>
      <c r="G600" s="37"/>
      <c r="H600" s="2"/>
      <c r="I600" s="2"/>
      <c r="J600" s="2"/>
    </row>
    <row r="601" spans="2:10" ht="15.75" customHeight="1" x14ac:dyDescent="0.2">
      <c r="B601" s="2"/>
      <c r="C601" s="37"/>
      <c r="D601" s="37"/>
      <c r="E601" s="327"/>
      <c r="F601" s="37"/>
      <c r="G601" s="37"/>
      <c r="H601" s="2"/>
      <c r="I601" s="2"/>
      <c r="J601" s="2"/>
    </row>
    <row r="602" spans="2:10" ht="15.75" customHeight="1" x14ac:dyDescent="0.2">
      <c r="B602" s="2"/>
      <c r="C602" s="37"/>
      <c r="D602" s="37"/>
      <c r="E602" s="327"/>
      <c r="F602" s="37"/>
      <c r="G602" s="37"/>
      <c r="H602" s="2"/>
      <c r="I602" s="2"/>
      <c r="J602" s="2"/>
    </row>
    <row r="603" spans="2:10" ht="15.75" customHeight="1" x14ac:dyDescent="0.2">
      <c r="B603" s="2"/>
      <c r="C603" s="37"/>
      <c r="D603" s="37"/>
      <c r="E603" s="327"/>
      <c r="F603" s="37"/>
      <c r="G603" s="37"/>
      <c r="H603" s="2"/>
      <c r="I603" s="2"/>
      <c r="J603" s="2"/>
    </row>
    <row r="604" spans="2:10" ht="15.75" customHeight="1" x14ac:dyDescent="0.2">
      <c r="B604" s="2"/>
      <c r="C604" s="37"/>
      <c r="D604" s="37"/>
      <c r="E604" s="327"/>
      <c r="F604" s="37"/>
      <c r="G604" s="37"/>
      <c r="H604" s="2"/>
      <c r="I604" s="2"/>
      <c r="J604" s="2"/>
    </row>
    <row r="605" spans="2:10" ht="15.75" customHeight="1" x14ac:dyDescent="0.2">
      <c r="B605" s="2"/>
      <c r="C605" s="37"/>
      <c r="D605" s="37"/>
      <c r="E605" s="327"/>
      <c r="F605" s="37"/>
      <c r="G605" s="37"/>
      <c r="H605" s="2"/>
      <c r="I605" s="2"/>
      <c r="J605" s="2"/>
    </row>
    <row r="606" spans="2:10" ht="15.75" customHeight="1" x14ac:dyDescent="0.2">
      <c r="B606" s="2"/>
      <c r="C606" s="37"/>
      <c r="D606" s="37"/>
      <c r="E606" s="327"/>
      <c r="F606" s="37"/>
      <c r="G606" s="37"/>
      <c r="H606" s="2"/>
      <c r="I606" s="2"/>
      <c r="J606" s="2"/>
    </row>
    <row r="607" spans="2:10" ht="15.75" customHeight="1" x14ac:dyDescent="0.2">
      <c r="B607" s="2"/>
      <c r="C607" s="37"/>
      <c r="D607" s="37"/>
      <c r="E607" s="327"/>
      <c r="F607" s="37"/>
      <c r="G607" s="37"/>
      <c r="H607" s="2"/>
      <c r="I607" s="2"/>
      <c r="J607" s="2"/>
    </row>
    <row r="608" spans="2:10" ht="15.75" customHeight="1" x14ac:dyDescent="0.2">
      <c r="B608" s="2"/>
      <c r="C608" s="37"/>
      <c r="D608" s="37"/>
      <c r="E608" s="327"/>
      <c r="F608" s="37"/>
      <c r="G608" s="37"/>
      <c r="H608" s="2"/>
      <c r="I608" s="2"/>
      <c r="J608" s="2"/>
    </row>
    <row r="609" spans="2:10" ht="15.75" customHeight="1" x14ac:dyDescent="0.2">
      <c r="B609" s="2"/>
      <c r="C609" s="37"/>
      <c r="D609" s="37"/>
      <c r="E609" s="327"/>
      <c r="F609" s="37"/>
      <c r="G609" s="37"/>
      <c r="H609" s="2"/>
      <c r="I609" s="2"/>
      <c r="J609" s="2"/>
    </row>
    <row r="610" spans="2:10" ht="15.75" customHeight="1" x14ac:dyDescent="0.2">
      <c r="B610" s="2"/>
      <c r="C610" s="37"/>
      <c r="D610" s="37"/>
      <c r="E610" s="327"/>
      <c r="F610" s="37"/>
      <c r="G610" s="37"/>
      <c r="H610" s="2"/>
      <c r="I610" s="2"/>
      <c r="J610" s="2"/>
    </row>
    <row r="611" spans="2:10" ht="15.75" customHeight="1" x14ac:dyDescent="0.2">
      <c r="B611" s="2"/>
      <c r="C611" s="37"/>
      <c r="D611" s="37"/>
      <c r="E611" s="327"/>
      <c r="F611" s="37"/>
      <c r="G611" s="37"/>
      <c r="H611" s="2"/>
      <c r="I611" s="2"/>
      <c r="J611" s="2"/>
    </row>
    <row r="612" spans="2:10" ht="15.75" customHeight="1" x14ac:dyDescent="0.2">
      <c r="B612" s="2"/>
      <c r="C612" s="37"/>
      <c r="D612" s="37"/>
      <c r="E612" s="327"/>
      <c r="F612" s="37"/>
      <c r="G612" s="37"/>
      <c r="H612" s="2"/>
      <c r="I612" s="2"/>
      <c r="J612" s="2"/>
    </row>
    <row r="613" spans="2:10" ht="15.75" customHeight="1" x14ac:dyDescent="0.2">
      <c r="B613" s="2"/>
      <c r="C613" s="37"/>
      <c r="D613" s="37"/>
      <c r="E613" s="327"/>
      <c r="F613" s="37"/>
      <c r="G613" s="37"/>
      <c r="H613" s="2"/>
      <c r="I613" s="2"/>
      <c r="J613" s="2"/>
    </row>
    <row r="614" spans="2:10" ht="15.75" customHeight="1" x14ac:dyDescent="0.2">
      <c r="B614" s="2"/>
      <c r="C614" s="37"/>
      <c r="D614" s="37"/>
      <c r="E614" s="327"/>
      <c r="F614" s="37"/>
      <c r="G614" s="37"/>
      <c r="H614" s="2"/>
      <c r="I614" s="2"/>
      <c r="J614" s="2"/>
    </row>
    <row r="615" spans="2:10" ht="15.75" customHeight="1" x14ac:dyDescent="0.2">
      <c r="B615" s="2"/>
      <c r="C615" s="37"/>
      <c r="D615" s="37"/>
      <c r="E615" s="327"/>
      <c r="F615" s="37"/>
      <c r="G615" s="37"/>
      <c r="H615" s="2"/>
      <c r="I615" s="2"/>
      <c r="J615" s="2"/>
    </row>
    <row r="616" spans="2:10" ht="15.75" customHeight="1" x14ac:dyDescent="0.2">
      <c r="B616" s="2"/>
      <c r="C616" s="37"/>
      <c r="D616" s="37"/>
      <c r="E616" s="327"/>
      <c r="F616" s="37"/>
      <c r="G616" s="37"/>
      <c r="H616" s="2"/>
      <c r="I616" s="2"/>
      <c r="J616" s="2"/>
    </row>
    <row r="617" spans="2:10" ht="15.75" customHeight="1" x14ac:dyDescent="0.2">
      <c r="B617" s="2"/>
      <c r="C617" s="37"/>
      <c r="D617" s="37"/>
      <c r="E617" s="327"/>
      <c r="F617" s="37"/>
      <c r="G617" s="37"/>
      <c r="H617" s="2"/>
      <c r="I617" s="2"/>
      <c r="J617" s="2"/>
    </row>
    <row r="618" spans="2:10" ht="15.75" customHeight="1" x14ac:dyDescent="0.2">
      <c r="B618" s="2"/>
      <c r="C618" s="37"/>
      <c r="D618" s="37"/>
      <c r="E618" s="327"/>
      <c r="F618" s="37"/>
      <c r="G618" s="37"/>
      <c r="H618" s="2"/>
      <c r="I618" s="2"/>
      <c r="J618" s="2"/>
    </row>
    <row r="619" spans="2:10" ht="15.75" customHeight="1" x14ac:dyDescent="0.2">
      <c r="B619" s="2"/>
      <c r="C619" s="37"/>
      <c r="D619" s="37"/>
      <c r="E619" s="327"/>
      <c r="F619" s="37"/>
      <c r="G619" s="37"/>
      <c r="H619" s="2"/>
      <c r="I619" s="2"/>
      <c r="J619" s="2"/>
    </row>
    <row r="620" spans="2:10" ht="15.75" customHeight="1" x14ac:dyDescent="0.2">
      <c r="B620" s="2"/>
      <c r="C620" s="37"/>
      <c r="D620" s="37"/>
      <c r="E620" s="327"/>
      <c r="F620" s="37"/>
      <c r="G620" s="37"/>
      <c r="H620" s="2"/>
      <c r="I620" s="2"/>
      <c r="J620" s="2"/>
    </row>
    <row r="621" spans="2:10" ht="15.75" customHeight="1" x14ac:dyDescent="0.2">
      <c r="B621" s="2"/>
      <c r="C621" s="37"/>
      <c r="D621" s="37"/>
      <c r="E621" s="327"/>
      <c r="F621" s="37"/>
      <c r="G621" s="37"/>
      <c r="H621" s="2"/>
      <c r="I621" s="2"/>
      <c r="J621" s="2"/>
    </row>
    <row r="622" spans="2:10" ht="15.75" customHeight="1" x14ac:dyDescent="0.2">
      <c r="B622" s="2"/>
      <c r="C622" s="37"/>
      <c r="D622" s="37"/>
      <c r="E622" s="327"/>
      <c r="F622" s="37"/>
      <c r="G622" s="37"/>
      <c r="H622" s="2"/>
      <c r="I622" s="2"/>
      <c r="J622" s="2"/>
    </row>
    <row r="623" spans="2:10" ht="15.75" customHeight="1" x14ac:dyDescent="0.2">
      <c r="B623" s="2"/>
      <c r="C623" s="37"/>
      <c r="D623" s="37"/>
      <c r="E623" s="327"/>
      <c r="F623" s="37"/>
      <c r="G623" s="37"/>
      <c r="H623" s="2"/>
      <c r="I623" s="2"/>
      <c r="J623" s="2"/>
    </row>
    <row r="624" spans="2:10" ht="15.75" customHeight="1" x14ac:dyDescent="0.2">
      <c r="B624" s="2"/>
      <c r="C624" s="37"/>
      <c r="D624" s="37"/>
      <c r="E624" s="327"/>
      <c r="F624" s="37"/>
      <c r="G624" s="37"/>
      <c r="H624" s="2"/>
      <c r="I624" s="2"/>
      <c r="J624" s="2"/>
    </row>
    <row r="625" spans="2:10" ht="15.75" customHeight="1" x14ac:dyDescent="0.2">
      <c r="B625" s="2"/>
      <c r="C625" s="37"/>
      <c r="D625" s="37"/>
      <c r="E625" s="327"/>
      <c r="F625" s="37"/>
      <c r="G625" s="37"/>
      <c r="H625" s="2"/>
      <c r="I625" s="2"/>
      <c r="J625" s="2"/>
    </row>
    <row r="626" spans="2:10" ht="15.75" customHeight="1" x14ac:dyDescent="0.2">
      <c r="B626" s="2"/>
      <c r="C626" s="37"/>
      <c r="D626" s="37"/>
      <c r="E626" s="327"/>
      <c r="F626" s="37"/>
      <c r="G626" s="37"/>
      <c r="H626" s="2"/>
      <c r="I626" s="2"/>
      <c r="J626" s="2"/>
    </row>
    <row r="627" spans="2:10" ht="15.75" customHeight="1" x14ac:dyDescent="0.2">
      <c r="B627" s="2"/>
      <c r="C627" s="37"/>
      <c r="D627" s="37"/>
      <c r="E627" s="327"/>
      <c r="F627" s="37"/>
      <c r="G627" s="37"/>
      <c r="H627" s="2"/>
      <c r="I627" s="2"/>
      <c r="J627" s="2"/>
    </row>
    <row r="628" spans="2:10" ht="15.75" customHeight="1" x14ac:dyDescent="0.2">
      <c r="B628" s="2"/>
      <c r="C628" s="37"/>
      <c r="D628" s="37"/>
      <c r="E628" s="327"/>
      <c r="F628" s="37"/>
      <c r="G628" s="37"/>
      <c r="H628" s="2"/>
      <c r="I628" s="2"/>
      <c r="J628" s="2"/>
    </row>
    <row r="629" spans="2:10" ht="15.75" customHeight="1" x14ac:dyDescent="0.2">
      <c r="B629" s="2"/>
      <c r="C629" s="37"/>
      <c r="D629" s="37"/>
      <c r="E629" s="327"/>
      <c r="F629" s="37"/>
      <c r="G629" s="37"/>
      <c r="H629" s="2"/>
      <c r="I629" s="2"/>
      <c r="J629" s="2"/>
    </row>
    <row r="630" spans="2:10" ht="15.75" customHeight="1" x14ac:dyDescent="0.2">
      <c r="B630" s="2"/>
      <c r="C630" s="37"/>
      <c r="D630" s="37"/>
      <c r="E630" s="327"/>
      <c r="F630" s="37"/>
      <c r="G630" s="37"/>
      <c r="H630" s="2"/>
      <c r="I630" s="2"/>
      <c r="J630" s="2"/>
    </row>
    <row r="631" spans="2:10" ht="15.75" customHeight="1" x14ac:dyDescent="0.2">
      <c r="B631" s="2"/>
      <c r="C631" s="37"/>
      <c r="D631" s="37"/>
      <c r="E631" s="327"/>
      <c r="F631" s="37"/>
      <c r="G631" s="37"/>
      <c r="H631" s="2"/>
      <c r="I631" s="2"/>
      <c r="J631" s="2"/>
    </row>
    <row r="632" spans="2:10" ht="15.75" customHeight="1" x14ac:dyDescent="0.2">
      <c r="B632" s="2"/>
      <c r="C632" s="37"/>
      <c r="D632" s="37"/>
      <c r="E632" s="327"/>
      <c r="F632" s="37"/>
      <c r="G632" s="37"/>
      <c r="H632" s="2"/>
      <c r="I632" s="2"/>
      <c r="J632" s="2"/>
    </row>
    <row r="633" spans="2:10" ht="15.75" customHeight="1" x14ac:dyDescent="0.2">
      <c r="B633" s="2"/>
      <c r="C633" s="37"/>
      <c r="D633" s="37"/>
      <c r="E633" s="327"/>
      <c r="F633" s="37"/>
      <c r="G633" s="37"/>
      <c r="H633" s="2"/>
      <c r="I633" s="2"/>
      <c r="J633" s="2"/>
    </row>
    <row r="634" spans="2:10" ht="15.75" customHeight="1" x14ac:dyDescent="0.2">
      <c r="B634" s="2"/>
      <c r="C634" s="37"/>
      <c r="D634" s="37"/>
      <c r="E634" s="327"/>
      <c r="F634" s="37"/>
      <c r="G634" s="37"/>
      <c r="H634" s="2"/>
      <c r="I634" s="2"/>
      <c r="J634" s="2"/>
    </row>
    <row r="635" spans="2:10" ht="15.75" customHeight="1" x14ac:dyDescent="0.2">
      <c r="B635" s="2"/>
      <c r="C635" s="37"/>
      <c r="D635" s="37"/>
      <c r="E635" s="327"/>
      <c r="F635" s="37"/>
      <c r="G635" s="37"/>
      <c r="H635" s="2"/>
      <c r="I635" s="2"/>
      <c r="J635" s="2"/>
    </row>
    <row r="636" spans="2:10" ht="15.75" customHeight="1" x14ac:dyDescent="0.2">
      <c r="B636" s="2"/>
      <c r="C636" s="37"/>
      <c r="D636" s="37"/>
      <c r="E636" s="327"/>
      <c r="F636" s="37"/>
      <c r="G636" s="37"/>
      <c r="H636" s="2"/>
      <c r="I636" s="2"/>
      <c r="J636" s="2"/>
    </row>
    <row r="637" spans="2:10" ht="15.75" customHeight="1" x14ac:dyDescent="0.2">
      <c r="B637" s="2"/>
      <c r="C637" s="37"/>
      <c r="D637" s="37"/>
      <c r="E637" s="327"/>
      <c r="F637" s="37"/>
      <c r="G637" s="37"/>
      <c r="H637" s="2"/>
      <c r="I637" s="2"/>
      <c r="J637" s="2"/>
    </row>
    <row r="638" spans="2:10" ht="15.75" customHeight="1" x14ac:dyDescent="0.2">
      <c r="B638" s="2"/>
      <c r="C638" s="37"/>
      <c r="D638" s="37"/>
      <c r="E638" s="327"/>
      <c r="F638" s="37"/>
      <c r="G638" s="37"/>
      <c r="H638" s="2"/>
      <c r="I638" s="2"/>
      <c r="J638" s="2"/>
    </row>
    <row r="639" spans="2:10" ht="15.75" customHeight="1" x14ac:dyDescent="0.2">
      <c r="B639" s="2"/>
      <c r="C639" s="37"/>
      <c r="D639" s="37"/>
      <c r="E639" s="327"/>
      <c r="F639" s="37"/>
      <c r="G639" s="37"/>
      <c r="H639" s="2"/>
      <c r="I639" s="2"/>
      <c r="J639" s="2"/>
    </row>
    <row r="640" spans="2:10" ht="15.75" customHeight="1" x14ac:dyDescent="0.2">
      <c r="B640" s="2"/>
      <c r="C640" s="37"/>
      <c r="D640" s="37"/>
      <c r="E640" s="327"/>
      <c r="F640" s="37"/>
      <c r="G640" s="37"/>
      <c r="H640" s="2"/>
      <c r="I640" s="2"/>
      <c r="J640" s="2"/>
    </row>
    <row r="641" spans="2:10" ht="15.75" customHeight="1" x14ac:dyDescent="0.2">
      <c r="B641" s="2"/>
      <c r="C641" s="37"/>
      <c r="D641" s="37"/>
      <c r="E641" s="327"/>
      <c r="F641" s="37"/>
      <c r="G641" s="37"/>
      <c r="H641" s="2"/>
      <c r="I641" s="2"/>
      <c r="J641" s="2"/>
    </row>
    <row r="642" spans="2:10" ht="15.75" customHeight="1" x14ac:dyDescent="0.2">
      <c r="B642" s="2"/>
      <c r="C642" s="37"/>
      <c r="D642" s="37"/>
      <c r="E642" s="327"/>
      <c r="F642" s="37"/>
      <c r="G642" s="37"/>
      <c r="H642" s="2"/>
      <c r="I642" s="2"/>
      <c r="J642" s="2"/>
    </row>
    <row r="643" spans="2:10" ht="15.75" customHeight="1" x14ac:dyDescent="0.2">
      <c r="B643" s="2"/>
      <c r="C643" s="37"/>
      <c r="D643" s="37"/>
      <c r="E643" s="327"/>
      <c r="F643" s="37"/>
      <c r="G643" s="37"/>
      <c r="H643" s="2"/>
      <c r="I643" s="2"/>
      <c r="J643" s="2"/>
    </row>
    <row r="644" spans="2:10" ht="15.75" customHeight="1" x14ac:dyDescent="0.2">
      <c r="B644" s="2"/>
      <c r="C644" s="37"/>
      <c r="D644" s="37"/>
      <c r="E644" s="327"/>
      <c r="F644" s="37"/>
      <c r="G644" s="37"/>
      <c r="H644" s="2"/>
      <c r="I644" s="2"/>
      <c r="J644" s="2"/>
    </row>
    <row r="645" spans="2:10" ht="15.75" customHeight="1" x14ac:dyDescent="0.2">
      <c r="B645" s="2"/>
      <c r="C645" s="37"/>
      <c r="D645" s="37"/>
      <c r="E645" s="327"/>
      <c r="F645" s="37"/>
      <c r="G645" s="37"/>
      <c r="H645" s="2"/>
      <c r="I645" s="2"/>
      <c r="J645" s="2"/>
    </row>
    <row r="646" spans="2:10" ht="15.75" customHeight="1" x14ac:dyDescent="0.2">
      <c r="B646" s="2"/>
      <c r="C646" s="37"/>
      <c r="D646" s="37"/>
      <c r="E646" s="327"/>
      <c r="F646" s="37"/>
      <c r="G646" s="37"/>
      <c r="H646" s="2"/>
      <c r="I646" s="2"/>
      <c r="J646" s="2"/>
    </row>
    <row r="647" spans="2:10" ht="15.75" customHeight="1" x14ac:dyDescent="0.2">
      <c r="B647" s="2"/>
      <c r="C647" s="37"/>
      <c r="D647" s="37"/>
      <c r="E647" s="327"/>
      <c r="F647" s="37"/>
      <c r="G647" s="37"/>
      <c r="H647" s="2"/>
      <c r="I647" s="2"/>
      <c r="J647" s="2"/>
    </row>
    <row r="648" spans="2:10" ht="15.75" customHeight="1" x14ac:dyDescent="0.2">
      <c r="B648" s="2"/>
      <c r="C648" s="37"/>
      <c r="D648" s="37"/>
      <c r="E648" s="327"/>
      <c r="F648" s="37"/>
      <c r="G648" s="37"/>
      <c r="H648" s="2"/>
      <c r="I648" s="2"/>
      <c r="J648" s="2"/>
    </row>
    <row r="649" spans="2:10" ht="15.75" customHeight="1" x14ac:dyDescent="0.2">
      <c r="B649" s="2"/>
      <c r="C649" s="37"/>
      <c r="D649" s="37"/>
      <c r="E649" s="327"/>
      <c r="F649" s="37"/>
      <c r="G649" s="37"/>
      <c r="H649" s="2"/>
      <c r="I649" s="2"/>
      <c r="J649" s="2"/>
    </row>
    <row r="650" spans="2:10" ht="15.75" customHeight="1" x14ac:dyDescent="0.2">
      <c r="B650" s="2"/>
      <c r="C650" s="37"/>
      <c r="D650" s="37"/>
      <c r="E650" s="327"/>
      <c r="F650" s="37"/>
      <c r="G650" s="37"/>
      <c r="H650" s="2"/>
      <c r="I650" s="2"/>
      <c r="J650" s="2"/>
    </row>
    <row r="651" spans="2:10" ht="15.75" customHeight="1" x14ac:dyDescent="0.2">
      <c r="B651" s="2"/>
      <c r="C651" s="37"/>
      <c r="D651" s="37"/>
      <c r="E651" s="327"/>
      <c r="F651" s="37"/>
      <c r="G651" s="37"/>
      <c r="H651" s="2"/>
      <c r="I651" s="2"/>
      <c r="J651" s="2"/>
    </row>
    <row r="652" spans="2:10" ht="15.75" customHeight="1" x14ac:dyDescent="0.2">
      <c r="B652" s="2"/>
      <c r="C652" s="37"/>
      <c r="D652" s="37"/>
      <c r="E652" s="327"/>
      <c r="F652" s="37"/>
      <c r="G652" s="37"/>
      <c r="H652" s="2"/>
      <c r="I652" s="2"/>
      <c r="J652" s="2"/>
    </row>
    <row r="653" spans="2:10" ht="15.75" customHeight="1" x14ac:dyDescent="0.2">
      <c r="B653" s="2"/>
      <c r="C653" s="37"/>
      <c r="D653" s="37"/>
      <c r="E653" s="327"/>
      <c r="F653" s="37"/>
      <c r="G653" s="37"/>
      <c r="H653" s="2"/>
      <c r="I653" s="2"/>
      <c r="J653" s="2"/>
    </row>
    <row r="654" spans="2:10" ht="15.75" customHeight="1" x14ac:dyDescent="0.2">
      <c r="B654" s="2"/>
      <c r="C654" s="37"/>
      <c r="D654" s="37"/>
      <c r="E654" s="327"/>
      <c r="F654" s="37"/>
      <c r="G654" s="37"/>
      <c r="H654" s="2"/>
      <c r="I654" s="2"/>
      <c r="J654" s="2"/>
    </row>
    <row r="655" spans="2:10" ht="15.75" customHeight="1" x14ac:dyDescent="0.2">
      <c r="B655" s="2"/>
      <c r="C655" s="37"/>
      <c r="D655" s="37"/>
      <c r="E655" s="327"/>
      <c r="F655" s="37"/>
      <c r="G655" s="37"/>
      <c r="H655" s="2"/>
      <c r="I655" s="2"/>
      <c r="J655" s="2"/>
    </row>
    <row r="656" spans="2:10" ht="15.75" customHeight="1" x14ac:dyDescent="0.2">
      <c r="B656" s="2"/>
      <c r="C656" s="37"/>
      <c r="D656" s="37"/>
      <c r="E656" s="327"/>
      <c r="F656" s="37"/>
      <c r="G656" s="37"/>
      <c r="H656" s="2"/>
      <c r="I656" s="2"/>
      <c r="J656" s="2"/>
    </row>
    <row r="657" spans="2:10" ht="15.75" customHeight="1" x14ac:dyDescent="0.2">
      <c r="B657" s="2"/>
      <c r="C657" s="37"/>
      <c r="D657" s="37"/>
      <c r="E657" s="327"/>
      <c r="F657" s="37"/>
      <c r="G657" s="37"/>
      <c r="H657" s="2"/>
      <c r="I657" s="2"/>
      <c r="J657" s="2"/>
    </row>
    <row r="658" spans="2:10" ht="15.75" customHeight="1" x14ac:dyDescent="0.2">
      <c r="B658" s="2"/>
      <c r="C658" s="37"/>
      <c r="D658" s="37"/>
      <c r="E658" s="327"/>
      <c r="F658" s="37"/>
      <c r="G658" s="37"/>
      <c r="H658" s="2"/>
      <c r="I658" s="2"/>
      <c r="J658" s="2"/>
    </row>
    <row r="659" spans="2:10" ht="15.75" customHeight="1" x14ac:dyDescent="0.2">
      <c r="B659" s="2"/>
      <c r="C659" s="37"/>
      <c r="D659" s="37"/>
      <c r="E659" s="327"/>
      <c r="F659" s="37"/>
      <c r="G659" s="37"/>
      <c r="H659" s="2"/>
      <c r="I659" s="2"/>
      <c r="J659" s="2"/>
    </row>
    <row r="660" spans="2:10" ht="15.75" customHeight="1" x14ac:dyDescent="0.2">
      <c r="B660" s="2"/>
      <c r="C660" s="37"/>
      <c r="D660" s="37"/>
      <c r="E660" s="327"/>
      <c r="F660" s="37"/>
      <c r="G660" s="37"/>
      <c r="H660" s="2"/>
      <c r="I660" s="2"/>
      <c r="J660" s="2"/>
    </row>
    <row r="661" spans="2:10" ht="15.75" customHeight="1" x14ac:dyDescent="0.2">
      <c r="B661" s="2"/>
      <c r="C661" s="37"/>
      <c r="D661" s="37"/>
      <c r="E661" s="327"/>
      <c r="F661" s="37"/>
      <c r="G661" s="37"/>
      <c r="H661" s="2"/>
      <c r="I661" s="2"/>
      <c r="J661" s="2"/>
    </row>
    <row r="662" spans="2:10" ht="15.75" customHeight="1" x14ac:dyDescent="0.2">
      <c r="B662" s="2"/>
      <c r="C662" s="37"/>
      <c r="D662" s="37"/>
      <c r="E662" s="327"/>
      <c r="F662" s="37"/>
      <c r="G662" s="37"/>
      <c r="H662" s="2"/>
      <c r="I662" s="2"/>
      <c r="J662" s="2"/>
    </row>
    <row r="663" spans="2:10" ht="15.75" customHeight="1" x14ac:dyDescent="0.2">
      <c r="B663" s="2"/>
      <c r="C663" s="37"/>
      <c r="D663" s="37"/>
      <c r="E663" s="327"/>
      <c r="F663" s="37"/>
      <c r="G663" s="37"/>
      <c r="H663" s="2"/>
      <c r="I663" s="2"/>
      <c r="J663" s="2"/>
    </row>
    <row r="664" spans="2:10" ht="15.75" customHeight="1" x14ac:dyDescent="0.2">
      <c r="B664" s="2"/>
      <c r="C664" s="37"/>
      <c r="D664" s="37"/>
      <c r="E664" s="327"/>
      <c r="F664" s="37"/>
      <c r="G664" s="37"/>
      <c r="H664" s="2"/>
      <c r="I664" s="2"/>
      <c r="J664" s="2"/>
    </row>
    <row r="665" spans="2:10" ht="15.75" customHeight="1" x14ac:dyDescent="0.2">
      <c r="B665" s="2"/>
      <c r="C665" s="37"/>
      <c r="D665" s="37"/>
      <c r="E665" s="327"/>
      <c r="F665" s="37"/>
      <c r="G665" s="37"/>
      <c r="H665" s="2"/>
      <c r="I665" s="2"/>
      <c r="J665" s="2"/>
    </row>
    <row r="666" spans="2:10" ht="15.75" customHeight="1" x14ac:dyDescent="0.2">
      <c r="B666" s="2"/>
      <c r="C666" s="37"/>
      <c r="D666" s="37"/>
      <c r="E666" s="327"/>
      <c r="F666" s="37"/>
      <c r="G666" s="37"/>
      <c r="H666" s="2"/>
      <c r="I666" s="2"/>
      <c r="J666" s="2"/>
    </row>
    <row r="667" spans="2:10" ht="15.75" customHeight="1" x14ac:dyDescent="0.2">
      <c r="B667" s="2"/>
      <c r="C667" s="37"/>
      <c r="D667" s="37"/>
      <c r="E667" s="327"/>
      <c r="F667" s="37"/>
      <c r="G667" s="37"/>
      <c r="H667" s="2"/>
      <c r="I667" s="2"/>
      <c r="J667" s="2"/>
    </row>
    <row r="668" spans="2:10" ht="15.75" customHeight="1" x14ac:dyDescent="0.2">
      <c r="B668" s="2"/>
      <c r="C668" s="37"/>
      <c r="D668" s="37"/>
      <c r="E668" s="327"/>
      <c r="F668" s="37"/>
      <c r="G668" s="37"/>
      <c r="H668" s="2"/>
      <c r="I668" s="2"/>
      <c r="J668" s="2"/>
    </row>
    <row r="669" spans="2:10" ht="15.75" customHeight="1" x14ac:dyDescent="0.2">
      <c r="B669" s="2"/>
      <c r="C669" s="37"/>
      <c r="D669" s="37"/>
      <c r="E669" s="327"/>
      <c r="F669" s="37"/>
      <c r="G669" s="37"/>
      <c r="H669" s="2"/>
      <c r="I669" s="2"/>
      <c r="J669" s="2"/>
    </row>
    <row r="670" spans="2:10" ht="15.75" customHeight="1" x14ac:dyDescent="0.2">
      <c r="B670" s="2"/>
      <c r="C670" s="37"/>
      <c r="D670" s="37"/>
      <c r="E670" s="327"/>
      <c r="F670" s="37"/>
      <c r="G670" s="37"/>
      <c r="H670" s="2"/>
      <c r="I670" s="2"/>
      <c r="J670" s="2"/>
    </row>
    <row r="671" spans="2:10" ht="15.75" customHeight="1" x14ac:dyDescent="0.2">
      <c r="B671" s="2"/>
      <c r="C671" s="37"/>
      <c r="D671" s="37"/>
      <c r="E671" s="327"/>
      <c r="F671" s="37"/>
      <c r="G671" s="37"/>
      <c r="H671" s="2"/>
      <c r="I671" s="2"/>
      <c r="J671" s="2"/>
    </row>
    <row r="672" spans="2:10" ht="15.75" customHeight="1" x14ac:dyDescent="0.2">
      <c r="B672" s="2"/>
      <c r="C672" s="37"/>
      <c r="D672" s="37"/>
      <c r="E672" s="327"/>
      <c r="F672" s="37"/>
      <c r="G672" s="37"/>
      <c r="H672" s="2"/>
      <c r="I672" s="2"/>
      <c r="J672" s="2"/>
    </row>
    <row r="673" spans="2:10" ht="15.75" customHeight="1" x14ac:dyDescent="0.2">
      <c r="B673" s="2"/>
      <c r="C673" s="37"/>
      <c r="D673" s="37"/>
      <c r="E673" s="327"/>
      <c r="F673" s="37"/>
      <c r="G673" s="37"/>
      <c r="H673" s="2"/>
      <c r="I673" s="2"/>
      <c r="J673" s="2"/>
    </row>
    <row r="674" spans="2:10" ht="15.75" customHeight="1" x14ac:dyDescent="0.2">
      <c r="B674" s="2"/>
      <c r="C674" s="37"/>
      <c r="D674" s="37"/>
      <c r="E674" s="327"/>
      <c r="F674" s="37"/>
      <c r="G674" s="37"/>
      <c r="H674" s="2"/>
      <c r="I674" s="2"/>
      <c r="J674" s="2"/>
    </row>
    <row r="675" spans="2:10" ht="15.75" customHeight="1" x14ac:dyDescent="0.2">
      <c r="B675" s="2"/>
      <c r="C675" s="37"/>
      <c r="D675" s="37"/>
      <c r="E675" s="327"/>
      <c r="F675" s="37"/>
      <c r="G675" s="37"/>
      <c r="H675" s="2"/>
      <c r="I675" s="2"/>
      <c r="J675" s="2"/>
    </row>
    <row r="676" spans="2:10" ht="15.75" customHeight="1" x14ac:dyDescent="0.2">
      <c r="B676" s="2"/>
      <c r="C676" s="37"/>
      <c r="D676" s="37"/>
      <c r="E676" s="327"/>
      <c r="F676" s="37"/>
      <c r="G676" s="37"/>
      <c r="H676" s="2"/>
      <c r="I676" s="2"/>
      <c r="J676" s="2"/>
    </row>
    <row r="677" spans="2:10" ht="15.75" customHeight="1" x14ac:dyDescent="0.2">
      <c r="B677" s="2"/>
      <c r="C677" s="37"/>
      <c r="D677" s="37"/>
      <c r="E677" s="327"/>
      <c r="F677" s="37"/>
      <c r="G677" s="37"/>
      <c r="H677" s="2"/>
      <c r="I677" s="2"/>
      <c r="J677" s="2"/>
    </row>
    <row r="678" spans="2:10" ht="15.75" customHeight="1" x14ac:dyDescent="0.2">
      <c r="B678" s="2"/>
      <c r="C678" s="37"/>
      <c r="D678" s="37"/>
      <c r="E678" s="327"/>
      <c r="F678" s="37"/>
      <c r="G678" s="37"/>
      <c r="H678" s="2"/>
      <c r="I678" s="2"/>
      <c r="J678" s="2"/>
    </row>
    <row r="679" spans="2:10" ht="15.75" customHeight="1" x14ac:dyDescent="0.2">
      <c r="B679" s="2"/>
      <c r="C679" s="37"/>
      <c r="D679" s="37"/>
      <c r="E679" s="327"/>
      <c r="F679" s="37"/>
      <c r="G679" s="37"/>
      <c r="H679" s="2"/>
      <c r="I679" s="2"/>
      <c r="J679" s="2"/>
    </row>
    <row r="680" spans="2:10" ht="15.75" customHeight="1" x14ac:dyDescent="0.2">
      <c r="B680" s="2"/>
      <c r="C680" s="37"/>
      <c r="D680" s="37"/>
      <c r="E680" s="327"/>
      <c r="F680" s="37"/>
      <c r="G680" s="37"/>
      <c r="H680" s="2"/>
      <c r="I680" s="2"/>
      <c r="J680" s="2"/>
    </row>
    <row r="681" spans="2:10" ht="15.75" customHeight="1" x14ac:dyDescent="0.2">
      <c r="B681" s="2"/>
      <c r="C681" s="37"/>
      <c r="D681" s="37"/>
      <c r="E681" s="327"/>
      <c r="F681" s="37"/>
      <c r="G681" s="37"/>
      <c r="H681" s="2"/>
      <c r="I681" s="2"/>
      <c r="J681" s="2"/>
    </row>
    <row r="682" spans="2:10" ht="15.75" customHeight="1" x14ac:dyDescent="0.2">
      <c r="B682" s="2"/>
      <c r="C682" s="37"/>
      <c r="D682" s="37"/>
      <c r="E682" s="327"/>
      <c r="F682" s="37"/>
      <c r="G682" s="37"/>
      <c r="H682" s="2"/>
    </row>
    <row r="683" spans="2:10" ht="15.75" customHeight="1" x14ac:dyDescent="0.2">
      <c r="B683" s="2"/>
      <c r="C683" s="37"/>
      <c r="D683" s="37"/>
      <c r="E683" s="327"/>
      <c r="F683" s="37"/>
      <c r="G683" s="37"/>
      <c r="H683" s="2"/>
    </row>
    <row r="684" spans="2:10" ht="15.75" customHeight="1" x14ac:dyDescent="0.2">
      <c r="B684" s="2"/>
      <c r="C684" s="37"/>
      <c r="D684" s="37"/>
      <c r="E684" s="327"/>
      <c r="F684" s="37"/>
      <c r="G684" s="37"/>
      <c r="H684" s="2"/>
    </row>
    <row r="685" spans="2:10" ht="15.75" customHeight="1" x14ac:dyDescent="0.2">
      <c r="B685" s="2"/>
      <c r="C685" s="37"/>
      <c r="D685" s="37"/>
      <c r="E685" s="327"/>
      <c r="F685" s="37"/>
      <c r="G685" s="37"/>
      <c r="H685" s="2"/>
    </row>
    <row r="686" spans="2:10" ht="15.75" customHeight="1" x14ac:dyDescent="0.2">
      <c r="B686" s="2"/>
      <c r="C686" s="37"/>
      <c r="D686" s="37"/>
      <c r="E686" s="327"/>
      <c r="F686" s="37"/>
      <c r="G686" s="37"/>
      <c r="H686" s="2"/>
    </row>
    <row r="687" spans="2:10" ht="15.75" customHeight="1" x14ac:dyDescent="0.2">
      <c r="B687" s="2"/>
      <c r="C687" s="37"/>
      <c r="D687" s="37"/>
      <c r="E687" s="327"/>
      <c r="F687" s="37"/>
      <c r="G687" s="37"/>
      <c r="H687" s="2"/>
    </row>
    <row r="688" spans="2:10" ht="15.75" customHeight="1" x14ac:dyDescent="0.2">
      <c r="B688" s="2"/>
      <c r="C688" s="37"/>
      <c r="D688" s="37"/>
      <c r="E688" s="327"/>
      <c r="F688" s="37"/>
      <c r="G688" s="37"/>
      <c r="H688" s="2"/>
    </row>
    <row r="689" spans="2:10" ht="15.75" customHeight="1" x14ac:dyDescent="0.2">
      <c r="B689" s="2"/>
      <c r="C689" s="37"/>
      <c r="D689" s="37"/>
      <c r="E689" s="327"/>
      <c r="F689" s="37"/>
      <c r="G689" s="37"/>
      <c r="H689" s="2"/>
    </row>
    <row r="690" spans="2:10" ht="15.75" customHeight="1" x14ac:dyDescent="0.2">
      <c r="B690" s="2"/>
      <c r="C690" s="37"/>
      <c r="D690" s="37"/>
      <c r="E690" s="327"/>
      <c r="F690" s="37"/>
      <c r="G690" s="37"/>
      <c r="H690" s="2"/>
    </row>
    <row r="691" spans="2:10" ht="15.75" customHeight="1" x14ac:dyDescent="0.2">
      <c r="B691" s="2"/>
      <c r="C691" s="37"/>
      <c r="D691" s="37"/>
      <c r="E691" s="327"/>
      <c r="F691" s="37"/>
      <c r="G691" s="37"/>
      <c r="H691" s="2"/>
    </row>
    <row r="692" spans="2:10" ht="15.75" customHeight="1" x14ac:dyDescent="0.2">
      <c r="B692" s="2"/>
      <c r="C692" s="37"/>
      <c r="D692" s="37"/>
      <c r="E692" s="327"/>
      <c r="F692" s="37"/>
      <c r="G692" s="37"/>
      <c r="H692" s="2"/>
    </row>
    <row r="693" spans="2:10" ht="15.75" customHeight="1" x14ac:dyDescent="0.2">
      <c r="B693" s="2"/>
      <c r="C693" s="37"/>
      <c r="D693" s="37"/>
      <c r="E693" s="327"/>
      <c r="F693" s="37"/>
      <c r="G693" s="37"/>
      <c r="H693" s="2"/>
    </row>
    <row r="694" spans="2:10" ht="15.75" customHeight="1" x14ac:dyDescent="0.2"/>
    <row r="695" spans="2:10" ht="15.75" customHeight="1" x14ac:dyDescent="0.2"/>
    <row r="696" spans="2:10" ht="15.75" customHeight="1" x14ac:dyDescent="0.2"/>
    <row r="697" spans="2:10" ht="15.75" customHeight="1" x14ac:dyDescent="0.2"/>
    <row r="698" spans="2:10" ht="15.75" customHeight="1" x14ac:dyDescent="0.2"/>
    <row r="699" spans="2:10" ht="15.75" customHeight="1" x14ac:dyDescent="0.2"/>
    <row r="700" spans="2:10" ht="15.75" customHeight="1" x14ac:dyDescent="0.2"/>
    <row r="701" spans="2:10" ht="15.75" customHeight="1" x14ac:dyDescent="0.2"/>
    <row r="702" spans="2:10" ht="15.75" customHeight="1" x14ac:dyDescent="0.2"/>
    <row r="703" spans="2:10" ht="15.75" customHeight="1" x14ac:dyDescent="0.2"/>
    <row r="704" spans="2:10" s="2" customFormat="1" ht="15.75" customHeight="1" x14ac:dyDescent="0.2">
      <c r="B704"/>
      <c r="C704" s="45"/>
      <c r="D704" s="45"/>
      <c r="E704" s="197"/>
      <c r="F704" s="45"/>
      <c r="G704" s="45"/>
      <c r="H704"/>
      <c r="I704"/>
      <c r="J704"/>
    </row>
    <row r="705" spans="2:10" s="2" customFormat="1" ht="15.75" customHeight="1" x14ac:dyDescent="0.2">
      <c r="B705"/>
      <c r="C705" s="45"/>
      <c r="D705" s="45"/>
      <c r="E705" s="197"/>
      <c r="F705" s="45"/>
      <c r="G705" s="45"/>
      <c r="H705"/>
      <c r="I705"/>
      <c r="J705"/>
    </row>
    <row r="706" spans="2:10" s="2" customFormat="1" ht="15.75" customHeight="1" x14ac:dyDescent="0.2">
      <c r="B706"/>
      <c r="C706" s="45"/>
      <c r="D706" s="45"/>
      <c r="E706" s="197"/>
      <c r="F706" s="45"/>
      <c r="G706" s="45"/>
      <c r="H706"/>
      <c r="I706"/>
      <c r="J706"/>
    </row>
    <row r="707" spans="2:10" s="2" customFormat="1" ht="15.75" customHeight="1" x14ac:dyDescent="0.2">
      <c r="B707"/>
      <c r="C707" s="45"/>
      <c r="D707" s="45"/>
      <c r="E707" s="197"/>
      <c r="F707" s="45"/>
      <c r="G707" s="45"/>
      <c r="H707"/>
      <c r="I707"/>
      <c r="J707"/>
    </row>
    <row r="708" spans="2:10" s="2" customFormat="1" ht="15.75" customHeight="1" x14ac:dyDescent="0.2">
      <c r="B708"/>
      <c r="C708" s="45"/>
      <c r="D708" s="45"/>
      <c r="E708" s="197"/>
      <c r="F708" s="45"/>
      <c r="G708" s="45"/>
      <c r="H708"/>
      <c r="I708"/>
      <c r="J708"/>
    </row>
    <row r="709" spans="2:10" s="2" customFormat="1" ht="15.75" customHeight="1" x14ac:dyDescent="0.2">
      <c r="B709"/>
      <c r="C709" s="45"/>
      <c r="D709" s="45"/>
      <c r="E709" s="197"/>
      <c r="F709" s="45"/>
      <c r="G709" s="45"/>
      <c r="H709"/>
      <c r="I709"/>
      <c r="J709"/>
    </row>
    <row r="710" spans="2:10" s="2" customFormat="1" ht="15.75" customHeight="1" x14ac:dyDescent="0.2">
      <c r="B710"/>
      <c r="C710" s="45"/>
      <c r="D710" s="45"/>
      <c r="E710" s="197"/>
      <c r="F710" s="45"/>
      <c r="G710" s="45"/>
      <c r="H710"/>
      <c r="I710"/>
      <c r="J710"/>
    </row>
    <row r="711" spans="2:10" s="2" customFormat="1" ht="15.75" customHeight="1" x14ac:dyDescent="0.2">
      <c r="B711"/>
      <c r="C711" s="45"/>
      <c r="D711" s="45"/>
      <c r="E711" s="197"/>
      <c r="F711" s="45"/>
      <c r="G711" s="45"/>
      <c r="H711"/>
      <c r="I711"/>
      <c r="J711"/>
    </row>
    <row r="712" spans="2:10" s="2" customFormat="1" ht="15.75" customHeight="1" x14ac:dyDescent="0.2">
      <c r="B712"/>
      <c r="C712" s="45"/>
      <c r="D712" s="45"/>
      <c r="E712" s="197"/>
      <c r="F712" s="45"/>
      <c r="G712" s="45"/>
      <c r="H712"/>
      <c r="I712"/>
      <c r="J712"/>
    </row>
    <row r="713" spans="2:10" s="2" customFormat="1" ht="15.75" customHeight="1" x14ac:dyDescent="0.2">
      <c r="B713"/>
      <c r="C713" s="45"/>
      <c r="D713" s="45"/>
      <c r="E713" s="197"/>
      <c r="F713" s="45"/>
      <c r="G713" s="45"/>
      <c r="H713"/>
      <c r="I713"/>
      <c r="J713"/>
    </row>
    <row r="714" spans="2:10" s="2" customFormat="1" ht="15.75" customHeight="1" x14ac:dyDescent="0.2">
      <c r="B714"/>
      <c r="C714" s="45"/>
      <c r="D714" s="45"/>
      <c r="E714" s="197"/>
      <c r="F714" s="45"/>
      <c r="G714" s="45"/>
      <c r="H714"/>
      <c r="I714"/>
      <c r="J714"/>
    </row>
    <row r="715" spans="2:10" s="2" customFormat="1" ht="15.75" customHeight="1" x14ac:dyDescent="0.2">
      <c r="B715"/>
      <c r="C715" s="45"/>
      <c r="D715" s="45"/>
      <c r="E715" s="197"/>
      <c r="F715" s="45"/>
      <c r="G715" s="45"/>
      <c r="H715"/>
      <c r="I715"/>
      <c r="J715"/>
    </row>
    <row r="716" spans="2:10" s="2" customFormat="1" ht="15.75" customHeight="1" x14ac:dyDescent="0.2">
      <c r="B716"/>
      <c r="C716" s="45"/>
      <c r="D716" s="45"/>
      <c r="E716" s="197"/>
      <c r="F716" s="45"/>
      <c r="G716" s="45"/>
      <c r="H716"/>
      <c r="I716"/>
      <c r="J716"/>
    </row>
    <row r="717" spans="2:10" s="2" customFormat="1" ht="15.75" customHeight="1" x14ac:dyDescent="0.2">
      <c r="B717"/>
      <c r="C717" s="45"/>
      <c r="D717" s="45"/>
      <c r="E717" s="197"/>
      <c r="F717" s="45"/>
      <c r="G717" s="45"/>
      <c r="H717"/>
      <c r="I717"/>
      <c r="J717"/>
    </row>
    <row r="718" spans="2:10" s="2" customFormat="1" ht="15.75" customHeight="1" x14ac:dyDescent="0.2">
      <c r="B718"/>
      <c r="C718" s="45"/>
      <c r="D718" s="45"/>
      <c r="E718" s="197"/>
      <c r="F718" s="45"/>
      <c r="G718" s="45"/>
      <c r="H718"/>
      <c r="I718"/>
      <c r="J718"/>
    </row>
    <row r="719" spans="2:10" s="2" customFormat="1" ht="15.75" customHeight="1" x14ac:dyDescent="0.2">
      <c r="B719"/>
      <c r="C719" s="45"/>
      <c r="D719" s="45"/>
      <c r="E719" s="197"/>
      <c r="F719" s="45"/>
      <c r="G719" s="45"/>
      <c r="H719"/>
      <c r="I719"/>
      <c r="J719"/>
    </row>
    <row r="720" spans="2:10" s="2" customFormat="1" ht="15.75" customHeight="1" x14ac:dyDescent="0.2">
      <c r="B720"/>
      <c r="C720" s="45"/>
      <c r="D720" s="45"/>
      <c r="E720" s="197"/>
      <c r="F720" s="45"/>
      <c r="G720" s="45"/>
      <c r="H720"/>
      <c r="I720"/>
      <c r="J720"/>
    </row>
    <row r="721" spans="2:10" s="2" customFormat="1" ht="15.75" customHeight="1" x14ac:dyDescent="0.2">
      <c r="B721"/>
      <c r="C721" s="45"/>
      <c r="D721" s="45"/>
      <c r="E721" s="197"/>
      <c r="F721" s="45"/>
      <c r="G721" s="45"/>
      <c r="H721"/>
      <c r="I721"/>
      <c r="J721"/>
    </row>
    <row r="722" spans="2:10" s="2" customFormat="1" ht="15.75" customHeight="1" x14ac:dyDescent="0.2">
      <c r="B722"/>
      <c r="C722" s="45"/>
      <c r="D722" s="45"/>
      <c r="E722" s="197"/>
      <c r="F722" s="45"/>
      <c r="G722" s="45"/>
      <c r="H722"/>
      <c r="I722"/>
      <c r="J722"/>
    </row>
    <row r="723" spans="2:10" s="2" customFormat="1" ht="15.75" customHeight="1" x14ac:dyDescent="0.2">
      <c r="B723"/>
      <c r="C723" s="45"/>
      <c r="D723" s="45"/>
      <c r="E723" s="197"/>
      <c r="F723" s="45"/>
      <c r="G723" s="45"/>
      <c r="H723"/>
      <c r="I723"/>
      <c r="J723"/>
    </row>
    <row r="724" spans="2:10" s="2" customFormat="1" ht="15.75" customHeight="1" x14ac:dyDescent="0.2">
      <c r="B724"/>
      <c r="C724" s="45"/>
      <c r="D724" s="45"/>
      <c r="E724" s="197"/>
      <c r="F724" s="45"/>
      <c r="G724" s="45"/>
      <c r="H724"/>
      <c r="I724"/>
      <c r="J724"/>
    </row>
    <row r="725" spans="2:10" s="2" customFormat="1" ht="15.75" customHeight="1" x14ac:dyDescent="0.2">
      <c r="B725"/>
      <c r="C725" s="45"/>
      <c r="D725" s="45"/>
      <c r="E725" s="197"/>
      <c r="F725" s="45"/>
      <c r="G725" s="45"/>
      <c r="H725"/>
      <c r="I725"/>
      <c r="J725"/>
    </row>
    <row r="726" spans="2:10" s="2" customFormat="1" ht="15.75" customHeight="1" x14ac:dyDescent="0.2">
      <c r="B726"/>
      <c r="C726" s="45"/>
      <c r="D726" s="45"/>
      <c r="E726" s="197"/>
      <c r="F726" s="45"/>
      <c r="G726" s="45"/>
      <c r="H726"/>
      <c r="I726"/>
      <c r="J726"/>
    </row>
    <row r="727" spans="2:10" s="2" customFormat="1" ht="15.75" customHeight="1" x14ac:dyDescent="0.2">
      <c r="B727"/>
      <c r="C727" s="45"/>
      <c r="D727" s="45"/>
      <c r="E727" s="197"/>
      <c r="F727" s="45"/>
      <c r="G727" s="45"/>
      <c r="H727"/>
      <c r="I727"/>
      <c r="J727"/>
    </row>
    <row r="728" spans="2:10" s="2" customFormat="1" ht="15.75" customHeight="1" x14ac:dyDescent="0.2">
      <c r="B728"/>
      <c r="C728" s="45"/>
      <c r="D728" s="45"/>
      <c r="E728" s="197"/>
      <c r="F728" s="45"/>
      <c r="G728" s="45"/>
      <c r="H728"/>
      <c r="I728"/>
      <c r="J728"/>
    </row>
    <row r="729" spans="2:10" s="2" customFormat="1" ht="15.75" customHeight="1" x14ac:dyDescent="0.2">
      <c r="B729"/>
      <c r="C729" s="45"/>
      <c r="D729" s="45"/>
      <c r="E729" s="197"/>
      <c r="F729" s="45"/>
      <c r="G729" s="45"/>
      <c r="H729"/>
      <c r="I729"/>
      <c r="J729"/>
    </row>
    <row r="730" spans="2:10" s="2" customFormat="1" ht="15.75" customHeight="1" x14ac:dyDescent="0.2">
      <c r="B730"/>
      <c r="C730" s="45"/>
      <c r="D730" s="45"/>
      <c r="E730" s="197"/>
      <c r="F730" s="45"/>
      <c r="G730" s="45"/>
      <c r="H730"/>
      <c r="I730"/>
      <c r="J730"/>
    </row>
    <row r="731" spans="2:10" s="2" customFormat="1" ht="15.75" customHeight="1" x14ac:dyDescent="0.2">
      <c r="B731"/>
      <c r="C731" s="45"/>
      <c r="D731" s="45"/>
      <c r="E731" s="197"/>
      <c r="F731" s="45"/>
      <c r="G731" s="45"/>
      <c r="H731"/>
      <c r="I731"/>
      <c r="J731"/>
    </row>
    <row r="732" spans="2:10" s="2" customFormat="1" ht="15.75" customHeight="1" x14ac:dyDescent="0.2">
      <c r="B732"/>
      <c r="C732" s="45"/>
      <c r="D732" s="45"/>
      <c r="E732" s="197"/>
      <c r="F732" s="45"/>
      <c r="G732" s="45"/>
      <c r="H732"/>
      <c r="I732"/>
      <c r="J732"/>
    </row>
    <row r="733" spans="2:10" s="2" customFormat="1" ht="15.75" customHeight="1" x14ac:dyDescent="0.2">
      <c r="B733"/>
      <c r="C733" s="45"/>
      <c r="D733" s="45"/>
      <c r="E733" s="197"/>
      <c r="F733" s="45"/>
      <c r="G733" s="45"/>
      <c r="H733"/>
      <c r="I733"/>
      <c r="J733"/>
    </row>
    <row r="734" spans="2:10" s="2" customFormat="1" ht="15.75" customHeight="1" x14ac:dyDescent="0.2">
      <c r="B734"/>
      <c r="C734" s="45"/>
      <c r="D734" s="45"/>
      <c r="E734" s="197"/>
      <c r="F734" s="45"/>
      <c r="G734" s="45"/>
      <c r="H734"/>
      <c r="I734"/>
      <c r="J734"/>
    </row>
    <row r="735" spans="2:10" s="2" customFormat="1" ht="15.75" customHeight="1" x14ac:dyDescent="0.2">
      <c r="B735"/>
      <c r="C735" s="45"/>
      <c r="D735" s="45"/>
      <c r="E735" s="197"/>
      <c r="F735" s="45"/>
      <c r="G735" s="45"/>
      <c r="H735"/>
      <c r="I735"/>
      <c r="J735"/>
    </row>
    <row r="736" spans="2:10" s="2" customFormat="1" ht="15.75" customHeight="1" x14ac:dyDescent="0.2">
      <c r="B736"/>
      <c r="C736" s="45"/>
      <c r="D736" s="45"/>
      <c r="E736" s="197"/>
      <c r="F736" s="45"/>
      <c r="G736" s="45"/>
      <c r="H736"/>
      <c r="I736"/>
      <c r="J736"/>
    </row>
    <row r="737" spans="2:10" s="2" customFormat="1" ht="15.75" customHeight="1" x14ac:dyDescent="0.2">
      <c r="B737"/>
      <c r="C737" s="45"/>
      <c r="D737" s="45"/>
      <c r="E737" s="197"/>
      <c r="F737" s="45"/>
      <c r="G737" s="45"/>
      <c r="H737"/>
      <c r="I737"/>
      <c r="J737"/>
    </row>
    <row r="738" spans="2:10" s="2" customFormat="1" ht="15.75" customHeight="1" x14ac:dyDescent="0.2">
      <c r="B738"/>
      <c r="C738" s="45"/>
      <c r="D738" s="45"/>
      <c r="E738" s="197"/>
      <c r="F738" s="45"/>
      <c r="G738" s="45"/>
      <c r="H738"/>
      <c r="I738"/>
      <c r="J738"/>
    </row>
    <row r="739" spans="2:10" s="2" customFormat="1" ht="15.75" customHeight="1" x14ac:dyDescent="0.2">
      <c r="B739"/>
      <c r="C739" s="45"/>
      <c r="D739" s="45"/>
      <c r="E739" s="197"/>
      <c r="F739" s="45"/>
      <c r="G739" s="45"/>
      <c r="H739"/>
      <c r="I739"/>
      <c r="J739"/>
    </row>
    <row r="740" spans="2:10" s="2" customFormat="1" ht="15.75" customHeight="1" x14ac:dyDescent="0.2">
      <c r="B740"/>
      <c r="C740" s="45"/>
      <c r="D740" s="45"/>
      <c r="E740" s="197"/>
      <c r="F740" s="45"/>
      <c r="G740" s="45"/>
      <c r="H740"/>
      <c r="I740"/>
      <c r="J740"/>
    </row>
    <row r="741" spans="2:10" s="2" customFormat="1" ht="15.75" customHeight="1" x14ac:dyDescent="0.2">
      <c r="B741"/>
      <c r="C741" s="45"/>
      <c r="D741" s="45"/>
      <c r="E741" s="197"/>
      <c r="F741" s="45"/>
      <c r="G741" s="45"/>
      <c r="H741"/>
      <c r="I741"/>
      <c r="J741"/>
    </row>
    <row r="742" spans="2:10" s="2" customFormat="1" ht="15.75" customHeight="1" x14ac:dyDescent="0.2">
      <c r="B742"/>
      <c r="C742" s="45"/>
      <c r="D742" s="45"/>
      <c r="E742" s="197"/>
      <c r="F742" s="45"/>
      <c r="G742" s="45"/>
      <c r="H742"/>
      <c r="I742"/>
      <c r="J742"/>
    </row>
    <row r="743" spans="2:10" s="2" customFormat="1" ht="15.75" customHeight="1" x14ac:dyDescent="0.2">
      <c r="B743"/>
      <c r="C743" s="45"/>
      <c r="D743" s="45"/>
      <c r="E743" s="197"/>
      <c r="F743" s="45"/>
      <c r="G743" s="45"/>
      <c r="H743"/>
      <c r="I743"/>
      <c r="J743"/>
    </row>
    <row r="744" spans="2:10" s="2" customFormat="1" ht="15.75" customHeight="1" x14ac:dyDescent="0.2">
      <c r="B744"/>
      <c r="C744" s="45"/>
      <c r="D744" s="45"/>
      <c r="E744" s="197"/>
      <c r="F744" s="45"/>
      <c r="G744" s="45"/>
      <c r="H744"/>
      <c r="I744"/>
      <c r="J744"/>
    </row>
    <row r="745" spans="2:10" s="2" customFormat="1" ht="15.75" customHeight="1" x14ac:dyDescent="0.2">
      <c r="B745"/>
      <c r="C745" s="45"/>
      <c r="D745" s="45"/>
      <c r="E745" s="197"/>
      <c r="F745" s="45"/>
      <c r="G745" s="45"/>
      <c r="H745"/>
      <c r="I745"/>
      <c r="J745"/>
    </row>
    <row r="746" spans="2:10" s="2" customFormat="1" ht="15.75" customHeight="1" x14ac:dyDescent="0.2">
      <c r="B746"/>
      <c r="C746" s="45"/>
      <c r="D746" s="45"/>
      <c r="E746" s="197"/>
      <c r="F746" s="45"/>
      <c r="G746" s="45"/>
      <c r="H746"/>
      <c r="I746"/>
      <c r="J746"/>
    </row>
    <row r="747" spans="2:10" s="2" customFormat="1" ht="15.75" customHeight="1" x14ac:dyDescent="0.2">
      <c r="B747"/>
      <c r="C747" s="45"/>
      <c r="D747" s="45"/>
      <c r="E747" s="197"/>
      <c r="F747" s="45"/>
      <c r="G747" s="45"/>
      <c r="H747"/>
      <c r="I747"/>
      <c r="J747"/>
    </row>
    <row r="748" spans="2:10" s="2" customFormat="1" ht="15.75" customHeight="1" x14ac:dyDescent="0.2">
      <c r="B748"/>
      <c r="C748" s="45"/>
      <c r="D748" s="45"/>
      <c r="E748" s="197"/>
      <c r="F748" s="45"/>
      <c r="G748" s="45"/>
      <c r="H748"/>
      <c r="I748"/>
      <c r="J748"/>
    </row>
    <row r="749" spans="2:10" s="2" customFormat="1" ht="15.75" customHeight="1" x14ac:dyDescent="0.2">
      <c r="B749"/>
      <c r="C749" s="45"/>
      <c r="D749" s="45"/>
      <c r="E749" s="197"/>
      <c r="F749" s="45"/>
      <c r="G749" s="45"/>
      <c r="H749"/>
      <c r="I749"/>
      <c r="J749"/>
    </row>
    <row r="750" spans="2:10" s="2" customFormat="1" ht="15.75" customHeight="1" x14ac:dyDescent="0.2">
      <c r="B750"/>
      <c r="C750" s="45"/>
      <c r="D750" s="45"/>
      <c r="E750" s="197"/>
      <c r="F750" s="45"/>
      <c r="G750" s="45"/>
      <c r="H750"/>
      <c r="I750"/>
      <c r="J750"/>
    </row>
    <row r="751" spans="2:10" s="2" customFormat="1" ht="15.75" customHeight="1" x14ac:dyDescent="0.2">
      <c r="B751"/>
      <c r="C751" s="45"/>
      <c r="D751" s="45"/>
      <c r="E751" s="197"/>
      <c r="F751" s="45"/>
      <c r="G751" s="45"/>
      <c r="H751"/>
      <c r="I751"/>
      <c r="J751"/>
    </row>
    <row r="752" spans="2:10" s="2" customFormat="1" ht="15.75" customHeight="1" x14ac:dyDescent="0.2">
      <c r="B752"/>
      <c r="C752" s="45"/>
      <c r="D752" s="45"/>
      <c r="E752" s="197"/>
      <c r="F752" s="45"/>
      <c r="G752" s="45"/>
      <c r="H752"/>
      <c r="I752"/>
      <c r="J752"/>
    </row>
    <row r="753" spans="2:10" s="2" customFormat="1" ht="15.75" customHeight="1" x14ac:dyDescent="0.2">
      <c r="B753"/>
      <c r="C753" s="45"/>
      <c r="D753" s="45"/>
      <c r="E753" s="197"/>
      <c r="F753" s="45"/>
      <c r="G753" s="45"/>
      <c r="H753"/>
      <c r="I753"/>
      <c r="J753"/>
    </row>
    <row r="754" spans="2:10" s="2" customFormat="1" ht="15.75" customHeight="1" x14ac:dyDescent="0.2">
      <c r="B754"/>
      <c r="C754" s="45"/>
      <c r="D754" s="45"/>
      <c r="E754" s="197"/>
      <c r="F754" s="45"/>
      <c r="G754" s="45"/>
      <c r="H754"/>
      <c r="I754"/>
      <c r="J754"/>
    </row>
    <row r="755" spans="2:10" s="2" customFormat="1" ht="15.75" customHeight="1" x14ac:dyDescent="0.2">
      <c r="B755"/>
      <c r="C755" s="45"/>
      <c r="D755" s="45"/>
      <c r="E755" s="197"/>
      <c r="F755" s="45"/>
      <c r="G755" s="45"/>
      <c r="H755"/>
      <c r="I755"/>
      <c r="J755"/>
    </row>
    <row r="756" spans="2:10" s="2" customFormat="1" ht="15.75" customHeight="1" x14ac:dyDescent="0.2">
      <c r="B756"/>
      <c r="C756" s="45"/>
      <c r="D756" s="45"/>
      <c r="E756" s="197"/>
      <c r="F756" s="45"/>
      <c r="G756" s="45"/>
      <c r="H756"/>
      <c r="I756"/>
      <c r="J756"/>
    </row>
    <row r="757" spans="2:10" s="2" customFormat="1" ht="15.75" customHeight="1" x14ac:dyDescent="0.2">
      <c r="B757"/>
      <c r="C757" s="45"/>
      <c r="D757" s="45"/>
      <c r="E757" s="197"/>
      <c r="F757" s="45"/>
      <c r="G757" s="45"/>
      <c r="H757"/>
      <c r="I757"/>
      <c r="J757"/>
    </row>
    <row r="758" spans="2:10" s="2" customFormat="1" ht="15.75" customHeight="1" x14ac:dyDescent="0.2">
      <c r="B758"/>
      <c r="C758" s="45"/>
      <c r="D758" s="45"/>
      <c r="E758" s="197"/>
      <c r="F758" s="45"/>
      <c r="G758" s="45"/>
      <c r="H758"/>
      <c r="I758"/>
      <c r="J758"/>
    </row>
    <row r="759" spans="2:10" s="2" customFormat="1" ht="15.75" customHeight="1" x14ac:dyDescent="0.2">
      <c r="B759"/>
      <c r="C759" s="45"/>
      <c r="D759" s="45"/>
      <c r="E759" s="197"/>
      <c r="F759" s="45"/>
      <c r="G759" s="45"/>
      <c r="H759"/>
      <c r="I759"/>
      <c r="J759"/>
    </row>
    <row r="760" spans="2:10" s="2" customFormat="1" ht="15.75" customHeight="1" x14ac:dyDescent="0.2">
      <c r="B760"/>
      <c r="C760" s="45"/>
      <c r="D760" s="45"/>
      <c r="E760" s="197"/>
      <c r="F760" s="45"/>
      <c r="G760" s="45"/>
      <c r="H760"/>
      <c r="I760"/>
      <c r="J760"/>
    </row>
    <row r="761" spans="2:10" s="2" customFormat="1" ht="15.75" customHeight="1" x14ac:dyDescent="0.2">
      <c r="B761"/>
      <c r="C761" s="45"/>
      <c r="D761" s="45"/>
      <c r="E761" s="197"/>
      <c r="F761" s="45"/>
      <c r="G761" s="45"/>
      <c r="H761"/>
      <c r="I761"/>
      <c r="J761"/>
    </row>
    <row r="762" spans="2:10" s="2" customFormat="1" ht="15.75" customHeight="1" x14ac:dyDescent="0.2">
      <c r="B762"/>
      <c r="C762" s="45"/>
      <c r="D762" s="45"/>
      <c r="E762" s="197"/>
      <c r="F762" s="45"/>
      <c r="G762" s="45"/>
      <c r="H762"/>
      <c r="I762"/>
      <c r="J762"/>
    </row>
    <row r="763" spans="2:10" s="2" customFormat="1" ht="15.75" customHeight="1" x14ac:dyDescent="0.2">
      <c r="B763"/>
      <c r="C763" s="45"/>
      <c r="D763" s="45"/>
      <c r="E763" s="197"/>
      <c r="F763" s="45"/>
      <c r="G763" s="45"/>
      <c r="H763"/>
      <c r="I763"/>
      <c r="J763"/>
    </row>
    <row r="764" spans="2:10" s="2" customFormat="1" ht="15.75" customHeight="1" x14ac:dyDescent="0.2">
      <c r="B764"/>
      <c r="C764" s="45"/>
      <c r="D764" s="45"/>
      <c r="E764" s="197"/>
      <c r="F764" s="45"/>
      <c r="G764" s="45"/>
      <c r="H764"/>
      <c r="I764"/>
      <c r="J764"/>
    </row>
    <row r="765" spans="2:10" s="2" customFormat="1" ht="15.75" customHeight="1" x14ac:dyDescent="0.2">
      <c r="B765"/>
      <c r="C765" s="45"/>
      <c r="D765" s="45"/>
      <c r="E765" s="197"/>
      <c r="F765" s="45"/>
      <c r="G765" s="45"/>
      <c r="H765"/>
      <c r="I765"/>
      <c r="J765"/>
    </row>
    <row r="766" spans="2:10" s="2" customFormat="1" ht="15.75" customHeight="1" x14ac:dyDescent="0.2">
      <c r="B766"/>
      <c r="C766" s="45"/>
      <c r="D766" s="45"/>
      <c r="E766" s="197"/>
      <c r="F766" s="45"/>
      <c r="G766" s="45"/>
      <c r="H766"/>
      <c r="I766"/>
      <c r="J766"/>
    </row>
    <row r="767" spans="2:10" s="2" customFormat="1" ht="15.75" customHeight="1" x14ac:dyDescent="0.2">
      <c r="B767"/>
      <c r="C767" s="45"/>
      <c r="D767" s="45"/>
      <c r="E767" s="197"/>
      <c r="F767" s="45"/>
      <c r="G767" s="45"/>
      <c r="H767"/>
      <c r="I767"/>
      <c r="J767"/>
    </row>
    <row r="768" spans="2:10" s="2" customFormat="1" ht="15.75" customHeight="1" x14ac:dyDescent="0.2">
      <c r="B768"/>
      <c r="C768" s="45"/>
      <c r="D768" s="45"/>
      <c r="E768" s="197"/>
      <c r="F768" s="45"/>
      <c r="G768" s="45"/>
      <c r="H768"/>
      <c r="I768"/>
      <c r="J768"/>
    </row>
    <row r="769" spans="2:10" s="2" customFormat="1" ht="15.75" customHeight="1" x14ac:dyDescent="0.2">
      <c r="B769"/>
      <c r="C769" s="45"/>
      <c r="D769" s="45"/>
      <c r="E769" s="197"/>
      <c r="F769" s="45"/>
      <c r="G769" s="45"/>
      <c r="H769"/>
      <c r="I769"/>
      <c r="J769"/>
    </row>
    <row r="770" spans="2:10" s="2" customFormat="1" ht="15.75" customHeight="1" x14ac:dyDescent="0.2">
      <c r="B770"/>
      <c r="C770" s="45"/>
      <c r="D770" s="45"/>
      <c r="E770" s="197"/>
      <c r="F770" s="45"/>
      <c r="G770" s="45"/>
      <c r="H770"/>
      <c r="I770"/>
      <c r="J770"/>
    </row>
    <row r="771" spans="2:10" s="2" customFormat="1" ht="15.75" customHeight="1" x14ac:dyDescent="0.2">
      <c r="B771"/>
      <c r="C771" s="45"/>
      <c r="D771" s="45"/>
      <c r="E771" s="197"/>
      <c r="F771" s="45"/>
      <c r="G771" s="45"/>
      <c r="H771"/>
      <c r="I771"/>
      <c r="J771"/>
    </row>
    <row r="772" spans="2:10" s="2" customFormat="1" ht="15.75" customHeight="1" x14ac:dyDescent="0.2">
      <c r="B772"/>
      <c r="C772" s="45"/>
      <c r="D772" s="45"/>
      <c r="E772" s="197"/>
      <c r="F772" s="45"/>
      <c r="G772" s="45"/>
      <c r="H772"/>
      <c r="I772"/>
      <c r="J772"/>
    </row>
    <row r="773" spans="2:10" s="2" customFormat="1" ht="15.75" customHeight="1" x14ac:dyDescent="0.2">
      <c r="B773"/>
      <c r="C773" s="45"/>
      <c r="D773" s="45"/>
      <c r="E773" s="197"/>
      <c r="F773" s="45"/>
      <c r="G773" s="45"/>
      <c r="H773"/>
      <c r="I773"/>
      <c r="J773"/>
    </row>
    <row r="774" spans="2:10" s="2" customFormat="1" ht="15.75" customHeight="1" x14ac:dyDescent="0.2">
      <c r="B774"/>
      <c r="C774" s="45"/>
      <c r="D774" s="45"/>
      <c r="E774" s="197"/>
      <c r="F774" s="45"/>
      <c r="G774" s="45"/>
      <c r="H774"/>
      <c r="I774"/>
      <c r="J774"/>
    </row>
    <row r="775" spans="2:10" s="2" customFormat="1" ht="15.75" customHeight="1" x14ac:dyDescent="0.2">
      <c r="B775"/>
      <c r="C775" s="45"/>
      <c r="D775" s="45"/>
      <c r="E775" s="197"/>
      <c r="F775" s="45"/>
      <c r="G775" s="45"/>
      <c r="H775"/>
      <c r="I775"/>
      <c r="J775"/>
    </row>
    <row r="776" spans="2:10" s="2" customFormat="1" ht="15.75" customHeight="1" x14ac:dyDescent="0.2">
      <c r="B776"/>
      <c r="C776" s="45"/>
      <c r="D776" s="45"/>
      <c r="E776" s="197"/>
      <c r="F776" s="45"/>
      <c r="G776" s="45"/>
      <c r="H776"/>
      <c r="I776"/>
      <c r="J776"/>
    </row>
    <row r="777" spans="2:10" s="2" customFormat="1" ht="15.75" customHeight="1" x14ac:dyDescent="0.2">
      <c r="B777"/>
      <c r="C777" s="45"/>
      <c r="D777" s="45"/>
      <c r="E777" s="197"/>
      <c r="F777" s="45"/>
      <c r="G777" s="45"/>
      <c r="H777"/>
      <c r="I777"/>
      <c r="J777"/>
    </row>
    <row r="778" spans="2:10" s="2" customFormat="1" ht="15.75" customHeight="1" x14ac:dyDescent="0.2">
      <c r="B778"/>
      <c r="C778" s="45"/>
      <c r="D778" s="45"/>
      <c r="E778" s="197"/>
      <c r="F778" s="45"/>
      <c r="G778" s="45"/>
      <c r="H778"/>
      <c r="I778"/>
      <c r="J778"/>
    </row>
    <row r="779" spans="2:10" s="2" customFormat="1" ht="15.75" customHeight="1" x14ac:dyDescent="0.2">
      <c r="B779"/>
      <c r="C779" s="45"/>
      <c r="D779" s="45"/>
      <c r="E779" s="197"/>
      <c r="F779" s="45"/>
      <c r="G779" s="45"/>
      <c r="H779"/>
      <c r="I779"/>
      <c r="J779"/>
    </row>
    <row r="780" spans="2:10" s="2" customFormat="1" ht="15.75" customHeight="1" x14ac:dyDescent="0.2">
      <c r="B780"/>
      <c r="C780" s="45"/>
      <c r="D780" s="45"/>
      <c r="E780" s="197"/>
      <c r="F780" s="45"/>
      <c r="G780" s="45"/>
      <c r="H780"/>
      <c r="I780"/>
      <c r="J780"/>
    </row>
    <row r="781" spans="2:10" s="2" customFormat="1" ht="15.75" customHeight="1" x14ac:dyDescent="0.2">
      <c r="B781"/>
      <c r="C781" s="45"/>
      <c r="D781" s="45"/>
      <c r="E781" s="197"/>
      <c r="F781" s="45"/>
      <c r="G781" s="45"/>
      <c r="H781"/>
      <c r="I781"/>
      <c r="J781"/>
    </row>
    <row r="782" spans="2:10" s="2" customFormat="1" ht="15.75" customHeight="1" x14ac:dyDescent="0.2">
      <c r="B782"/>
      <c r="C782" s="45"/>
      <c r="D782" s="45"/>
      <c r="E782" s="197"/>
      <c r="F782" s="45"/>
      <c r="G782" s="45"/>
      <c r="H782"/>
      <c r="I782"/>
      <c r="J782"/>
    </row>
    <row r="783" spans="2:10" s="2" customFormat="1" ht="15.75" customHeight="1" x14ac:dyDescent="0.2">
      <c r="B783"/>
      <c r="C783" s="45"/>
      <c r="D783" s="45"/>
      <c r="E783" s="197"/>
      <c r="F783" s="45"/>
      <c r="G783" s="45"/>
      <c r="H783"/>
      <c r="I783"/>
      <c r="J783"/>
    </row>
    <row r="784" spans="2:10" s="2" customFormat="1" ht="15.75" customHeight="1" x14ac:dyDescent="0.2">
      <c r="B784"/>
      <c r="C784" s="45"/>
      <c r="D784" s="45"/>
      <c r="E784" s="197"/>
      <c r="F784" s="45"/>
      <c r="G784" s="45"/>
      <c r="H784"/>
      <c r="I784"/>
      <c r="J784"/>
    </row>
    <row r="785" spans="2:10" s="2" customFormat="1" ht="15.75" customHeight="1" x14ac:dyDescent="0.2">
      <c r="B785"/>
      <c r="C785" s="45"/>
      <c r="D785" s="45"/>
      <c r="E785" s="197"/>
      <c r="F785" s="45"/>
      <c r="G785" s="45"/>
      <c r="H785"/>
      <c r="I785"/>
      <c r="J785"/>
    </row>
    <row r="786" spans="2:10" s="2" customFormat="1" ht="15.75" customHeight="1" x14ac:dyDescent="0.2">
      <c r="B786"/>
      <c r="C786" s="45"/>
      <c r="D786" s="45"/>
      <c r="E786" s="197"/>
      <c r="F786" s="45"/>
      <c r="G786" s="45"/>
      <c r="H786"/>
      <c r="I786"/>
      <c r="J786"/>
    </row>
    <row r="787" spans="2:10" s="2" customFormat="1" ht="15.75" customHeight="1" x14ac:dyDescent="0.2">
      <c r="B787"/>
      <c r="C787" s="45"/>
      <c r="D787" s="45"/>
      <c r="E787" s="197"/>
      <c r="F787" s="45"/>
      <c r="G787" s="45"/>
      <c r="H787"/>
      <c r="I787"/>
      <c r="J787"/>
    </row>
    <row r="788" spans="2:10" s="2" customFormat="1" ht="15.75" customHeight="1" x14ac:dyDescent="0.2">
      <c r="B788"/>
      <c r="C788" s="45"/>
      <c r="D788" s="45"/>
      <c r="E788" s="197"/>
      <c r="F788" s="45"/>
      <c r="G788" s="45"/>
      <c r="H788"/>
      <c r="I788"/>
      <c r="J788"/>
    </row>
    <row r="789" spans="2:10" s="2" customFormat="1" ht="15.75" customHeight="1" x14ac:dyDescent="0.2">
      <c r="B789"/>
      <c r="C789" s="45"/>
      <c r="D789" s="45"/>
      <c r="E789" s="197"/>
      <c r="F789" s="45"/>
      <c r="G789" s="45"/>
      <c r="H789"/>
      <c r="I789"/>
      <c r="J789"/>
    </row>
    <row r="790" spans="2:10" s="2" customFormat="1" ht="15.75" customHeight="1" x14ac:dyDescent="0.2">
      <c r="B790"/>
      <c r="C790" s="45"/>
      <c r="D790" s="45"/>
      <c r="E790" s="197"/>
      <c r="F790" s="45"/>
      <c r="G790" s="45"/>
      <c r="H790"/>
      <c r="I790"/>
      <c r="J790"/>
    </row>
    <row r="791" spans="2:10" s="2" customFormat="1" ht="15.75" customHeight="1" x14ac:dyDescent="0.2">
      <c r="B791"/>
      <c r="C791" s="45"/>
      <c r="D791" s="45"/>
      <c r="E791" s="197"/>
      <c r="F791" s="45"/>
      <c r="G791" s="45"/>
      <c r="H791"/>
      <c r="I791"/>
      <c r="J791"/>
    </row>
    <row r="792" spans="2:10" s="2" customFormat="1" ht="15.75" customHeight="1" x14ac:dyDescent="0.2">
      <c r="B792"/>
      <c r="C792" s="45"/>
      <c r="D792" s="45"/>
      <c r="E792" s="197"/>
      <c r="F792" s="45"/>
      <c r="G792" s="45"/>
      <c r="H792"/>
      <c r="I792"/>
      <c r="J792"/>
    </row>
    <row r="793" spans="2:10" s="2" customFormat="1" ht="15.75" customHeight="1" x14ac:dyDescent="0.2">
      <c r="B793"/>
      <c r="C793" s="45"/>
      <c r="D793" s="45"/>
      <c r="E793" s="197"/>
      <c r="F793" s="45"/>
      <c r="G793" s="45"/>
      <c r="H793"/>
      <c r="I793"/>
      <c r="J793"/>
    </row>
    <row r="794" spans="2:10" s="2" customFormat="1" ht="15.75" customHeight="1" x14ac:dyDescent="0.2">
      <c r="B794"/>
      <c r="C794" s="45"/>
      <c r="D794" s="45"/>
      <c r="E794" s="197"/>
      <c r="F794" s="45"/>
      <c r="G794" s="45"/>
      <c r="H794"/>
      <c r="I794"/>
      <c r="J794"/>
    </row>
    <row r="795" spans="2:10" s="2" customFormat="1" ht="15.75" customHeight="1" x14ac:dyDescent="0.2">
      <c r="B795"/>
      <c r="C795" s="45"/>
      <c r="D795" s="45"/>
      <c r="E795" s="197"/>
      <c r="F795" s="45"/>
      <c r="G795" s="45"/>
      <c r="H795"/>
      <c r="I795"/>
      <c r="J795"/>
    </row>
    <row r="796" spans="2:10" s="2" customFormat="1" ht="15.75" customHeight="1" x14ac:dyDescent="0.2">
      <c r="B796"/>
      <c r="C796" s="45"/>
      <c r="D796" s="45"/>
      <c r="E796" s="197"/>
      <c r="F796" s="45"/>
      <c r="G796" s="45"/>
      <c r="H796"/>
      <c r="I796"/>
      <c r="J796"/>
    </row>
    <row r="797" spans="2:10" s="2" customFormat="1" ht="15.75" customHeight="1" x14ac:dyDescent="0.2">
      <c r="B797"/>
      <c r="C797" s="45"/>
      <c r="D797" s="45"/>
      <c r="E797" s="197"/>
      <c r="F797" s="45"/>
      <c r="G797" s="45"/>
      <c r="H797"/>
      <c r="I797"/>
      <c r="J797"/>
    </row>
  </sheetData>
  <mergeCells count="2">
    <mergeCell ref="A4:G4"/>
    <mergeCell ref="A5:G5"/>
  </mergeCells>
  <phoneticPr fontId="11" type="noConversion"/>
  <pageMargins left="0.59055118110236227" right="0.15748031496062992" top="0.55118110236220474" bottom="0.15748031496062992" header="0.15748031496062992" footer="0.15748031496062992"/>
  <pageSetup paperSize="9" scale="70" orientation="portrait" r:id="rId1"/>
  <headerFooter alignWithMargins="0"/>
  <rowBreaks count="1" manualBreakCount="1">
    <brk id="8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729"/>
  <sheetViews>
    <sheetView topLeftCell="A59" zoomScaleNormal="100" zoomScaleSheetLayoutView="80" workbookViewId="0">
      <selection activeCell="B7" sqref="B7"/>
    </sheetView>
  </sheetViews>
  <sheetFormatPr defaultRowHeight="12.75" x14ac:dyDescent="0.2"/>
  <cols>
    <col min="1" max="1" width="6.28515625" style="2" customWidth="1"/>
    <col min="2" max="2" width="79.7109375" customWidth="1"/>
    <col min="3" max="3" width="14.5703125" style="237" customWidth="1"/>
    <col min="4" max="4" width="14.5703125" style="237" hidden="1" customWidth="1"/>
    <col min="5" max="5" width="14.5703125" style="237" customWidth="1"/>
    <col min="6" max="6" width="14.28515625" style="237" customWidth="1"/>
    <col min="7" max="7" width="14.28515625" style="237" hidden="1" customWidth="1"/>
    <col min="8" max="8" width="9.85546875" style="237" hidden="1" customWidth="1"/>
    <col min="9" max="9" width="10.5703125" customWidth="1"/>
    <col min="10" max="22" width="9.140625" customWidth="1"/>
    <col min="23" max="23" width="6.5703125" bestFit="1" customWidth="1"/>
  </cols>
  <sheetData>
    <row r="1" spans="1:42" ht="15" customHeight="1" x14ac:dyDescent="0.3">
      <c r="A1" s="65"/>
      <c r="B1" s="42"/>
      <c r="F1" s="212" t="s">
        <v>979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65"/>
      <c r="B2" s="42"/>
      <c r="F2" s="212" t="str">
        <f>'1.Bev-kiad.'!F2</f>
        <v>a 7/2022.(V.27.)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65"/>
      <c r="B3" s="42"/>
      <c r="D3" s="212"/>
      <c r="F3" s="212" t="s">
        <v>1312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932" t="s">
        <v>27</v>
      </c>
      <c r="B4" s="932"/>
      <c r="C4" s="932"/>
      <c r="D4" s="932"/>
      <c r="E4" s="932"/>
      <c r="F4" s="932"/>
      <c r="G4" s="91"/>
      <c r="H4" s="67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932" t="s">
        <v>1014</v>
      </c>
      <c r="B5" s="932"/>
      <c r="C5" s="932"/>
      <c r="D5" s="932"/>
      <c r="E5" s="932"/>
      <c r="F5" s="932"/>
      <c r="G5" s="91"/>
      <c r="H5" s="67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65"/>
      <c r="B6" s="1"/>
      <c r="F6" s="66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4.75" customHeight="1" thickBot="1" x14ac:dyDescent="0.25">
      <c r="A7" s="268" t="s">
        <v>119</v>
      </c>
      <c r="B7" s="54" t="s">
        <v>210</v>
      </c>
      <c r="C7" s="54" t="str">
        <f>'1.Bev-kiad.'!C7</f>
        <v>2021. évi eredeti előirányzat</v>
      </c>
      <c r="D7" s="54" t="str">
        <f>'1.Bev-kiad.'!D7</f>
        <v>Módosított előirányzat 2021.07. havi</v>
      </c>
      <c r="E7" s="54" t="str">
        <f>'1.Bev-kiad.'!E7</f>
        <v>Módosított előirányzat 2021.10. havi</v>
      </c>
      <c r="F7" s="54" t="str">
        <f>'1.Bev-kiad.'!F7</f>
        <v>Módosított előirányzat 2021.12.31</v>
      </c>
      <c r="G7" s="55" t="str">
        <f>'1.Bev-kiad.'!G7</f>
        <v>Teljesítés 2021.12.31.</v>
      </c>
      <c r="H7" s="61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0.25" customHeight="1" x14ac:dyDescent="0.2">
      <c r="A8" s="168" t="s">
        <v>120</v>
      </c>
      <c r="B8" s="278" t="s">
        <v>355</v>
      </c>
      <c r="C8" s="203">
        <f>SUM(C13+C20+C26)</f>
        <v>73834</v>
      </c>
      <c r="D8" s="203">
        <f>SUM(D13+D20+D26)</f>
        <v>194538</v>
      </c>
      <c r="E8" s="203">
        <f>SUM(E13+E20+E26)</f>
        <v>215945</v>
      </c>
      <c r="F8" s="203">
        <f>SUM(F13+F20+F26)</f>
        <v>216010</v>
      </c>
      <c r="G8" s="203">
        <f>SUM(G13+G20+G26)</f>
        <v>95296</v>
      </c>
      <c r="H8" s="67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2.75" hidden="1" customHeight="1" x14ac:dyDescent="0.2">
      <c r="A9" s="9" t="s">
        <v>123</v>
      </c>
      <c r="B9" s="9" t="s">
        <v>127</v>
      </c>
      <c r="C9" s="7"/>
      <c r="D9" s="7"/>
      <c r="E9" s="7"/>
      <c r="F9" s="7"/>
      <c r="G9" s="7"/>
      <c r="H9" s="68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2.75" hidden="1" customHeight="1" x14ac:dyDescent="0.2">
      <c r="A10" s="9" t="s">
        <v>124</v>
      </c>
      <c r="B10" s="9" t="s">
        <v>128</v>
      </c>
      <c r="C10" s="232"/>
      <c r="D10" s="232"/>
      <c r="E10" s="232"/>
      <c r="F10" s="232"/>
      <c r="G10" s="232"/>
      <c r="H10" s="68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2.75" hidden="1" customHeight="1" x14ac:dyDescent="0.2">
      <c r="A11" s="9" t="s">
        <v>125</v>
      </c>
      <c r="B11" s="9" t="s">
        <v>129</v>
      </c>
      <c r="C11" s="232"/>
      <c r="D11" s="232"/>
      <c r="E11" s="232"/>
      <c r="F11" s="232"/>
      <c r="G11" s="232"/>
      <c r="H11" s="68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2.75" hidden="1" customHeight="1" x14ac:dyDescent="0.2">
      <c r="A12" s="9" t="s">
        <v>126</v>
      </c>
      <c r="B12" s="9" t="s">
        <v>131</v>
      </c>
      <c r="C12" s="232"/>
      <c r="D12" s="232"/>
      <c r="E12" s="232"/>
      <c r="F12" s="232"/>
      <c r="G12" s="232"/>
      <c r="H12" s="68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8" customHeight="1" x14ac:dyDescent="0.25">
      <c r="A13" s="18" t="s">
        <v>132</v>
      </c>
      <c r="B13" s="30" t="s">
        <v>251</v>
      </c>
      <c r="C13" s="46">
        <f>C14+C18</f>
        <v>23534</v>
      </c>
      <c r="D13" s="46">
        <f>D14+D18</f>
        <v>144238</v>
      </c>
      <c r="E13" s="46">
        <f>E14+E18</f>
        <v>159070</v>
      </c>
      <c r="F13" s="46">
        <f>F14+F18</f>
        <v>159070</v>
      </c>
      <c r="G13" s="46">
        <f>G14+G18</f>
        <v>38365</v>
      </c>
      <c r="H13" s="68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customHeight="1" x14ac:dyDescent="0.2">
      <c r="A14" s="9"/>
      <c r="B14" s="9" t="s">
        <v>336</v>
      </c>
      <c r="C14" s="232">
        <f>SUM(C15:C17)</f>
        <v>23534</v>
      </c>
      <c r="D14" s="232">
        <f>SUM(D15:D17)</f>
        <v>23534</v>
      </c>
      <c r="E14" s="232">
        <f>SUM(E15:E17)</f>
        <v>38366</v>
      </c>
      <c r="F14" s="232">
        <f>SUM(F15:F17)</f>
        <v>38366</v>
      </c>
      <c r="G14" s="232">
        <f>SUM(G15:G17)</f>
        <v>38365</v>
      </c>
      <c r="H14" s="681"/>
      <c r="I14" s="2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x14ac:dyDescent="0.2">
      <c r="A15" s="9"/>
      <c r="B15" s="25" t="s">
        <v>1090</v>
      </c>
      <c r="C15" s="16">
        <v>13204</v>
      </c>
      <c r="D15" s="16">
        <v>13204</v>
      </c>
      <c r="E15" s="16">
        <v>13204</v>
      </c>
      <c r="F15" s="16">
        <v>13204</v>
      </c>
      <c r="G15" s="16">
        <v>13204</v>
      </c>
      <c r="H15" s="683"/>
      <c r="I15" s="2"/>
      <c r="J15" s="2"/>
      <c r="K15" s="609"/>
      <c r="L15" s="389"/>
      <c r="M15" s="610"/>
      <c r="N15" s="389"/>
      <c r="O15" s="38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x14ac:dyDescent="0.2">
      <c r="A16" s="9"/>
      <c r="B16" s="25" t="s">
        <v>1132</v>
      </c>
      <c r="C16" s="16">
        <v>10330</v>
      </c>
      <c r="D16" s="16">
        <v>10330</v>
      </c>
      <c r="E16" s="16">
        <v>10330</v>
      </c>
      <c r="F16" s="16">
        <v>10330</v>
      </c>
      <c r="G16" s="16">
        <v>10330</v>
      </c>
      <c r="H16" s="683"/>
      <c r="I16" s="2"/>
      <c r="J16" s="2"/>
      <c r="K16" s="917"/>
      <c r="L16" s="389"/>
      <c r="M16" s="610"/>
      <c r="N16" s="389"/>
      <c r="O16" s="38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x14ac:dyDescent="0.2">
      <c r="A17" s="9"/>
      <c r="B17" s="25" t="s">
        <v>1250</v>
      </c>
      <c r="C17" s="16">
        <v>0</v>
      </c>
      <c r="D17" s="16">
        <v>0</v>
      </c>
      <c r="E17" s="16">
        <v>14832</v>
      </c>
      <c r="F17" s="16">
        <v>14832</v>
      </c>
      <c r="G17" s="16">
        <v>14831</v>
      </c>
      <c r="H17" s="683"/>
      <c r="I17" s="2"/>
      <c r="J17" s="2"/>
      <c r="K17" s="609"/>
      <c r="L17" s="611"/>
      <c r="M17" s="610"/>
      <c r="N17" s="611"/>
      <c r="O17" s="61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x14ac:dyDescent="0.2">
      <c r="A18" s="9"/>
      <c r="B18" s="25" t="s">
        <v>337</v>
      </c>
      <c r="C18" s="171">
        <f>SUM(C19:C19)</f>
        <v>0</v>
      </c>
      <c r="D18" s="171">
        <f>SUM(D19:D19)</f>
        <v>120704</v>
      </c>
      <c r="E18" s="171">
        <f>SUM(E19:E19)</f>
        <v>120704</v>
      </c>
      <c r="F18" s="171">
        <f>SUM(F19:F19)</f>
        <v>120704</v>
      </c>
      <c r="G18" s="171">
        <f>SUM(G19:G19)</f>
        <v>0</v>
      </c>
      <c r="H18" s="808"/>
      <c r="I18" s="2"/>
      <c r="J18" s="2"/>
      <c r="K18" s="609"/>
      <c r="L18" s="8"/>
      <c r="M18" s="8"/>
      <c r="N18" s="8"/>
      <c r="O18" s="61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x14ac:dyDescent="0.2">
      <c r="A19" s="9"/>
      <c r="B19" s="135" t="s">
        <v>1091</v>
      </c>
      <c r="C19" s="16">
        <v>0</v>
      </c>
      <c r="D19" s="16">
        <v>120704</v>
      </c>
      <c r="E19" s="16">
        <v>120704</v>
      </c>
      <c r="F19" s="16">
        <v>120704</v>
      </c>
      <c r="G19" s="16">
        <v>0</v>
      </c>
      <c r="H19" s="810"/>
      <c r="I19" s="2"/>
      <c r="J19" s="2"/>
      <c r="K19" s="609"/>
      <c r="L19" s="8"/>
      <c r="M19" s="8"/>
      <c r="N19" s="8"/>
      <c r="O19" s="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7.25" customHeight="1" x14ac:dyDescent="0.25">
      <c r="A20" s="18" t="s">
        <v>179</v>
      </c>
      <c r="B20" s="30" t="s">
        <v>252</v>
      </c>
      <c r="C20" s="233">
        <f>SUM(C21:C25)</f>
        <v>40000</v>
      </c>
      <c r="D20" s="233">
        <f>SUM(D21:D25)</f>
        <v>40000</v>
      </c>
      <c r="E20" s="233">
        <f>SUM(E21:E25)</f>
        <v>46575</v>
      </c>
      <c r="F20" s="233">
        <f>SUM(F21:F25)</f>
        <v>46640</v>
      </c>
      <c r="G20" s="46">
        <f>SUM(G21:G25)</f>
        <v>46637</v>
      </c>
      <c r="H20" s="809"/>
      <c r="I20" s="2"/>
      <c r="J20" s="2"/>
      <c r="K20" s="609"/>
      <c r="L20" s="8"/>
      <c r="M20" s="8"/>
      <c r="N20" s="8"/>
      <c r="O20" s="8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3.5" customHeight="1" x14ac:dyDescent="0.2">
      <c r="A21" s="9" t="s">
        <v>180</v>
      </c>
      <c r="B21" s="26" t="s">
        <v>421</v>
      </c>
      <c r="C21" s="171"/>
      <c r="D21" s="171"/>
      <c r="E21" s="171"/>
      <c r="F21" s="171"/>
      <c r="G21" s="232"/>
      <c r="H21" s="68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3.5" customHeight="1" x14ac:dyDescent="0.2">
      <c r="A22" s="9" t="s">
        <v>181</v>
      </c>
      <c r="B22" s="26" t="s">
        <v>973</v>
      </c>
      <c r="C22" s="16">
        <v>40000</v>
      </c>
      <c r="D22" s="16">
        <v>40000</v>
      </c>
      <c r="E22" s="16">
        <f>40000+6575</f>
        <v>46575</v>
      </c>
      <c r="F22" s="16">
        <f>40000+6575+65</f>
        <v>46640</v>
      </c>
      <c r="G22" s="16">
        <v>46637</v>
      </c>
      <c r="H22" s="684"/>
      <c r="I22" s="37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3.5" customHeight="1" x14ac:dyDescent="0.2">
      <c r="A23" s="9" t="s">
        <v>182</v>
      </c>
      <c r="B23" s="26" t="s">
        <v>475</v>
      </c>
      <c r="C23" s="171"/>
      <c r="D23" s="171"/>
      <c r="E23" s="171"/>
      <c r="F23" s="171"/>
      <c r="G23" s="232"/>
      <c r="H23" s="681"/>
      <c r="I23" s="3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3.5" customHeight="1" x14ac:dyDescent="0.2">
      <c r="A24" s="9" t="s">
        <v>183</v>
      </c>
      <c r="B24" s="26" t="s">
        <v>253</v>
      </c>
      <c r="C24" s="171"/>
      <c r="D24" s="171"/>
      <c r="E24" s="171"/>
      <c r="F24" s="171"/>
      <c r="G24" s="232"/>
      <c r="H24" s="68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3.5" customHeight="1" x14ac:dyDescent="0.2">
      <c r="A25" s="9" t="s">
        <v>184</v>
      </c>
      <c r="B25" s="26" t="s">
        <v>254</v>
      </c>
      <c r="C25" s="171"/>
      <c r="D25" s="171"/>
      <c r="E25" s="171"/>
      <c r="F25" s="171"/>
      <c r="G25" s="232"/>
      <c r="H25" s="68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8" customHeight="1" x14ac:dyDescent="0.25">
      <c r="A26" s="18" t="s">
        <v>191</v>
      </c>
      <c r="B26" s="30" t="s">
        <v>406</v>
      </c>
      <c r="C26" s="233">
        <f>C28</f>
        <v>10300</v>
      </c>
      <c r="D26" s="233">
        <f>D28</f>
        <v>10300</v>
      </c>
      <c r="E26" s="233">
        <f>E28</f>
        <v>10300</v>
      </c>
      <c r="F26" s="233">
        <f>F28</f>
        <v>10300</v>
      </c>
      <c r="G26" s="46">
        <f>G28</f>
        <v>10294</v>
      </c>
      <c r="H26" s="68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13.5" hidden="1" customHeight="1" x14ac:dyDescent="0.2">
      <c r="A27" s="9" t="s">
        <v>191</v>
      </c>
      <c r="B27" s="26" t="s">
        <v>412</v>
      </c>
      <c r="C27" s="228"/>
      <c r="D27" s="228"/>
      <c r="E27" s="228"/>
      <c r="F27" s="228"/>
      <c r="G27" s="58"/>
      <c r="H27" s="68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ht="13.5" customHeight="1" x14ac:dyDescent="0.2">
      <c r="A28" s="9" t="s">
        <v>517</v>
      </c>
      <c r="B28" s="26" t="s">
        <v>895</v>
      </c>
      <c r="C28" s="285">
        <v>10300</v>
      </c>
      <c r="D28" s="285">
        <v>10300</v>
      </c>
      <c r="E28" s="285">
        <v>10300</v>
      </c>
      <c r="F28" s="285">
        <v>10300</v>
      </c>
      <c r="G28" s="194">
        <v>10294</v>
      </c>
      <c r="H28" s="68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ht="13.5" hidden="1" customHeight="1" x14ac:dyDescent="0.2">
      <c r="A29" s="9"/>
      <c r="B29" s="26"/>
      <c r="C29" s="285"/>
      <c r="D29" s="285"/>
      <c r="E29" s="285"/>
      <c r="F29" s="285"/>
      <c r="G29" s="194"/>
      <c r="H29" s="68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20.25" customHeight="1" x14ac:dyDescent="0.25">
      <c r="A30" s="9"/>
      <c r="B30" s="202" t="s">
        <v>356</v>
      </c>
      <c r="C30" s="246">
        <f>SUM(C31+C35)</f>
        <v>729865</v>
      </c>
      <c r="D30" s="246">
        <f>SUM(D31+D35)</f>
        <v>729865</v>
      </c>
      <c r="E30" s="246">
        <f>SUM(E31+E35)</f>
        <v>1071865</v>
      </c>
      <c r="F30" s="246">
        <f>SUM(F31+F35)</f>
        <v>1071865</v>
      </c>
      <c r="G30" s="184">
        <f>SUM(G31+G35)</f>
        <v>729865</v>
      </c>
      <c r="H30" s="68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ht="16.5" customHeight="1" x14ac:dyDescent="0.25">
      <c r="A31" s="9"/>
      <c r="B31" s="23" t="s">
        <v>256</v>
      </c>
      <c r="C31" s="234">
        <f>C32</f>
        <v>729865</v>
      </c>
      <c r="D31" s="234">
        <f>D32</f>
        <v>729865</v>
      </c>
      <c r="E31" s="234">
        <f>E32</f>
        <v>729865</v>
      </c>
      <c r="F31" s="234">
        <f>F32</f>
        <v>729865</v>
      </c>
      <c r="G31" s="234">
        <f>G32</f>
        <v>729865</v>
      </c>
      <c r="H31" s="799"/>
      <c r="I31" s="80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ht="13.5" customHeight="1" x14ac:dyDescent="0.2">
      <c r="A32" s="9"/>
      <c r="B32" s="39" t="s">
        <v>446</v>
      </c>
      <c r="C32" s="88">
        <v>729865</v>
      </c>
      <c r="D32" s="88">
        <v>729865</v>
      </c>
      <c r="E32" s="88">
        <v>729865</v>
      </c>
      <c r="F32" s="88">
        <v>729865</v>
      </c>
      <c r="G32" s="88">
        <v>729865</v>
      </c>
      <c r="H32" s="801"/>
      <c r="I32" s="191"/>
      <c r="J32" s="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idden="1" x14ac:dyDescent="0.2">
      <c r="A33" s="9"/>
      <c r="B33" s="39" t="s">
        <v>905</v>
      </c>
      <c r="C33" s="16">
        <f>(632574-19378-10058-5652)</f>
        <v>597486</v>
      </c>
      <c r="D33" s="16">
        <f>(632574-19378-10058-5652)</f>
        <v>597486</v>
      </c>
      <c r="E33" s="16">
        <f>(632574-19378-10058-5652)</f>
        <v>597486</v>
      </c>
      <c r="F33" s="16">
        <f>(632574-19378-10058-5652)</f>
        <v>597486</v>
      </c>
      <c r="G33" s="232"/>
      <c r="H33" s="801"/>
      <c r="I33" s="191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idden="1" x14ac:dyDescent="0.2">
      <c r="A34" s="9"/>
      <c r="B34" s="39" t="s">
        <v>906</v>
      </c>
      <c r="C34" s="16">
        <f>(226930-68956-3881-1049-246-686)</f>
        <v>152112</v>
      </c>
      <c r="D34" s="16">
        <f>(226930-68956-3881-1049-246-686)</f>
        <v>152112</v>
      </c>
      <c r="E34" s="16">
        <f>(226930-68956-3881-1049-246-686)</f>
        <v>152112</v>
      </c>
      <c r="F34" s="16">
        <f>(226930-68956-3881-1049-246-686)</f>
        <v>152112</v>
      </c>
      <c r="G34" s="232"/>
      <c r="H34" s="801"/>
      <c r="I34" s="191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6.5" customHeight="1" x14ac:dyDescent="0.25">
      <c r="A35" s="9"/>
      <c r="B35" s="226" t="s">
        <v>257</v>
      </c>
      <c r="C35" s="233">
        <f>SUM(C36:C36)</f>
        <v>0</v>
      </c>
      <c r="D35" s="233">
        <f>SUM(D36:D36)</f>
        <v>0</v>
      </c>
      <c r="E35" s="233">
        <f>SUM(E36:E36)</f>
        <v>342000</v>
      </c>
      <c r="F35" s="233">
        <f>SUM(F36:F36)</f>
        <v>342000</v>
      </c>
      <c r="G35" s="233">
        <f>SUM(G36:G36)</f>
        <v>0</v>
      </c>
      <c r="H35" s="801"/>
      <c r="I35" s="191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3.5" customHeight="1" thickBot="1" x14ac:dyDescent="0.25">
      <c r="A36" s="14"/>
      <c r="B36" s="9" t="s">
        <v>1299</v>
      </c>
      <c r="C36" s="171">
        <v>0</v>
      </c>
      <c r="D36" s="171">
        <v>0</v>
      </c>
      <c r="E36" s="171">
        <v>342000</v>
      </c>
      <c r="F36" s="171">
        <v>342000</v>
      </c>
      <c r="G36" s="171">
        <v>0</v>
      </c>
      <c r="H36" s="801"/>
      <c r="I36" s="191"/>
      <c r="J36" s="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20.25" thickBot="1" x14ac:dyDescent="0.4">
      <c r="A37" s="268"/>
      <c r="B37" s="267" t="s">
        <v>393</v>
      </c>
      <c r="C37" s="279">
        <f>SUM(C8+C30)</f>
        <v>803699</v>
      </c>
      <c r="D37" s="279">
        <f>SUM(D8+D30)</f>
        <v>924403</v>
      </c>
      <c r="E37" s="279">
        <f>SUM(E8+E30)</f>
        <v>1287810</v>
      </c>
      <c r="F37" s="279">
        <f>SUM(F8+F30)</f>
        <v>1287875</v>
      </c>
      <c r="G37" s="279">
        <f>SUM(G8+G30)</f>
        <v>825161</v>
      </c>
      <c r="H37" s="801"/>
      <c r="I37" s="191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5.75" x14ac:dyDescent="0.25">
      <c r="A38" s="168" t="s">
        <v>369</v>
      </c>
      <c r="B38" s="277" t="s">
        <v>357</v>
      </c>
      <c r="C38" s="235">
        <f>SUM(C39+C63+C80)</f>
        <v>863038</v>
      </c>
      <c r="D38" s="235">
        <f>SUM(D39+D63+D80)</f>
        <v>983742</v>
      </c>
      <c r="E38" s="235">
        <f>SUM(E39+E63+E80)</f>
        <v>1346786</v>
      </c>
      <c r="F38" s="235">
        <f>SUM(F39+F63+F80)</f>
        <v>1346855</v>
      </c>
      <c r="G38" s="235">
        <f>SUM(G39+G63+G80)</f>
        <v>390739</v>
      </c>
      <c r="H38" s="801"/>
      <c r="I38" s="191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5.75" x14ac:dyDescent="0.25">
      <c r="A39" s="18" t="s">
        <v>255</v>
      </c>
      <c r="B39" s="702" t="s">
        <v>5</v>
      </c>
      <c r="C39" s="703">
        <f>SUM(C40+C60)</f>
        <v>221251</v>
      </c>
      <c r="D39" s="703">
        <f>SUM(D40+D60)</f>
        <v>195969</v>
      </c>
      <c r="E39" s="703">
        <f>SUM(E40+E60)</f>
        <v>576743</v>
      </c>
      <c r="F39" s="703">
        <f>SUM(F40+F60)</f>
        <v>577785</v>
      </c>
      <c r="G39" s="703">
        <f>SUM(G40+G60)</f>
        <v>133863</v>
      </c>
      <c r="H39" s="801"/>
      <c r="I39" s="191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4.25" x14ac:dyDescent="0.2">
      <c r="A40" s="18"/>
      <c r="B40" s="31" t="s">
        <v>358</v>
      </c>
      <c r="C40" s="169">
        <f>SUM(C41+C45+C59)</f>
        <v>220251</v>
      </c>
      <c r="D40" s="169">
        <f>SUM(D41+D45+D59)</f>
        <v>194969</v>
      </c>
      <c r="E40" s="169">
        <f>SUM(E41+E45+E59)</f>
        <v>575743</v>
      </c>
      <c r="F40" s="169">
        <f>SUM(F41+F45+F59)</f>
        <v>576781</v>
      </c>
      <c r="G40" s="169">
        <f>SUM(G41+G45+G59)</f>
        <v>132860</v>
      </c>
      <c r="H40" s="689"/>
      <c r="I40" s="802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4.25" x14ac:dyDescent="0.2">
      <c r="A41" s="18"/>
      <c r="B41" s="31" t="s">
        <v>362</v>
      </c>
      <c r="C41" s="169">
        <f>SUM(C42:C44)</f>
        <v>164407</v>
      </c>
      <c r="D41" s="169">
        <f>SUM(D42:D44)</f>
        <v>164407</v>
      </c>
      <c r="E41" s="169">
        <f>SUM(E42:E44)</f>
        <v>164407</v>
      </c>
      <c r="F41" s="169">
        <f>SUM(F42:F44)</f>
        <v>164407</v>
      </c>
      <c r="G41" s="169">
        <f>SUM(G42:G44)</f>
        <v>72489</v>
      </c>
      <c r="H41" s="689"/>
      <c r="I41" s="8"/>
      <c r="J41" s="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x14ac:dyDescent="0.2">
      <c r="A42" s="18"/>
      <c r="B42" s="25" t="s">
        <v>1399</v>
      </c>
      <c r="C42" s="171">
        <v>145357</v>
      </c>
      <c r="D42" s="171">
        <v>145357</v>
      </c>
      <c r="E42" s="171">
        <v>145357</v>
      </c>
      <c r="F42" s="171">
        <v>145357</v>
      </c>
      <c r="G42" s="171">
        <v>72489</v>
      </c>
      <c r="H42" s="683"/>
      <c r="I42" s="8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x14ac:dyDescent="0.2">
      <c r="A43" s="18"/>
      <c r="B43" s="25" t="s">
        <v>1006</v>
      </c>
      <c r="C43" s="171">
        <v>19050</v>
      </c>
      <c r="D43" s="171">
        <v>19050</v>
      </c>
      <c r="E43" s="171">
        <v>19050</v>
      </c>
      <c r="F43" s="171">
        <v>19050</v>
      </c>
      <c r="G43" s="171">
        <v>0</v>
      </c>
      <c r="H43" s="68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x14ac:dyDescent="0.2">
      <c r="A44" s="18"/>
      <c r="B44" s="25"/>
      <c r="C44" s="171"/>
      <c r="D44" s="171"/>
      <c r="E44" s="171"/>
      <c r="F44" s="171"/>
      <c r="G44" s="171"/>
      <c r="H44" s="68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x14ac:dyDescent="0.2">
      <c r="A45" s="18"/>
      <c r="B45" s="29" t="s">
        <v>361</v>
      </c>
      <c r="C45" s="15">
        <f>SUM(C46:C58)</f>
        <v>55844</v>
      </c>
      <c r="D45" s="15">
        <f>SUM(D46:D58)</f>
        <v>30562</v>
      </c>
      <c r="E45" s="15">
        <f>SUM(E46:E58)</f>
        <v>411336</v>
      </c>
      <c r="F45" s="15">
        <f>SUM(F46:F58)</f>
        <v>412374</v>
      </c>
      <c r="G45" s="15">
        <f>SUM(G46:G58)</f>
        <v>60371</v>
      </c>
      <c r="H45" s="68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x14ac:dyDescent="0.2">
      <c r="A46" s="18"/>
      <c r="B46" s="25" t="s">
        <v>1089</v>
      </c>
      <c r="C46" s="16">
        <f>(26408+1388)</f>
        <v>27796</v>
      </c>
      <c r="D46" s="16">
        <f>(26408+1388)-27796</f>
        <v>0</v>
      </c>
      <c r="E46" s="16">
        <f>(26408+1388)-27796</f>
        <v>0</v>
      </c>
      <c r="F46" s="16">
        <f>(26408+1388)-27796</f>
        <v>0</v>
      </c>
      <c r="G46" s="16">
        <v>0</v>
      </c>
      <c r="H46" s="68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2">
      <c r="A47" s="18"/>
      <c r="B47" s="25" t="s">
        <v>945</v>
      </c>
      <c r="C47" s="16">
        <v>10000</v>
      </c>
      <c r="D47" s="16">
        <v>10000</v>
      </c>
      <c r="E47" s="16">
        <v>10000</v>
      </c>
      <c r="F47" s="16">
        <v>10000</v>
      </c>
      <c r="G47" s="16">
        <v>0</v>
      </c>
      <c r="H47" s="683"/>
      <c r="I47" s="642"/>
      <c r="J47" s="2"/>
      <c r="K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2">
      <c r="A48" s="18"/>
      <c r="B48" s="25" t="s">
        <v>951</v>
      </c>
      <c r="C48" s="16">
        <v>9906</v>
      </c>
      <c r="D48" s="16">
        <v>9906</v>
      </c>
      <c r="E48" s="16">
        <v>9906</v>
      </c>
      <c r="F48" s="16">
        <v>9906</v>
      </c>
      <c r="G48" s="16">
        <v>9906</v>
      </c>
      <c r="H48" s="683"/>
      <c r="I48" s="8"/>
      <c r="J48" s="2"/>
      <c r="K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x14ac:dyDescent="0.2">
      <c r="A49" s="18"/>
      <c r="B49" s="25" t="s">
        <v>1102</v>
      </c>
      <c r="C49" s="16">
        <v>1195</v>
      </c>
      <c r="D49" s="16">
        <v>1195</v>
      </c>
      <c r="E49" s="16">
        <f>1195+75</f>
        <v>1270</v>
      </c>
      <c r="F49" s="16">
        <f>1195+75</f>
        <v>1270</v>
      </c>
      <c r="G49" s="16">
        <v>1270</v>
      </c>
      <c r="H49" s="683"/>
      <c r="I49" s="8"/>
      <c r="J49" s="2"/>
      <c r="K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x14ac:dyDescent="0.2">
      <c r="A50" s="18"/>
      <c r="B50" s="25" t="s">
        <v>1103</v>
      </c>
      <c r="C50" s="16">
        <v>4470</v>
      </c>
      <c r="D50" s="16">
        <v>4470</v>
      </c>
      <c r="E50" s="16">
        <v>4470</v>
      </c>
      <c r="F50" s="16">
        <f>4470+66</f>
        <v>4536</v>
      </c>
      <c r="G50" s="16">
        <v>4535</v>
      </c>
      <c r="H50" s="683"/>
      <c r="I50" s="8"/>
      <c r="J50" s="2"/>
      <c r="K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x14ac:dyDescent="0.2">
      <c r="A51" s="18"/>
      <c r="B51" s="25" t="s">
        <v>1133</v>
      </c>
      <c r="C51" s="16">
        <v>2477</v>
      </c>
      <c r="D51" s="16">
        <v>2477</v>
      </c>
      <c r="E51" s="16">
        <v>2477</v>
      </c>
      <c r="F51" s="16">
        <v>2477</v>
      </c>
      <c r="G51" s="16">
        <v>2477</v>
      </c>
      <c r="H51" s="683"/>
      <c r="I51" s="8"/>
      <c r="J51" s="2"/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x14ac:dyDescent="0.2">
      <c r="A52" s="18"/>
      <c r="B52" s="25" t="s">
        <v>1199</v>
      </c>
      <c r="C52" s="16">
        <v>0</v>
      </c>
      <c r="D52" s="16">
        <v>1</v>
      </c>
      <c r="E52" s="16">
        <v>1</v>
      </c>
      <c r="F52" s="16">
        <v>1</v>
      </c>
      <c r="G52" s="16">
        <v>0</v>
      </c>
      <c r="H52" s="683"/>
      <c r="I52" s="8"/>
      <c r="J52" s="2"/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x14ac:dyDescent="0.2">
      <c r="A53" s="18"/>
      <c r="B53" s="25" t="s">
        <v>1380</v>
      </c>
      <c r="C53" s="16">
        <v>0</v>
      </c>
      <c r="D53" s="16">
        <v>408</v>
      </c>
      <c r="E53" s="16">
        <f>408+151</f>
        <v>559</v>
      </c>
      <c r="F53" s="16">
        <f>408+151+324</f>
        <v>883</v>
      </c>
      <c r="G53" s="16">
        <v>882</v>
      </c>
      <c r="H53" s="683"/>
      <c r="I53" s="8"/>
      <c r="J53" s="2"/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x14ac:dyDescent="0.2">
      <c r="A54" s="18"/>
      <c r="B54" s="25" t="s">
        <v>1214</v>
      </c>
      <c r="C54" s="16">
        <v>0</v>
      </c>
      <c r="D54" s="16">
        <v>1455</v>
      </c>
      <c r="E54" s="16">
        <v>1455</v>
      </c>
      <c r="F54" s="16">
        <v>1455</v>
      </c>
      <c r="G54" s="16">
        <v>1455</v>
      </c>
      <c r="H54" s="683"/>
      <c r="I54" s="8"/>
      <c r="J54" s="2"/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x14ac:dyDescent="0.2">
      <c r="A55" s="18"/>
      <c r="B55" s="25" t="s">
        <v>1215</v>
      </c>
      <c r="C55" s="16">
        <v>0</v>
      </c>
      <c r="D55" s="16">
        <v>650</v>
      </c>
      <c r="E55" s="16">
        <v>650</v>
      </c>
      <c r="F55" s="16">
        <v>650</v>
      </c>
      <c r="G55" s="16">
        <v>650</v>
      </c>
      <c r="H55" s="683"/>
      <c r="I55" s="8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x14ac:dyDescent="0.2">
      <c r="A56" s="18"/>
      <c r="B56" s="25" t="s">
        <v>1298</v>
      </c>
      <c r="C56" s="16">
        <v>0</v>
      </c>
      <c r="D56" s="16">
        <v>0</v>
      </c>
      <c r="E56" s="16">
        <f>342000+38000</f>
        <v>380000</v>
      </c>
      <c r="F56" s="16">
        <f>342000+38000</f>
        <v>380000</v>
      </c>
      <c r="G56" s="16">
        <v>38000</v>
      </c>
      <c r="H56" s="683"/>
      <c r="I56" s="8"/>
      <c r="J56" s="2"/>
      <c r="K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18"/>
      <c r="B57" s="25" t="s">
        <v>1286</v>
      </c>
      <c r="C57" s="16">
        <v>0</v>
      </c>
      <c r="D57" s="16">
        <v>0</v>
      </c>
      <c r="E57" s="16">
        <v>548</v>
      </c>
      <c r="F57" s="16">
        <v>548</v>
      </c>
      <c r="G57" s="16">
        <v>548</v>
      </c>
      <c r="H57" s="683"/>
      <c r="I57" s="8"/>
      <c r="J57" s="2"/>
      <c r="K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18"/>
      <c r="B58" s="25" t="s">
        <v>1381</v>
      </c>
      <c r="C58" s="16">
        <v>0</v>
      </c>
      <c r="D58" s="16">
        <v>0</v>
      </c>
      <c r="E58" s="16">
        <v>0</v>
      </c>
      <c r="F58" s="16">
        <v>648</v>
      </c>
      <c r="G58" s="16">
        <v>648</v>
      </c>
      <c r="H58" s="683"/>
      <c r="I58" s="8"/>
      <c r="J58" s="2"/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x14ac:dyDescent="0.2">
      <c r="A59" s="18"/>
      <c r="B59" s="29" t="s">
        <v>926</v>
      </c>
      <c r="C59" s="15"/>
      <c r="D59" s="15"/>
      <c r="E59" s="15"/>
      <c r="F59" s="15"/>
      <c r="G59" s="15"/>
      <c r="H59" s="683"/>
      <c r="I59" s="2"/>
      <c r="J59" s="2"/>
      <c r="K59" s="2"/>
      <c r="L59" s="2"/>
      <c r="M59" s="2"/>
      <c r="N59" s="2"/>
      <c r="O59" s="2"/>
      <c r="P59" s="8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">
      <c r="A60" s="18"/>
      <c r="B60" s="29" t="s">
        <v>401</v>
      </c>
      <c r="C60" s="15">
        <f>SUM(C61)</f>
        <v>1000</v>
      </c>
      <c r="D60" s="15">
        <f>SUM(D61)</f>
        <v>1000</v>
      </c>
      <c r="E60" s="15">
        <f>SUM(E61)</f>
        <v>1000</v>
      </c>
      <c r="F60" s="15">
        <f>SUM(F61)</f>
        <v>1004</v>
      </c>
      <c r="G60" s="15">
        <f>SUM(G61)</f>
        <v>1003</v>
      </c>
      <c r="H60" s="68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customHeight="1" x14ac:dyDescent="0.2">
      <c r="A61" s="18"/>
      <c r="B61" s="25" t="s">
        <v>929</v>
      </c>
      <c r="C61" s="16">
        <v>1000</v>
      </c>
      <c r="D61" s="16">
        <v>1000</v>
      </c>
      <c r="E61" s="16">
        <f>'9.Hivatal'!T78</f>
        <v>1000</v>
      </c>
      <c r="F61" s="16">
        <f>'9.Hivatal'!U78</f>
        <v>1004</v>
      </c>
      <c r="G61" s="16">
        <f>'9.Hivatal'!V78</f>
        <v>1003</v>
      </c>
      <c r="H61" s="68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idden="1" x14ac:dyDescent="0.2">
      <c r="A62" s="18"/>
      <c r="B62" s="25"/>
      <c r="C62" s="16"/>
      <c r="D62" s="16"/>
      <c r="E62" s="16"/>
      <c r="F62" s="16"/>
      <c r="G62" s="16"/>
      <c r="H62" s="68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89" customFormat="1" ht="18" customHeight="1" x14ac:dyDescent="0.25">
      <c r="A63" s="29" t="s">
        <v>372</v>
      </c>
      <c r="B63" s="227" t="s">
        <v>1</v>
      </c>
      <c r="C63" s="246">
        <f>SUM(C64+C66)</f>
        <v>587652</v>
      </c>
      <c r="D63" s="246">
        <f>SUM(D64+D66)</f>
        <v>615464</v>
      </c>
      <c r="E63" s="703">
        <f>SUM(E64+E66)</f>
        <v>679037</v>
      </c>
      <c r="F63" s="703">
        <f>SUM(F64+F66)</f>
        <v>679427</v>
      </c>
      <c r="G63" s="703">
        <f>SUM(G64+G66)</f>
        <v>251856</v>
      </c>
      <c r="H63" s="683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</row>
    <row r="64" spans="1:42" s="89" customFormat="1" ht="13.5" customHeight="1" x14ac:dyDescent="0.2">
      <c r="A64" s="29"/>
      <c r="B64" s="29" t="s">
        <v>2</v>
      </c>
      <c r="C64" s="224">
        <f>SUM(C65:C65)</f>
        <v>418098</v>
      </c>
      <c r="D64" s="224">
        <f>SUM(D65:D65)</f>
        <v>418098</v>
      </c>
      <c r="E64" s="224">
        <f>SUM(E65:E65)</f>
        <v>418098</v>
      </c>
      <c r="F64" s="224">
        <f>SUM(F65:F65)</f>
        <v>418098</v>
      </c>
      <c r="G64" s="224">
        <f>SUM(G65:G65)</f>
        <v>0</v>
      </c>
      <c r="H64" s="683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</row>
    <row r="65" spans="1:42" s="89" customFormat="1" ht="13.5" customHeight="1" x14ac:dyDescent="0.2">
      <c r="A65" s="29"/>
      <c r="B65" s="330" t="s">
        <v>1400</v>
      </c>
      <c r="C65" s="171">
        <v>418098</v>
      </c>
      <c r="D65" s="171">
        <v>418098</v>
      </c>
      <c r="E65" s="171">
        <v>418098</v>
      </c>
      <c r="F65" s="171">
        <v>418098</v>
      </c>
      <c r="G65" s="171">
        <v>0</v>
      </c>
      <c r="H65" s="683"/>
      <c r="J65" s="179"/>
      <c r="K65" s="179"/>
      <c r="L65" s="179"/>
      <c r="M65" s="179"/>
      <c r="N65" s="179"/>
      <c r="O65" s="179"/>
      <c r="P65" s="179"/>
      <c r="Q65" s="642"/>
      <c r="R65" s="642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</row>
    <row r="66" spans="1:42" s="89" customFormat="1" ht="13.5" customHeight="1" x14ac:dyDescent="0.2">
      <c r="A66" s="29"/>
      <c r="B66" s="29" t="s">
        <v>359</v>
      </c>
      <c r="C66" s="224">
        <f>SUM(C67:C79)</f>
        <v>169554</v>
      </c>
      <c r="D66" s="224">
        <f>SUM(D67:D79)</f>
        <v>197366</v>
      </c>
      <c r="E66" s="224">
        <f>SUM(E67:E79)</f>
        <v>260939</v>
      </c>
      <c r="F66" s="224">
        <f>SUM(F67:F79)</f>
        <v>261329</v>
      </c>
      <c r="G66" s="224">
        <f>SUM(G67:G79)</f>
        <v>251856</v>
      </c>
      <c r="H66" s="683"/>
      <c r="I66" s="642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</row>
    <row r="67" spans="1:42" s="89" customFormat="1" ht="13.5" customHeight="1" x14ac:dyDescent="0.2">
      <c r="A67" s="29"/>
      <c r="B67" s="25" t="s">
        <v>1104</v>
      </c>
      <c r="C67" s="171">
        <v>28936</v>
      </c>
      <c r="D67" s="171">
        <v>28936</v>
      </c>
      <c r="E67" s="171">
        <f>28936+101</f>
        <v>29037</v>
      </c>
      <c r="F67" s="171">
        <f>28936+101</f>
        <v>29037</v>
      </c>
      <c r="G67" s="171">
        <v>29037</v>
      </c>
      <c r="H67" s="683"/>
      <c r="I67" s="642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</row>
    <row r="68" spans="1:42" s="89" customFormat="1" ht="13.5" customHeight="1" x14ac:dyDescent="0.2">
      <c r="A68" s="29"/>
      <c r="B68" s="25" t="s">
        <v>1112</v>
      </c>
      <c r="C68" s="171">
        <v>14980</v>
      </c>
      <c r="D68" s="171">
        <v>14980</v>
      </c>
      <c r="E68" s="171">
        <v>14980</v>
      </c>
      <c r="F68" s="171">
        <v>14980</v>
      </c>
      <c r="G68" s="171">
        <v>14859</v>
      </c>
      <c r="H68" s="683"/>
      <c r="I68" s="642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</row>
    <row r="69" spans="1:42" s="89" customFormat="1" ht="13.5" customHeight="1" x14ac:dyDescent="0.2">
      <c r="A69" s="29"/>
      <c r="B69" s="25" t="s">
        <v>1111</v>
      </c>
      <c r="C69" s="171">
        <v>11925</v>
      </c>
      <c r="D69" s="171">
        <v>11925</v>
      </c>
      <c r="E69" s="171">
        <v>11925</v>
      </c>
      <c r="F69" s="171">
        <v>11925</v>
      </c>
      <c r="G69" s="171">
        <v>11684</v>
      </c>
      <c r="H69" s="683"/>
      <c r="I69" s="642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</row>
    <row r="70" spans="1:42" s="89" customFormat="1" ht="13.5" customHeight="1" x14ac:dyDescent="0.2">
      <c r="A70" s="29"/>
      <c r="B70" s="25" t="s">
        <v>1105</v>
      </c>
      <c r="C70" s="171">
        <v>28642</v>
      </c>
      <c r="D70" s="171">
        <v>28642</v>
      </c>
      <c r="E70" s="171">
        <f>28642-75</f>
        <v>28567</v>
      </c>
      <c r="F70" s="171">
        <f>28642-75-20</f>
        <v>28547</v>
      </c>
      <c r="G70" s="171">
        <v>28547</v>
      </c>
      <c r="H70" s="683"/>
      <c r="I70" s="642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</row>
    <row r="71" spans="1:42" s="89" customFormat="1" ht="13.5" customHeight="1" x14ac:dyDescent="0.2">
      <c r="A71" s="29"/>
      <c r="B71" s="25" t="s">
        <v>1106</v>
      </c>
      <c r="C71" s="171">
        <v>25228</v>
      </c>
      <c r="D71" s="171">
        <v>25228</v>
      </c>
      <c r="E71" s="171">
        <v>25228</v>
      </c>
      <c r="F71" s="171">
        <f>25228+410</f>
        <v>25638</v>
      </c>
      <c r="G71" s="171">
        <v>25638</v>
      </c>
      <c r="H71" s="683"/>
      <c r="I71" s="642"/>
      <c r="J71" s="642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</row>
    <row r="72" spans="1:42" s="89" customFormat="1" ht="13.5" customHeight="1" x14ac:dyDescent="0.2">
      <c r="A72" s="29"/>
      <c r="B72" s="25" t="s">
        <v>1129</v>
      </c>
      <c r="C72" s="171">
        <v>8000</v>
      </c>
      <c r="D72" s="171">
        <v>8000</v>
      </c>
      <c r="E72" s="171">
        <v>8000</v>
      </c>
      <c r="F72" s="171">
        <v>8000</v>
      </c>
      <c r="G72" s="171">
        <v>0</v>
      </c>
      <c r="H72" s="683"/>
      <c r="I72" s="642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</row>
    <row r="73" spans="1:42" s="89" customFormat="1" ht="13.5" customHeight="1" x14ac:dyDescent="0.2">
      <c r="A73" s="29"/>
      <c r="B73" s="25" t="s">
        <v>1114</v>
      </c>
      <c r="C73" s="171">
        <f>(20182+14661+7513+4901+3475)</f>
        <v>50732</v>
      </c>
      <c r="D73" s="171">
        <f>(20182+14661+7513+4901+3475)</f>
        <v>50732</v>
      </c>
      <c r="E73" s="171">
        <f>(20182+14661+7513+4901+3475)-363</f>
        <v>50369</v>
      </c>
      <c r="F73" s="171">
        <f>(20182+14661+7513+4901+3475)-363</f>
        <v>50369</v>
      </c>
      <c r="G73" s="171">
        <v>50369</v>
      </c>
      <c r="H73" s="683"/>
      <c r="I73" s="642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</row>
    <row r="74" spans="1:42" s="89" customFormat="1" ht="13.5" customHeight="1" x14ac:dyDescent="0.2">
      <c r="A74" s="29"/>
      <c r="B74" s="25" t="s">
        <v>1115</v>
      </c>
      <c r="C74" s="171">
        <v>1111</v>
      </c>
      <c r="D74" s="171">
        <v>1111</v>
      </c>
      <c r="E74" s="171">
        <v>1111</v>
      </c>
      <c r="F74" s="171">
        <v>1111</v>
      </c>
      <c r="G74" s="171">
        <v>0</v>
      </c>
      <c r="H74" s="683"/>
      <c r="I74" s="642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  <c r="AM74" s="179"/>
      <c r="AN74" s="179"/>
      <c r="AO74" s="179"/>
      <c r="AP74" s="179"/>
    </row>
    <row r="75" spans="1:42" s="89" customFormat="1" ht="13.5" customHeight="1" x14ac:dyDescent="0.2">
      <c r="A75" s="29"/>
      <c r="B75" s="25" t="s">
        <v>1213</v>
      </c>
      <c r="C75" s="171">
        <v>0</v>
      </c>
      <c r="D75" s="171">
        <f>27796+16</f>
        <v>27812</v>
      </c>
      <c r="E75" s="171">
        <f>27796+16</f>
        <v>27812</v>
      </c>
      <c r="F75" s="171">
        <f>27796+16</f>
        <v>27812</v>
      </c>
      <c r="G75" s="171">
        <v>27812</v>
      </c>
      <c r="H75" s="683"/>
      <c r="I75" s="642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</row>
    <row r="76" spans="1:42" s="89" customFormat="1" ht="13.5" customHeight="1" x14ac:dyDescent="0.2">
      <c r="A76" s="29"/>
      <c r="B76" s="25" t="s">
        <v>1251</v>
      </c>
      <c r="C76" s="171">
        <v>0</v>
      </c>
      <c r="D76" s="171">
        <v>0</v>
      </c>
      <c r="E76" s="171">
        <v>14897</v>
      </c>
      <c r="F76" s="171">
        <v>14897</v>
      </c>
      <c r="G76" s="171">
        <v>14897</v>
      </c>
      <c r="H76" s="683"/>
      <c r="I76" s="642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79"/>
      <c r="AO76" s="179"/>
      <c r="AP76" s="179"/>
    </row>
    <row r="77" spans="1:42" s="89" customFormat="1" ht="13.5" customHeight="1" x14ac:dyDescent="0.2">
      <c r="A77" s="29"/>
      <c r="B77" s="25" t="s">
        <v>1259</v>
      </c>
      <c r="C77" s="171">
        <v>0</v>
      </c>
      <c r="D77" s="171">
        <v>0</v>
      </c>
      <c r="E77" s="171">
        <v>48565</v>
      </c>
      <c r="F77" s="171">
        <v>48565</v>
      </c>
      <c r="G77" s="171">
        <v>48565</v>
      </c>
      <c r="H77" s="683"/>
      <c r="I77" s="642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</row>
    <row r="78" spans="1:42" s="89" customFormat="1" ht="13.5" customHeight="1" x14ac:dyDescent="0.2">
      <c r="A78" s="29"/>
      <c r="B78" s="25" t="s">
        <v>1287</v>
      </c>
      <c r="C78" s="171">
        <v>0</v>
      </c>
      <c r="D78" s="171">
        <v>0</v>
      </c>
      <c r="E78" s="171">
        <v>448</v>
      </c>
      <c r="F78" s="171">
        <v>448</v>
      </c>
      <c r="G78" s="171">
        <v>448</v>
      </c>
      <c r="H78" s="683"/>
      <c r="I78" s="642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</row>
    <row r="79" spans="1:42" s="89" customFormat="1" ht="13.5" hidden="1" customHeight="1" x14ac:dyDescent="0.2">
      <c r="A79" s="29"/>
      <c r="B79" s="798"/>
      <c r="C79" s="798"/>
      <c r="D79" s="798"/>
      <c r="E79" s="798"/>
      <c r="F79" s="171"/>
      <c r="G79" s="171"/>
      <c r="H79" s="683"/>
      <c r="I79" s="642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</row>
    <row r="80" spans="1:42" s="89" customFormat="1" ht="15" x14ac:dyDescent="0.25">
      <c r="A80" s="29" t="s">
        <v>371</v>
      </c>
      <c r="B80" s="702" t="s">
        <v>13</v>
      </c>
      <c r="C80" s="704">
        <f>SUM(C81:C83)</f>
        <v>54135</v>
      </c>
      <c r="D80" s="704">
        <f>SUM(D81:D83)</f>
        <v>172309</v>
      </c>
      <c r="E80" s="204">
        <f>SUM(E81:E83)</f>
        <v>91006</v>
      </c>
      <c r="F80" s="204">
        <f>SUM(F81:F83)</f>
        <v>89643</v>
      </c>
      <c r="G80" s="704">
        <f>SUM(G81:G84)</f>
        <v>5020</v>
      </c>
      <c r="H80" s="683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</row>
    <row r="81" spans="1:42" s="89" customFormat="1" ht="14.25" customHeight="1" x14ac:dyDescent="0.2">
      <c r="A81" s="25" t="s">
        <v>1227</v>
      </c>
      <c r="B81" s="26" t="s">
        <v>1386</v>
      </c>
      <c r="C81" s="16">
        <v>0</v>
      </c>
      <c r="D81" s="16">
        <v>1</v>
      </c>
      <c r="E81" s="16">
        <v>1</v>
      </c>
      <c r="F81" s="16">
        <f>1+20</f>
        <v>21</v>
      </c>
      <c r="G81" s="16">
        <v>20</v>
      </c>
      <c r="H81" s="683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</row>
    <row r="82" spans="1:42" s="89" customFormat="1" ht="13.5" customHeight="1" x14ac:dyDescent="0.2">
      <c r="A82" s="25" t="s">
        <v>1270</v>
      </c>
      <c r="B82" s="26" t="s">
        <v>1267</v>
      </c>
      <c r="C82" s="16">
        <v>0</v>
      </c>
      <c r="D82" s="16">
        <v>0</v>
      </c>
      <c r="E82" s="16">
        <v>5000</v>
      </c>
      <c r="F82" s="16">
        <v>5000</v>
      </c>
      <c r="G82" s="16">
        <v>5000</v>
      </c>
      <c r="H82" s="683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</row>
    <row r="83" spans="1:42" s="89" customFormat="1" x14ac:dyDescent="0.2">
      <c r="A83" s="29"/>
      <c r="B83" s="25" t="s">
        <v>1266</v>
      </c>
      <c r="C83" s="16">
        <f>(40000+21857-860+10330+159-236-2477-1388-28250+15000)</f>
        <v>54135</v>
      </c>
      <c r="D83" s="16">
        <f>(40000+21857-860+10330+159-236-2477-1388-28250+15000)-1-16-2513-1+120704</f>
        <v>172308</v>
      </c>
      <c r="E83" s="16">
        <f>((40000+21857-860+10330+159-236-2477-1388-28250+15000)-1-16-2513-1+120704)-65-48565-101-5000+6575-38000-548-151-448</f>
        <v>86005</v>
      </c>
      <c r="F83" s="16">
        <f>(((40000+21857-860+10330+159-236-2477-1388-28250+15000)-1-16-2513-1+120704)-65-48565-101-5000+6575-38000-548-151-448)+65-66-324-648-410</f>
        <v>84622</v>
      </c>
      <c r="G83" s="325">
        <v>0</v>
      </c>
      <c r="H83" s="683">
        <f>F83-E83</f>
        <v>-1383</v>
      </c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79"/>
      <c r="AM83" s="179"/>
      <c r="AN83" s="179"/>
      <c r="AO83" s="179"/>
      <c r="AP83" s="179"/>
    </row>
    <row r="84" spans="1:42" s="89" customFormat="1" x14ac:dyDescent="0.2">
      <c r="A84" s="29"/>
      <c r="B84" s="25" t="s">
        <v>1120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683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79"/>
      <c r="AL84" s="179"/>
      <c r="AM84" s="179"/>
      <c r="AN84" s="179"/>
      <c r="AO84" s="179"/>
      <c r="AP84" s="179"/>
    </row>
    <row r="85" spans="1:42" ht="15.75" x14ac:dyDescent="0.2">
      <c r="A85" s="18" t="s">
        <v>207</v>
      </c>
      <c r="B85" s="220" t="s">
        <v>360</v>
      </c>
      <c r="C85" s="757">
        <f>SUM(C86+C89+C90)</f>
        <v>20156</v>
      </c>
      <c r="D85" s="757">
        <f>SUM(D86+D89+D90)</f>
        <v>20156</v>
      </c>
      <c r="E85" s="757">
        <f>SUM(E86+E89+E90)</f>
        <v>20156</v>
      </c>
      <c r="F85" s="757">
        <f>SUM(F86+F89+F90)</f>
        <v>20156</v>
      </c>
      <c r="G85" s="757">
        <f>SUM(G86+G89+G90)</f>
        <v>20156</v>
      </c>
      <c r="H85" s="690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" customHeight="1" x14ac:dyDescent="0.2">
      <c r="A86" s="18"/>
      <c r="B86" s="222" t="s">
        <v>396</v>
      </c>
      <c r="C86" s="804">
        <f>SUM(C88)</f>
        <v>20156</v>
      </c>
      <c r="D86" s="650">
        <f>SUM(D88)</f>
        <v>20156</v>
      </c>
      <c r="E86" s="650">
        <f>SUM(E88)</f>
        <v>20156</v>
      </c>
      <c r="F86" s="650">
        <f>SUM(F88)</f>
        <v>20156</v>
      </c>
      <c r="G86" s="650">
        <f>SUM(G88)</f>
        <v>20156</v>
      </c>
      <c r="H86" s="69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3.5" hidden="1" customHeight="1" x14ac:dyDescent="0.2">
      <c r="A87" s="18"/>
      <c r="B87" s="276" t="s">
        <v>397</v>
      </c>
      <c r="C87" s="805"/>
      <c r="D87" s="221"/>
      <c r="E87" s="221"/>
      <c r="F87" s="221"/>
      <c r="G87" s="221"/>
      <c r="H87" s="69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3.5" customHeight="1" x14ac:dyDescent="0.2">
      <c r="A88" s="18"/>
      <c r="B88" s="276" t="s">
        <v>928</v>
      </c>
      <c r="C88" s="96">
        <v>20156</v>
      </c>
      <c r="D88" s="96">
        <v>20156</v>
      </c>
      <c r="E88" s="96">
        <v>20156</v>
      </c>
      <c r="F88" s="96">
        <v>20156</v>
      </c>
      <c r="G88" s="96">
        <v>20156</v>
      </c>
      <c r="H88" s="690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" customHeight="1" x14ac:dyDescent="0.2">
      <c r="A89" s="18"/>
      <c r="B89" s="222" t="s">
        <v>398</v>
      </c>
      <c r="C89" s="221"/>
      <c r="D89" s="221"/>
      <c r="E89" s="221"/>
      <c r="F89" s="221"/>
      <c r="G89" s="221"/>
      <c r="H89" s="690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" customHeight="1" thickBot="1" x14ac:dyDescent="0.25">
      <c r="A90" s="28"/>
      <c r="B90" s="219" t="s">
        <v>399</v>
      </c>
      <c r="C90" s="206"/>
      <c r="D90" s="206"/>
      <c r="E90" s="206"/>
      <c r="F90" s="206"/>
      <c r="G90" s="206"/>
      <c r="H90" s="690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24" customHeight="1" thickBot="1" x14ac:dyDescent="0.4">
      <c r="A91" s="268"/>
      <c r="B91" s="315" t="s">
        <v>395</v>
      </c>
      <c r="C91" s="279">
        <f>SUM(C38+C85)</f>
        <v>883194</v>
      </c>
      <c r="D91" s="279">
        <f>SUM(D38+D85)</f>
        <v>1003898</v>
      </c>
      <c r="E91" s="279">
        <f>SUM(E38+E85)</f>
        <v>1366942</v>
      </c>
      <c r="F91" s="279">
        <f>SUM(F38+F85)</f>
        <v>1367011</v>
      </c>
      <c r="G91" s="279">
        <f>SUM(G38+G85)</f>
        <v>410895</v>
      </c>
      <c r="H91" s="74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hidden="1" customHeight="1" x14ac:dyDescent="0.2">
      <c r="B92" s="2"/>
      <c r="C92" s="231">
        <f>SUM(C37-C91)</f>
        <v>-79495</v>
      </c>
      <c r="D92" s="231">
        <f>SUM(D37-D91)</f>
        <v>-79495</v>
      </c>
      <c r="E92" s="231">
        <f>SUM(E37-E91)</f>
        <v>-79132</v>
      </c>
      <c r="F92" s="231">
        <f>SUM(F37-F91)</f>
        <v>-79136</v>
      </c>
      <c r="G92" s="231">
        <f>SUM(G37-G91)</f>
        <v>414266</v>
      </c>
      <c r="H92" s="23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s="199" customFormat="1" ht="13.5" customHeight="1" x14ac:dyDescent="0.2">
      <c r="A93" s="188"/>
      <c r="C93" s="656"/>
      <c r="D93" s="236"/>
      <c r="E93" s="236"/>
      <c r="F93" s="236"/>
      <c r="G93" s="236"/>
      <c r="H93" s="236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</row>
    <row r="94" spans="1:42" s="199" customFormat="1" ht="13.5" customHeight="1" x14ac:dyDescent="0.2">
      <c r="A94" s="188"/>
      <c r="B94" s="328"/>
      <c r="C94" s="237"/>
      <c r="D94" s="237"/>
      <c r="E94" s="237"/>
      <c r="F94" s="237"/>
      <c r="G94" s="237"/>
      <c r="H94" s="237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</row>
    <row r="95" spans="1:42" s="199" customFormat="1" ht="13.5" customHeight="1" x14ac:dyDescent="0.2">
      <c r="A95" s="188"/>
      <c r="C95" s="236"/>
      <c r="D95" s="236"/>
      <c r="E95" s="236"/>
      <c r="F95" s="236"/>
      <c r="G95" s="236"/>
      <c r="H95" s="236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</row>
    <row r="96" spans="1:42" s="199" customFormat="1" ht="13.5" customHeight="1" x14ac:dyDescent="0.2">
      <c r="A96" s="188"/>
      <c r="C96" s="656"/>
      <c r="D96" s="656"/>
      <c r="E96" s="236"/>
      <c r="F96" s="236"/>
      <c r="G96" s="236"/>
      <c r="H96" s="236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</row>
    <row r="97" spans="1:42" s="199" customFormat="1" ht="13.5" customHeight="1" x14ac:dyDescent="0.2">
      <c r="A97" s="188"/>
      <c r="C97" s="236"/>
      <c r="D97" s="236"/>
      <c r="E97" s="236"/>
      <c r="F97" s="236"/>
      <c r="G97" s="236"/>
      <c r="H97" s="236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</row>
    <row r="98" spans="1:42" s="199" customFormat="1" ht="13.5" customHeight="1" x14ac:dyDescent="0.2">
      <c r="A98" s="188"/>
      <c r="C98" s="236"/>
      <c r="D98" s="236"/>
      <c r="E98" s="236"/>
      <c r="F98" s="236"/>
      <c r="G98" s="236"/>
      <c r="H98" s="236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</row>
    <row r="99" spans="1:42" s="199" customFormat="1" ht="13.5" customHeight="1" x14ac:dyDescent="0.2">
      <c r="A99" s="188"/>
      <c r="C99" s="236"/>
      <c r="D99" s="236"/>
      <c r="E99" s="236"/>
      <c r="F99" s="236"/>
      <c r="G99" s="236"/>
      <c r="H99" s="236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</row>
    <row r="100" spans="1:42" s="199" customFormat="1" ht="13.5" customHeight="1" x14ac:dyDescent="0.2">
      <c r="A100" s="188"/>
      <c r="C100" s="236"/>
      <c r="D100" s="236"/>
      <c r="E100" s="236"/>
      <c r="F100" s="236"/>
      <c r="G100" s="236"/>
      <c r="H100" s="236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</row>
    <row r="101" spans="1:42" s="199" customFormat="1" ht="13.5" customHeight="1" x14ac:dyDescent="0.2">
      <c r="A101" s="188"/>
      <c r="C101" s="236"/>
      <c r="D101" s="236"/>
      <c r="E101" s="236"/>
      <c r="F101" s="236"/>
      <c r="G101" s="236"/>
      <c r="H101" s="236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</row>
    <row r="102" spans="1:42" s="199" customFormat="1" ht="13.5" customHeight="1" x14ac:dyDescent="0.2">
      <c r="A102" s="188"/>
      <c r="C102" s="236"/>
      <c r="D102" s="236"/>
      <c r="E102" s="236"/>
      <c r="F102" s="236"/>
      <c r="G102" s="236"/>
      <c r="H102" s="236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</row>
    <row r="103" spans="1:42" s="199" customFormat="1" ht="13.5" customHeight="1" x14ac:dyDescent="0.2">
      <c r="A103" s="188"/>
      <c r="C103" s="236"/>
      <c r="D103" s="236"/>
      <c r="E103" s="236"/>
      <c r="F103" s="236"/>
      <c r="G103" s="236"/>
      <c r="H103" s="236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</row>
    <row r="104" spans="1:42" s="199" customFormat="1" ht="13.5" customHeight="1" x14ac:dyDescent="0.2">
      <c r="A104" s="188"/>
      <c r="C104" s="236"/>
      <c r="D104" s="236"/>
      <c r="E104" s="236"/>
      <c r="F104" s="236"/>
      <c r="G104" s="236"/>
      <c r="H104" s="236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</row>
    <row r="105" spans="1:42" s="199" customFormat="1" ht="13.5" customHeight="1" x14ac:dyDescent="0.2">
      <c r="A105" s="188"/>
      <c r="C105" s="236"/>
      <c r="D105" s="236"/>
      <c r="E105" s="236"/>
      <c r="F105" s="236"/>
      <c r="G105" s="236"/>
      <c r="H105" s="236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</row>
    <row r="106" spans="1:42" s="199" customFormat="1" ht="13.5" customHeight="1" x14ac:dyDescent="0.2">
      <c r="A106" s="188"/>
      <c r="C106" s="236"/>
      <c r="D106" s="236"/>
      <c r="E106" s="236"/>
      <c r="F106" s="236"/>
      <c r="G106" s="236"/>
      <c r="H106" s="236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</row>
    <row r="107" spans="1:42" s="199" customFormat="1" ht="13.5" customHeight="1" x14ac:dyDescent="0.2">
      <c r="A107" s="188"/>
      <c r="C107" s="236"/>
      <c r="D107" s="236"/>
      <c r="E107" s="236"/>
      <c r="F107" s="236"/>
      <c r="G107" s="236"/>
      <c r="H107" s="236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</row>
    <row r="108" spans="1:42" s="199" customFormat="1" ht="13.5" customHeight="1" x14ac:dyDescent="0.2">
      <c r="A108" s="188"/>
      <c r="C108" s="236"/>
      <c r="D108" s="236"/>
      <c r="E108" s="236"/>
      <c r="F108" s="236"/>
      <c r="G108" s="236"/>
      <c r="H108" s="236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</row>
    <row r="109" spans="1:42" ht="15.75" customHeight="1" x14ac:dyDescent="0.2">
      <c r="B109" s="2"/>
      <c r="C109" s="238"/>
      <c r="D109" s="238"/>
      <c r="E109" s="238"/>
      <c r="F109" s="238"/>
      <c r="G109" s="238"/>
      <c r="H109" s="23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2">
      <c r="B110" s="2"/>
      <c r="C110" s="231"/>
      <c r="D110" s="231"/>
      <c r="E110" s="231"/>
      <c r="F110" s="231"/>
      <c r="G110" s="231"/>
      <c r="H110" s="23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2">
      <c r="B111" s="2"/>
      <c r="C111" s="231"/>
      <c r="D111" s="231"/>
      <c r="E111" s="231"/>
      <c r="F111" s="231"/>
      <c r="G111" s="231"/>
      <c r="H111" s="23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2">
      <c r="B112" s="2"/>
      <c r="C112" s="239"/>
      <c r="D112" s="239"/>
      <c r="E112" s="239"/>
      <c r="F112" s="239"/>
      <c r="G112" s="239"/>
      <c r="H112" s="239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2">
      <c r="B113" s="2"/>
      <c r="C113" s="239"/>
      <c r="D113" s="239"/>
      <c r="E113" s="239"/>
      <c r="F113" s="239"/>
      <c r="G113" s="239"/>
      <c r="H113" s="239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2">
      <c r="B114" s="2"/>
      <c r="C114" s="239"/>
      <c r="D114" s="239"/>
      <c r="E114" s="239"/>
      <c r="F114" s="239"/>
      <c r="G114" s="239"/>
      <c r="H114" s="239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2">
      <c r="B115" s="2"/>
      <c r="C115" s="239"/>
      <c r="D115" s="239"/>
      <c r="E115" s="239"/>
      <c r="F115" s="239"/>
      <c r="G115" s="239"/>
      <c r="H115" s="239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2">
      <c r="B116" s="2"/>
      <c r="C116" s="239"/>
      <c r="D116" s="239"/>
      <c r="E116" s="239"/>
      <c r="F116" s="239"/>
      <c r="G116" s="239"/>
      <c r="H116" s="239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2">
      <c r="B117" s="2"/>
      <c r="C117" s="239"/>
      <c r="D117" s="239"/>
      <c r="E117" s="239"/>
      <c r="F117" s="239"/>
      <c r="G117" s="239"/>
      <c r="H117" s="239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2">
      <c r="A118"/>
      <c r="B118" s="2"/>
      <c r="C118" s="239"/>
      <c r="D118" s="239"/>
      <c r="E118" s="239"/>
      <c r="F118" s="239"/>
      <c r="G118" s="239"/>
      <c r="H118" s="239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2">
      <c r="A119"/>
      <c r="B119" s="2"/>
      <c r="C119" s="239"/>
      <c r="D119" s="239"/>
      <c r="E119" s="239"/>
      <c r="F119" s="239"/>
      <c r="G119" s="239"/>
      <c r="H119" s="239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2">
      <c r="A120"/>
      <c r="B120" s="2"/>
      <c r="C120" s="239"/>
      <c r="D120" s="239"/>
      <c r="E120" s="239"/>
      <c r="F120" s="239"/>
      <c r="G120" s="239"/>
      <c r="H120" s="239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2">
      <c r="A121"/>
      <c r="B121" s="2"/>
      <c r="C121" s="239"/>
      <c r="D121" s="239"/>
      <c r="E121" s="239"/>
      <c r="F121" s="239"/>
      <c r="G121" s="239"/>
      <c r="H121" s="239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2">
      <c r="A122"/>
      <c r="B122" s="2"/>
      <c r="C122" s="239"/>
      <c r="D122" s="239"/>
      <c r="E122" s="239"/>
      <c r="F122" s="239"/>
      <c r="G122" s="239"/>
      <c r="H122" s="239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2">
      <c r="A123"/>
      <c r="B123" s="2"/>
      <c r="C123" s="239"/>
      <c r="D123" s="239"/>
      <c r="E123" s="239"/>
      <c r="F123" s="239"/>
      <c r="G123" s="239"/>
      <c r="H123" s="239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2">
      <c r="A124"/>
      <c r="B124" s="2"/>
      <c r="C124" s="239"/>
      <c r="D124" s="239"/>
      <c r="E124" s="239"/>
      <c r="F124" s="239"/>
      <c r="G124" s="239"/>
      <c r="H124" s="23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2">
      <c r="A125"/>
      <c r="B125" s="2"/>
      <c r="C125" s="239"/>
      <c r="D125" s="239"/>
      <c r="E125" s="239"/>
      <c r="F125" s="239"/>
      <c r="G125" s="239"/>
      <c r="H125" s="23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2">
      <c r="A126"/>
      <c r="B126" s="2"/>
      <c r="C126" s="239"/>
      <c r="D126" s="239"/>
      <c r="E126" s="239"/>
      <c r="F126" s="239"/>
      <c r="G126" s="239"/>
      <c r="H126" s="23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2">
      <c r="A127"/>
      <c r="B127" s="2"/>
      <c r="C127" s="239"/>
      <c r="D127" s="239"/>
      <c r="E127" s="239"/>
      <c r="F127" s="239"/>
      <c r="G127" s="239"/>
      <c r="H127" s="23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2">
      <c r="A128"/>
      <c r="B128" s="2"/>
      <c r="C128" s="239"/>
      <c r="D128" s="239"/>
      <c r="E128" s="239"/>
      <c r="F128" s="239"/>
      <c r="G128" s="239"/>
      <c r="H128" s="23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2">
      <c r="A129"/>
      <c r="B129" s="2"/>
      <c r="C129" s="239"/>
      <c r="D129" s="239"/>
      <c r="E129" s="239"/>
      <c r="F129" s="239"/>
      <c r="G129" s="239"/>
      <c r="H129" s="23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2">
      <c r="A130"/>
      <c r="B130" s="2"/>
      <c r="C130" s="239"/>
      <c r="D130" s="239"/>
      <c r="E130" s="239"/>
      <c r="F130" s="239"/>
      <c r="G130" s="239"/>
      <c r="H130" s="23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2">
      <c r="A131"/>
      <c r="B131" s="2"/>
      <c r="C131" s="239"/>
      <c r="D131" s="239"/>
      <c r="E131" s="239"/>
      <c r="F131" s="239"/>
      <c r="G131" s="239"/>
      <c r="H131" s="239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2">
      <c r="A132"/>
      <c r="B132" s="2"/>
      <c r="C132" s="239"/>
      <c r="D132" s="239"/>
      <c r="E132" s="239"/>
      <c r="F132" s="239"/>
      <c r="G132" s="239"/>
      <c r="H132" s="239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2">
      <c r="A133"/>
      <c r="B133" s="2"/>
      <c r="C133" s="239"/>
      <c r="D133" s="239"/>
      <c r="E133" s="239"/>
      <c r="F133" s="239"/>
      <c r="G133" s="239"/>
      <c r="H133" s="239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2">
      <c r="A134"/>
      <c r="B134" s="2"/>
      <c r="C134" s="239"/>
      <c r="D134" s="239"/>
      <c r="E134" s="239"/>
      <c r="F134" s="239"/>
      <c r="G134" s="239"/>
      <c r="H134" s="239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2">
      <c r="A135"/>
      <c r="B135" s="2"/>
      <c r="C135" s="239"/>
      <c r="D135" s="239"/>
      <c r="E135" s="239"/>
      <c r="F135" s="239"/>
      <c r="G135" s="239"/>
      <c r="H135" s="239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2">
      <c r="A136"/>
      <c r="B136" s="2"/>
      <c r="C136" s="239"/>
      <c r="D136" s="239"/>
      <c r="E136" s="239"/>
      <c r="F136" s="239"/>
      <c r="G136" s="239"/>
      <c r="H136" s="239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2">
      <c r="A137"/>
      <c r="B137" s="2"/>
      <c r="C137" s="239"/>
      <c r="D137" s="239"/>
      <c r="E137" s="239"/>
      <c r="F137" s="239"/>
      <c r="G137" s="239"/>
      <c r="H137" s="239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2">
      <c r="A138"/>
      <c r="B138" s="2"/>
      <c r="C138" s="239"/>
      <c r="D138" s="239"/>
      <c r="E138" s="239"/>
      <c r="F138" s="239"/>
      <c r="G138" s="239"/>
      <c r="H138" s="239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2">
      <c r="A139"/>
      <c r="B139" s="2"/>
      <c r="C139" s="239"/>
      <c r="D139" s="239"/>
      <c r="E139" s="239"/>
      <c r="F139" s="239"/>
      <c r="G139" s="239"/>
      <c r="H139" s="239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2">
      <c r="A140"/>
      <c r="B140" s="2"/>
      <c r="C140" s="239"/>
      <c r="D140" s="239"/>
      <c r="E140" s="239"/>
      <c r="F140" s="239"/>
      <c r="G140" s="239"/>
      <c r="H140" s="239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2">
      <c r="A141"/>
      <c r="B141" s="2"/>
      <c r="C141" s="239"/>
      <c r="D141" s="239"/>
      <c r="E141" s="239"/>
      <c r="F141" s="239"/>
      <c r="G141" s="239"/>
      <c r="H141" s="239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2">
      <c r="A142"/>
      <c r="B142" s="2"/>
      <c r="C142" s="239"/>
      <c r="D142" s="239"/>
      <c r="E142" s="239"/>
      <c r="F142" s="239"/>
      <c r="G142" s="239"/>
      <c r="H142" s="23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2">
      <c r="A143"/>
      <c r="B143" s="2"/>
      <c r="C143" s="239"/>
      <c r="D143" s="239"/>
      <c r="E143" s="239"/>
      <c r="F143" s="239"/>
      <c r="G143" s="239"/>
      <c r="H143" s="239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2">
      <c r="A144"/>
      <c r="B144" s="2"/>
      <c r="C144" s="239"/>
      <c r="D144" s="239"/>
      <c r="E144" s="239"/>
      <c r="F144" s="239"/>
      <c r="G144" s="239"/>
      <c r="H144" s="239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2">
      <c r="A145"/>
      <c r="B145" s="2"/>
      <c r="C145" s="239"/>
      <c r="D145" s="239"/>
      <c r="E145" s="239"/>
      <c r="F145" s="239"/>
      <c r="G145" s="239"/>
      <c r="H145" s="239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2">
      <c r="A146"/>
      <c r="B146" s="2"/>
      <c r="C146" s="239"/>
      <c r="D146" s="239"/>
      <c r="E146" s="239"/>
      <c r="F146" s="239"/>
      <c r="G146" s="239"/>
      <c r="H146" s="239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2">
      <c r="A147"/>
      <c r="B147" s="2"/>
      <c r="C147" s="239"/>
      <c r="D147" s="239"/>
      <c r="E147" s="239"/>
      <c r="F147" s="239"/>
      <c r="G147" s="239"/>
      <c r="H147" s="23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2">
      <c r="A148"/>
      <c r="B148" s="2"/>
      <c r="C148" s="239"/>
      <c r="D148" s="239"/>
      <c r="E148" s="239"/>
      <c r="F148" s="239"/>
      <c r="G148" s="239"/>
      <c r="H148" s="239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2">
      <c r="A149"/>
      <c r="B149" s="2"/>
      <c r="C149" s="239"/>
      <c r="D149" s="239"/>
      <c r="E149" s="239"/>
      <c r="F149" s="239"/>
      <c r="G149" s="239"/>
      <c r="H149" s="239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2">
      <c r="A150"/>
      <c r="B150" s="2"/>
      <c r="C150" s="239"/>
      <c r="D150" s="239"/>
      <c r="E150" s="239"/>
      <c r="F150" s="239"/>
      <c r="G150" s="239"/>
      <c r="H150" s="239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2">
      <c r="A151"/>
      <c r="B151" s="2"/>
      <c r="C151" s="239"/>
      <c r="D151" s="239"/>
      <c r="E151" s="239"/>
      <c r="F151" s="239"/>
      <c r="G151" s="239"/>
      <c r="H151" s="239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2">
      <c r="A152"/>
      <c r="B152" s="2"/>
      <c r="C152" s="239"/>
      <c r="D152" s="239"/>
      <c r="E152" s="239"/>
      <c r="F152" s="239"/>
      <c r="G152" s="239"/>
      <c r="H152" s="239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2">
      <c r="A153"/>
      <c r="B153" s="2"/>
      <c r="C153" s="240"/>
      <c r="D153" s="240"/>
      <c r="E153" s="240"/>
      <c r="F153" s="240"/>
      <c r="G153" s="240"/>
      <c r="H153" s="24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2">
      <c r="A154"/>
      <c r="B154" s="2"/>
      <c r="C154" s="240"/>
      <c r="D154" s="240"/>
      <c r="E154" s="240"/>
      <c r="F154" s="240"/>
      <c r="G154" s="240"/>
      <c r="H154" s="24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2">
      <c r="A155"/>
      <c r="B155" s="2"/>
      <c r="C155" s="240"/>
      <c r="D155" s="240"/>
      <c r="E155" s="240"/>
      <c r="F155" s="240"/>
      <c r="G155" s="240"/>
      <c r="H155" s="24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2">
      <c r="A156"/>
      <c r="B156" s="2"/>
      <c r="C156" s="240"/>
      <c r="D156" s="240"/>
      <c r="E156" s="240"/>
      <c r="F156" s="240"/>
      <c r="G156" s="240"/>
      <c r="H156" s="24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2">
      <c r="A157"/>
      <c r="B157" s="2"/>
      <c r="C157" s="240"/>
      <c r="D157" s="240"/>
      <c r="E157" s="240"/>
      <c r="F157" s="240"/>
      <c r="G157" s="240"/>
      <c r="H157" s="24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2">
      <c r="A158"/>
      <c r="B158" s="2"/>
      <c r="C158" s="240"/>
      <c r="D158" s="240"/>
      <c r="E158" s="240"/>
      <c r="F158" s="240"/>
      <c r="G158" s="240"/>
      <c r="H158" s="24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2">
      <c r="A159"/>
      <c r="B159" s="2"/>
      <c r="C159" s="240"/>
      <c r="D159" s="240"/>
      <c r="E159" s="240"/>
      <c r="F159" s="240"/>
      <c r="G159" s="240"/>
      <c r="H159" s="24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2">
      <c r="A160"/>
      <c r="B160" s="2"/>
      <c r="C160" s="240"/>
      <c r="D160" s="240"/>
      <c r="E160" s="240"/>
      <c r="F160" s="240"/>
      <c r="G160" s="240"/>
      <c r="H160" s="24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2">
      <c r="A161"/>
      <c r="B161" s="2"/>
      <c r="C161" s="240"/>
      <c r="D161" s="240"/>
      <c r="E161" s="240"/>
      <c r="F161" s="240"/>
      <c r="G161" s="240"/>
      <c r="H161" s="24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2">
      <c r="A162"/>
      <c r="B162" s="2"/>
      <c r="C162" s="240"/>
      <c r="D162" s="240"/>
      <c r="E162" s="240"/>
      <c r="F162" s="240"/>
      <c r="G162" s="240"/>
      <c r="H162" s="240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2">
      <c r="A163"/>
      <c r="B163" s="2"/>
      <c r="C163" s="240"/>
      <c r="D163" s="240"/>
      <c r="E163" s="240"/>
      <c r="F163" s="240"/>
      <c r="G163" s="240"/>
      <c r="H163" s="24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2">
      <c r="A164"/>
      <c r="B164" s="2"/>
      <c r="C164" s="240"/>
      <c r="D164" s="240"/>
      <c r="E164" s="240"/>
      <c r="F164" s="240"/>
      <c r="G164" s="240"/>
      <c r="H164" s="24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2">
      <c r="A165"/>
      <c r="B165" s="2"/>
      <c r="C165" s="240"/>
      <c r="D165" s="240"/>
      <c r="E165" s="240"/>
      <c r="F165" s="240"/>
      <c r="G165" s="240"/>
      <c r="H165" s="24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2">
      <c r="A166"/>
      <c r="B166" s="2"/>
      <c r="C166" s="240"/>
      <c r="D166" s="240"/>
      <c r="E166" s="240"/>
      <c r="F166" s="240"/>
      <c r="G166" s="240"/>
      <c r="H166" s="24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2">
      <c r="A167"/>
      <c r="B167" s="2"/>
      <c r="C167" s="240"/>
      <c r="D167" s="240"/>
      <c r="E167" s="240"/>
      <c r="F167" s="240"/>
      <c r="G167" s="240"/>
      <c r="H167" s="24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2">
      <c r="A168"/>
      <c r="B168" s="2"/>
      <c r="C168" s="240"/>
      <c r="D168" s="240"/>
      <c r="E168" s="240"/>
      <c r="F168" s="240"/>
      <c r="G168" s="240"/>
      <c r="H168" s="240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2">
      <c r="A169"/>
      <c r="B169" s="2"/>
      <c r="C169" s="240"/>
      <c r="D169" s="240"/>
      <c r="E169" s="240"/>
      <c r="F169" s="240"/>
      <c r="G169" s="240"/>
      <c r="H169" s="240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2">
      <c r="A170"/>
      <c r="B170" s="2"/>
      <c r="C170" s="240"/>
      <c r="D170" s="240"/>
      <c r="E170" s="240"/>
      <c r="F170" s="240"/>
      <c r="G170" s="240"/>
      <c r="H170" s="240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2">
      <c r="A171"/>
      <c r="B171" s="2"/>
      <c r="C171" s="240"/>
      <c r="D171" s="240"/>
      <c r="E171" s="240"/>
      <c r="F171" s="240"/>
      <c r="G171" s="240"/>
      <c r="H171" s="240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2">
      <c r="A172"/>
      <c r="B172" s="2"/>
      <c r="C172" s="240"/>
      <c r="D172" s="240"/>
      <c r="E172" s="240"/>
      <c r="F172" s="240"/>
      <c r="G172" s="240"/>
      <c r="H172" s="240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2">
      <c r="A173"/>
      <c r="B173" s="2"/>
      <c r="C173" s="240"/>
      <c r="D173" s="240"/>
      <c r="E173" s="240"/>
      <c r="F173" s="240"/>
      <c r="G173" s="240"/>
      <c r="H173" s="24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2">
      <c r="A174"/>
      <c r="B174" s="2"/>
      <c r="C174" s="240"/>
      <c r="D174" s="240"/>
      <c r="E174" s="240"/>
      <c r="F174" s="240"/>
      <c r="G174" s="240"/>
      <c r="H174" s="24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2">
      <c r="A175"/>
      <c r="B175" s="2"/>
      <c r="C175" s="240"/>
      <c r="D175" s="240"/>
      <c r="E175" s="240"/>
      <c r="F175" s="240"/>
      <c r="G175" s="240"/>
      <c r="H175" s="240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2">
      <c r="A176"/>
      <c r="B176" s="2"/>
      <c r="C176" s="240"/>
      <c r="D176" s="240"/>
      <c r="E176" s="240"/>
      <c r="F176" s="240"/>
      <c r="G176" s="240"/>
      <c r="H176" s="240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2">
      <c r="A177"/>
      <c r="B177" s="2"/>
      <c r="C177" s="240"/>
      <c r="D177" s="240"/>
      <c r="E177" s="240"/>
      <c r="F177" s="240"/>
      <c r="G177" s="240"/>
      <c r="H177" s="24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2">
      <c r="A178"/>
      <c r="B178" s="2"/>
      <c r="C178" s="240"/>
      <c r="D178" s="240"/>
      <c r="E178" s="240"/>
      <c r="F178" s="240"/>
      <c r="G178" s="240"/>
      <c r="H178" s="24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2">
      <c r="A179"/>
      <c r="B179" s="2"/>
      <c r="C179" s="240"/>
      <c r="D179" s="240"/>
      <c r="E179" s="240"/>
      <c r="F179" s="240"/>
      <c r="G179" s="240"/>
      <c r="H179" s="24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2">
      <c r="A180"/>
      <c r="B180" s="2"/>
      <c r="C180" s="240"/>
      <c r="D180" s="240"/>
      <c r="E180" s="240"/>
      <c r="F180" s="240"/>
      <c r="G180" s="240"/>
      <c r="H180" s="240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2">
      <c r="A181"/>
      <c r="B181" s="2"/>
      <c r="C181" s="240"/>
      <c r="D181" s="240"/>
      <c r="E181" s="240"/>
      <c r="F181" s="240"/>
      <c r="G181" s="240"/>
      <c r="H181" s="240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2">
      <c r="A182"/>
      <c r="B182" s="2"/>
      <c r="C182" s="240"/>
      <c r="D182" s="240"/>
      <c r="E182" s="240"/>
      <c r="F182" s="240"/>
      <c r="G182" s="240"/>
      <c r="H182" s="240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2">
      <c r="A183"/>
      <c r="B183" s="2"/>
      <c r="C183" s="240"/>
      <c r="D183" s="240"/>
      <c r="E183" s="240"/>
      <c r="F183" s="240"/>
      <c r="G183" s="240"/>
      <c r="H183" s="240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2">
      <c r="A184"/>
      <c r="B184" s="2"/>
      <c r="C184" s="240"/>
      <c r="D184" s="240"/>
      <c r="E184" s="240"/>
      <c r="F184" s="240"/>
      <c r="G184" s="240"/>
      <c r="H184" s="240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2">
      <c r="A185"/>
      <c r="B185" s="2"/>
      <c r="C185" s="240"/>
      <c r="D185" s="240"/>
      <c r="E185" s="240"/>
      <c r="F185" s="240"/>
      <c r="G185" s="240"/>
      <c r="H185" s="240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2">
      <c r="A186"/>
      <c r="B186" s="2"/>
      <c r="C186" s="240"/>
      <c r="D186" s="240"/>
      <c r="E186" s="240"/>
      <c r="F186" s="240"/>
      <c r="G186" s="240"/>
      <c r="H186" s="240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2">
      <c r="A187"/>
      <c r="B187" s="2"/>
      <c r="C187" s="240"/>
      <c r="D187" s="240"/>
      <c r="E187" s="240"/>
      <c r="F187" s="240"/>
      <c r="G187" s="240"/>
      <c r="H187" s="240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2">
      <c r="A188"/>
      <c r="B188" s="2"/>
      <c r="C188" s="240"/>
      <c r="D188" s="240"/>
      <c r="E188" s="240"/>
      <c r="F188" s="240"/>
      <c r="G188" s="240"/>
      <c r="H188" s="240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2">
      <c r="A189"/>
      <c r="B189" s="2"/>
      <c r="C189" s="240"/>
      <c r="D189" s="240"/>
      <c r="E189" s="240"/>
      <c r="F189" s="240"/>
      <c r="G189" s="240"/>
      <c r="H189" s="240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2">
      <c r="A190"/>
      <c r="B190" s="2"/>
      <c r="C190" s="240"/>
      <c r="D190" s="240"/>
      <c r="E190" s="240"/>
      <c r="F190" s="240"/>
      <c r="G190" s="240"/>
      <c r="H190" s="240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2">
      <c r="A191"/>
      <c r="B191" s="2"/>
      <c r="C191" s="240"/>
      <c r="D191" s="240"/>
      <c r="E191" s="240"/>
      <c r="F191" s="240"/>
      <c r="G191" s="240"/>
      <c r="H191" s="240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2">
      <c r="A192"/>
      <c r="B192" s="2"/>
      <c r="C192" s="240"/>
      <c r="D192" s="240"/>
      <c r="E192" s="240"/>
      <c r="F192" s="240"/>
      <c r="G192" s="240"/>
      <c r="H192" s="240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2">
      <c r="A193"/>
      <c r="B193" s="2"/>
      <c r="C193" s="240"/>
      <c r="D193" s="240"/>
      <c r="E193" s="240"/>
      <c r="F193" s="240"/>
      <c r="G193" s="240"/>
      <c r="H193" s="240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2">
      <c r="A194"/>
      <c r="B194" s="2"/>
      <c r="C194" s="240"/>
      <c r="D194" s="240"/>
      <c r="E194" s="240"/>
      <c r="F194" s="240"/>
      <c r="G194" s="240"/>
      <c r="H194" s="240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2">
      <c r="A195"/>
      <c r="B195" s="2"/>
      <c r="C195" s="240"/>
      <c r="D195" s="240"/>
      <c r="E195" s="240"/>
      <c r="F195" s="240"/>
      <c r="G195" s="240"/>
      <c r="H195" s="240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2">
      <c r="A196"/>
      <c r="B196" s="2"/>
      <c r="C196" s="240"/>
      <c r="D196" s="240"/>
      <c r="E196" s="240"/>
      <c r="F196" s="240"/>
      <c r="G196" s="240"/>
      <c r="H196" s="240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2">
      <c r="A197"/>
      <c r="B197" s="2"/>
      <c r="C197" s="240"/>
      <c r="D197" s="240"/>
      <c r="E197" s="240"/>
      <c r="F197" s="240"/>
      <c r="G197" s="240"/>
      <c r="H197" s="240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2">
      <c r="A198"/>
      <c r="B198" s="2"/>
      <c r="C198" s="240"/>
      <c r="D198" s="240"/>
      <c r="E198" s="240"/>
      <c r="F198" s="240"/>
      <c r="G198" s="240"/>
      <c r="H198" s="240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2">
      <c r="A199"/>
      <c r="B199" s="2"/>
      <c r="C199" s="240"/>
      <c r="D199" s="240"/>
      <c r="E199" s="240"/>
      <c r="F199" s="240"/>
      <c r="G199" s="240"/>
      <c r="H199" s="240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2">
      <c r="A200"/>
      <c r="B200" s="2"/>
      <c r="C200" s="240"/>
      <c r="D200" s="240"/>
      <c r="E200" s="240"/>
      <c r="F200" s="240"/>
      <c r="G200" s="240"/>
      <c r="H200" s="240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2">
      <c r="A201"/>
      <c r="B201" s="2"/>
      <c r="C201" s="240"/>
      <c r="D201" s="240"/>
      <c r="E201" s="240"/>
      <c r="F201" s="240"/>
      <c r="G201" s="240"/>
      <c r="H201" s="240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2">
      <c r="A202"/>
      <c r="B202" s="2"/>
      <c r="C202" s="240"/>
      <c r="D202" s="240"/>
      <c r="E202" s="240"/>
      <c r="F202" s="240"/>
      <c r="G202" s="240"/>
      <c r="H202" s="240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2">
      <c r="A203"/>
      <c r="B203" s="2"/>
      <c r="C203" s="240"/>
      <c r="D203" s="240"/>
      <c r="E203" s="240"/>
      <c r="F203" s="240"/>
      <c r="G203" s="240"/>
      <c r="H203" s="240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2">
      <c r="A204"/>
      <c r="B204" s="2"/>
      <c r="C204" s="240"/>
      <c r="D204" s="240"/>
      <c r="E204" s="240"/>
      <c r="F204" s="240"/>
      <c r="G204" s="240"/>
      <c r="H204" s="240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2">
      <c r="A205"/>
      <c r="B205" s="2"/>
      <c r="C205" s="240"/>
      <c r="D205" s="240"/>
      <c r="E205" s="240"/>
      <c r="F205" s="240"/>
      <c r="G205" s="240"/>
      <c r="H205" s="240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2">
      <c r="A206"/>
      <c r="B206" s="2"/>
      <c r="C206" s="240"/>
      <c r="D206" s="240"/>
      <c r="E206" s="240"/>
      <c r="F206" s="240"/>
      <c r="G206" s="240"/>
      <c r="H206" s="240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2">
      <c r="A207"/>
      <c r="B207" s="2"/>
      <c r="C207" s="240"/>
      <c r="D207" s="240"/>
      <c r="E207" s="240"/>
      <c r="F207" s="240"/>
      <c r="G207" s="240"/>
      <c r="H207" s="240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2">
      <c r="A208"/>
      <c r="B208" s="2"/>
      <c r="C208" s="240"/>
      <c r="D208" s="240"/>
      <c r="E208" s="240"/>
      <c r="F208" s="240"/>
      <c r="G208" s="240"/>
      <c r="H208" s="240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2">
      <c r="A209"/>
      <c r="B209" s="2"/>
      <c r="C209" s="240"/>
      <c r="D209" s="240"/>
      <c r="E209" s="240"/>
      <c r="F209" s="240"/>
      <c r="G209" s="240"/>
      <c r="H209" s="240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2">
      <c r="A210"/>
      <c r="B210" s="2"/>
      <c r="C210" s="240"/>
      <c r="D210" s="240"/>
      <c r="E210" s="240"/>
      <c r="F210" s="240"/>
      <c r="G210" s="240"/>
      <c r="H210" s="240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2">
      <c r="A211"/>
      <c r="B211" s="2"/>
      <c r="C211" s="240"/>
      <c r="D211" s="240"/>
      <c r="E211" s="240"/>
      <c r="F211" s="240"/>
      <c r="G211" s="240"/>
      <c r="H211" s="240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2">
      <c r="A212"/>
      <c r="B212" s="2"/>
      <c r="C212" s="240"/>
      <c r="D212" s="240"/>
      <c r="E212" s="240"/>
      <c r="F212" s="240"/>
      <c r="G212" s="240"/>
      <c r="H212" s="240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2">
      <c r="A213"/>
      <c r="B213" s="2"/>
      <c r="C213" s="240"/>
      <c r="D213" s="240"/>
      <c r="E213" s="240"/>
      <c r="F213" s="240"/>
      <c r="G213" s="240"/>
      <c r="H213" s="240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2">
      <c r="A214"/>
      <c r="B214" s="2"/>
      <c r="C214" s="240"/>
      <c r="D214" s="240"/>
      <c r="E214" s="240"/>
      <c r="F214" s="240"/>
      <c r="G214" s="240"/>
      <c r="H214" s="240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2">
      <c r="A215"/>
      <c r="B215" s="2"/>
      <c r="C215" s="240"/>
      <c r="D215" s="240"/>
      <c r="E215" s="240"/>
      <c r="F215" s="240"/>
      <c r="G215" s="240"/>
      <c r="H215" s="240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2">
      <c r="A216"/>
      <c r="B216" s="2"/>
      <c r="C216" s="240"/>
      <c r="D216" s="240"/>
      <c r="E216" s="240"/>
      <c r="F216" s="240"/>
      <c r="G216" s="240"/>
      <c r="H216" s="240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2">
      <c r="A217"/>
      <c r="B217" s="2"/>
      <c r="C217" s="240"/>
      <c r="D217" s="240"/>
      <c r="E217" s="240"/>
      <c r="F217" s="240"/>
      <c r="G217" s="240"/>
      <c r="H217" s="240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2">
      <c r="A218"/>
      <c r="B218" s="2"/>
      <c r="C218" s="240"/>
      <c r="D218" s="240"/>
      <c r="E218" s="240"/>
      <c r="F218" s="240"/>
      <c r="G218" s="240"/>
      <c r="H218" s="24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2">
      <c r="A219"/>
      <c r="B219" s="2"/>
      <c r="C219" s="240"/>
      <c r="D219" s="240"/>
      <c r="E219" s="240"/>
      <c r="F219" s="240"/>
      <c r="G219" s="240"/>
      <c r="H219" s="24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2">
      <c r="A220"/>
      <c r="B220" s="2"/>
      <c r="C220" s="240"/>
      <c r="D220" s="240"/>
      <c r="E220" s="240"/>
      <c r="F220" s="240"/>
      <c r="G220" s="240"/>
      <c r="H220" s="24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2">
      <c r="A221"/>
      <c r="B221" s="2"/>
      <c r="C221" s="240"/>
      <c r="D221" s="240"/>
      <c r="E221" s="240"/>
      <c r="F221" s="240"/>
      <c r="G221" s="240"/>
      <c r="H221" s="24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2">
      <c r="A222"/>
      <c r="B222" s="2"/>
      <c r="C222" s="240"/>
      <c r="D222" s="240"/>
      <c r="E222" s="240"/>
      <c r="F222" s="240"/>
      <c r="G222" s="240"/>
      <c r="H222" s="240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2">
      <c r="A223"/>
      <c r="B223" s="2"/>
      <c r="C223" s="240"/>
      <c r="D223" s="240"/>
      <c r="E223" s="240"/>
      <c r="F223" s="240"/>
      <c r="G223" s="240"/>
      <c r="H223" s="240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2">
      <c r="A224"/>
      <c r="B224" s="2"/>
      <c r="C224" s="240"/>
      <c r="D224" s="240"/>
      <c r="E224" s="240"/>
      <c r="F224" s="240"/>
      <c r="G224" s="240"/>
      <c r="H224" s="240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2">
      <c r="A225"/>
      <c r="B225" s="2"/>
      <c r="C225" s="240"/>
      <c r="D225" s="240"/>
      <c r="E225" s="240"/>
      <c r="F225" s="240"/>
      <c r="G225" s="240"/>
      <c r="H225" s="240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2">
      <c r="A226"/>
      <c r="B226" s="2"/>
      <c r="C226" s="240"/>
      <c r="D226" s="240"/>
      <c r="E226" s="240"/>
      <c r="F226" s="240"/>
      <c r="G226" s="240"/>
      <c r="H226" s="24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2">
      <c r="A227"/>
      <c r="B227" s="2"/>
      <c r="C227" s="240"/>
      <c r="D227" s="240"/>
      <c r="E227" s="240"/>
      <c r="F227" s="240"/>
      <c r="G227" s="240"/>
      <c r="H227" s="240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2">
      <c r="A228"/>
      <c r="B228" s="2"/>
      <c r="C228" s="240"/>
      <c r="D228" s="240"/>
      <c r="E228" s="240"/>
      <c r="F228" s="240"/>
      <c r="G228" s="240"/>
      <c r="H228" s="240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2">
      <c r="A229"/>
      <c r="B229" s="2"/>
      <c r="C229" s="240"/>
      <c r="D229" s="240"/>
      <c r="E229" s="240"/>
      <c r="F229" s="240"/>
      <c r="G229" s="240"/>
      <c r="H229" s="240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2">
      <c r="A230"/>
      <c r="B230" s="2"/>
      <c r="C230" s="240"/>
      <c r="D230" s="240"/>
      <c r="E230" s="240"/>
      <c r="F230" s="240"/>
      <c r="G230" s="240"/>
      <c r="H230" s="240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2">
      <c r="A231"/>
      <c r="B231" s="2"/>
      <c r="C231" s="240"/>
      <c r="D231" s="240"/>
      <c r="E231" s="240"/>
      <c r="F231" s="240"/>
      <c r="G231" s="240"/>
      <c r="H231" s="24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2">
      <c r="A232"/>
      <c r="B232" s="2"/>
      <c r="C232" s="240"/>
      <c r="D232" s="240"/>
      <c r="E232" s="240"/>
      <c r="F232" s="240"/>
      <c r="G232" s="240"/>
      <c r="H232" s="24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2">
      <c r="A233"/>
      <c r="B233" s="2"/>
      <c r="C233" s="240"/>
      <c r="D233" s="240"/>
      <c r="E233" s="240"/>
      <c r="F233" s="240"/>
      <c r="G233" s="240"/>
      <c r="H233" s="24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2">
      <c r="A234"/>
      <c r="B234" s="2"/>
      <c r="C234" s="240"/>
      <c r="D234" s="240"/>
      <c r="E234" s="240"/>
      <c r="F234" s="240"/>
      <c r="G234" s="240"/>
      <c r="H234" s="240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2">
      <c r="A235"/>
      <c r="B235" s="2"/>
      <c r="C235" s="240"/>
      <c r="D235" s="240"/>
      <c r="E235" s="240"/>
      <c r="F235" s="240"/>
      <c r="G235" s="240"/>
      <c r="H235" s="240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2">
      <c r="A236"/>
      <c r="B236" s="2"/>
      <c r="C236" s="240"/>
      <c r="D236" s="240"/>
      <c r="E236" s="240"/>
      <c r="F236" s="240"/>
      <c r="G236" s="240"/>
      <c r="H236" s="240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2">
      <c r="A237"/>
      <c r="B237" s="2"/>
      <c r="C237" s="240"/>
      <c r="D237" s="240"/>
      <c r="E237" s="240"/>
      <c r="F237" s="240"/>
      <c r="G237" s="240"/>
      <c r="H237" s="240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2">
      <c r="A238"/>
      <c r="B238" s="2"/>
      <c r="C238" s="240"/>
      <c r="D238" s="240"/>
      <c r="E238" s="240"/>
      <c r="F238" s="240"/>
      <c r="G238" s="240"/>
      <c r="H238" s="240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2">
      <c r="A239"/>
      <c r="B239" s="2"/>
      <c r="C239" s="240"/>
      <c r="D239" s="240"/>
      <c r="E239" s="240"/>
      <c r="F239" s="240"/>
      <c r="G239" s="240"/>
      <c r="H239" s="240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2">
      <c r="A240"/>
      <c r="B240" s="2"/>
      <c r="C240" s="240"/>
      <c r="D240" s="240"/>
      <c r="E240" s="240"/>
      <c r="F240" s="240"/>
      <c r="G240" s="240"/>
      <c r="H240" s="240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2">
      <c r="A241"/>
      <c r="B241" s="2"/>
      <c r="C241" s="240"/>
      <c r="D241" s="240"/>
      <c r="E241" s="240"/>
      <c r="F241" s="240"/>
      <c r="G241" s="240"/>
      <c r="H241" s="240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2">
      <c r="A242"/>
      <c r="B242" s="2"/>
      <c r="C242" s="240"/>
      <c r="D242" s="240"/>
      <c r="E242" s="240"/>
      <c r="F242" s="240"/>
      <c r="G242" s="240"/>
      <c r="H242" s="240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2">
      <c r="A243"/>
      <c r="B243" s="2"/>
      <c r="C243" s="240"/>
      <c r="D243" s="240"/>
      <c r="E243" s="240"/>
      <c r="F243" s="240"/>
      <c r="G243" s="240"/>
      <c r="H243" s="240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2">
      <c r="A244"/>
      <c r="B244" s="2"/>
      <c r="C244" s="240"/>
      <c r="D244" s="240"/>
      <c r="E244" s="240"/>
      <c r="F244" s="240"/>
      <c r="G244" s="240"/>
      <c r="H244" s="240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2">
      <c r="A245"/>
      <c r="B245" s="2"/>
      <c r="C245" s="240"/>
      <c r="D245" s="240"/>
      <c r="E245" s="240"/>
      <c r="F245" s="240"/>
      <c r="G245" s="240"/>
      <c r="H245" s="240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2">
      <c r="A246"/>
      <c r="B246" s="2"/>
      <c r="C246" s="240"/>
      <c r="D246" s="240"/>
      <c r="E246" s="240"/>
      <c r="F246" s="240"/>
      <c r="G246" s="240"/>
      <c r="H246" s="240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2">
      <c r="A247"/>
      <c r="B247" s="2"/>
      <c r="C247" s="240"/>
      <c r="D247" s="240"/>
      <c r="E247" s="240"/>
      <c r="F247" s="240"/>
      <c r="G247" s="240"/>
      <c r="H247" s="240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2">
      <c r="A248"/>
      <c r="B248" s="2"/>
      <c r="C248" s="240"/>
      <c r="D248" s="240"/>
      <c r="E248" s="240"/>
      <c r="F248" s="240"/>
      <c r="G248" s="240"/>
      <c r="H248" s="240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2">
      <c r="A249"/>
      <c r="B249" s="2"/>
      <c r="C249" s="240"/>
      <c r="D249" s="240"/>
      <c r="E249" s="240"/>
      <c r="F249" s="240"/>
      <c r="G249" s="240"/>
      <c r="H249" s="240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2">
      <c r="A250"/>
      <c r="B250" s="2"/>
      <c r="C250" s="240"/>
      <c r="D250" s="240"/>
      <c r="E250" s="240"/>
      <c r="F250" s="240"/>
      <c r="G250" s="240"/>
      <c r="H250" s="240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2">
      <c r="A251"/>
      <c r="B251" s="2"/>
      <c r="C251" s="240"/>
      <c r="D251" s="240"/>
      <c r="E251" s="240"/>
      <c r="F251" s="240"/>
      <c r="G251" s="240"/>
      <c r="H251" s="240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2">
      <c r="A252"/>
      <c r="B252" s="2"/>
      <c r="C252" s="240"/>
      <c r="D252" s="240"/>
      <c r="E252" s="240"/>
      <c r="F252" s="240"/>
      <c r="G252" s="240"/>
      <c r="H252" s="240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2">
      <c r="A253"/>
      <c r="B253" s="2"/>
      <c r="C253" s="240"/>
      <c r="D253" s="240"/>
      <c r="E253" s="240"/>
      <c r="F253" s="240"/>
      <c r="G253" s="240"/>
      <c r="H253" s="240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2">
      <c r="A254"/>
      <c r="B254" s="2"/>
      <c r="C254" s="240"/>
      <c r="D254" s="240"/>
      <c r="E254" s="240"/>
      <c r="F254" s="240"/>
      <c r="G254" s="240"/>
      <c r="H254" s="240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2">
      <c r="A255"/>
      <c r="B255" s="2"/>
      <c r="C255" s="240"/>
      <c r="D255" s="240"/>
      <c r="E255" s="240"/>
      <c r="F255" s="240"/>
      <c r="G255" s="240"/>
      <c r="H255" s="240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2">
      <c r="A256"/>
      <c r="B256" s="2"/>
      <c r="C256" s="240"/>
      <c r="D256" s="240"/>
      <c r="E256" s="240"/>
      <c r="F256" s="240"/>
      <c r="G256" s="240"/>
      <c r="H256" s="240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2">
      <c r="A257"/>
      <c r="B257" s="2"/>
      <c r="C257" s="240"/>
      <c r="D257" s="240"/>
      <c r="E257" s="240"/>
      <c r="F257" s="240"/>
      <c r="G257" s="240"/>
      <c r="H257" s="240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2">
      <c r="A258"/>
      <c r="B258" s="2"/>
      <c r="C258" s="240"/>
      <c r="D258" s="240"/>
      <c r="E258" s="240"/>
      <c r="F258" s="240"/>
      <c r="G258" s="240"/>
      <c r="H258" s="240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2">
      <c r="A259"/>
      <c r="B259" s="2"/>
      <c r="C259" s="240"/>
      <c r="D259" s="240"/>
      <c r="E259" s="240"/>
      <c r="F259" s="240"/>
      <c r="G259" s="240"/>
      <c r="H259" s="240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2">
      <c r="A260"/>
      <c r="B260" s="2"/>
      <c r="C260" s="240"/>
      <c r="D260" s="240"/>
      <c r="E260" s="240"/>
      <c r="F260" s="240"/>
      <c r="G260" s="240"/>
      <c r="H260" s="240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2">
      <c r="A261"/>
      <c r="B261" s="2"/>
      <c r="C261" s="240"/>
      <c r="D261" s="240"/>
      <c r="E261" s="240"/>
      <c r="F261" s="240"/>
      <c r="G261" s="240"/>
      <c r="H261" s="240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2">
      <c r="A262"/>
      <c r="B262" s="2"/>
      <c r="C262" s="240"/>
      <c r="D262" s="240"/>
      <c r="E262" s="240"/>
      <c r="F262" s="240"/>
      <c r="G262" s="240"/>
      <c r="H262" s="240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2">
      <c r="A263"/>
      <c r="B263" s="2"/>
      <c r="C263" s="240"/>
      <c r="D263" s="240"/>
      <c r="E263" s="240"/>
      <c r="F263" s="240"/>
      <c r="G263" s="240"/>
      <c r="H263" s="240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2">
      <c r="A264"/>
      <c r="B264" s="2"/>
      <c r="C264" s="240"/>
      <c r="D264" s="240"/>
      <c r="E264" s="240"/>
      <c r="F264" s="240"/>
      <c r="G264" s="240"/>
      <c r="H264" s="240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2">
      <c r="A265"/>
      <c r="B265" s="2"/>
      <c r="C265" s="240"/>
      <c r="D265" s="240"/>
      <c r="E265" s="240"/>
      <c r="F265" s="240"/>
      <c r="G265" s="240"/>
      <c r="H265" s="240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2">
      <c r="A266"/>
      <c r="B266" s="2"/>
      <c r="C266" s="240"/>
      <c r="D266" s="240"/>
      <c r="E266" s="240"/>
      <c r="F266" s="240"/>
      <c r="G266" s="240"/>
      <c r="H266" s="240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2">
      <c r="A267"/>
      <c r="B267" s="2"/>
      <c r="C267" s="240"/>
      <c r="D267" s="240"/>
      <c r="E267" s="240"/>
      <c r="F267" s="240"/>
      <c r="G267" s="240"/>
      <c r="H267" s="240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2">
      <c r="A268"/>
      <c r="B268" s="2"/>
      <c r="C268" s="240"/>
      <c r="D268" s="240"/>
      <c r="E268" s="240"/>
      <c r="F268" s="240"/>
      <c r="G268" s="240"/>
      <c r="H268" s="240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2">
      <c r="A269"/>
      <c r="B269" s="2"/>
      <c r="C269" s="240"/>
      <c r="D269" s="240"/>
      <c r="E269" s="240"/>
      <c r="F269" s="240"/>
      <c r="G269" s="240"/>
      <c r="H269" s="240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2">
      <c r="A270"/>
      <c r="B270" s="2"/>
      <c r="C270" s="240"/>
      <c r="D270" s="240"/>
      <c r="E270" s="240"/>
      <c r="F270" s="240"/>
      <c r="G270" s="240"/>
      <c r="H270" s="240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2">
      <c r="A271"/>
      <c r="B271" s="2"/>
      <c r="C271" s="240"/>
      <c r="D271" s="240"/>
      <c r="E271" s="240"/>
      <c r="F271" s="240"/>
      <c r="G271" s="240"/>
      <c r="H271" s="240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2">
      <c r="A272"/>
      <c r="B272" s="2"/>
      <c r="C272" s="240"/>
      <c r="D272" s="240"/>
      <c r="E272" s="240"/>
      <c r="F272" s="240"/>
      <c r="G272" s="240"/>
      <c r="H272" s="24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2">
      <c r="A273"/>
      <c r="B273" s="2"/>
      <c r="C273" s="240"/>
      <c r="D273" s="240"/>
      <c r="E273" s="240"/>
      <c r="F273" s="240"/>
      <c r="G273" s="240"/>
      <c r="H273" s="24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2">
      <c r="A274"/>
      <c r="B274" s="2"/>
      <c r="C274" s="240"/>
      <c r="D274" s="240"/>
      <c r="E274" s="240"/>
      <c r="F274" s="240"/>
      <c r="G274" s="240"/>
      <c r="H274" s="24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2">
      <c r="A275"/>
      <c r="B275" s="2"/>
      <c r="C275" s="240"/>
      <c r="D275" s="240"/>
      <c r="E275" s="240"/>
      <c r="F275" s="240"/>
      <c r="G275" s="240"/>
      <c r="H275" s="24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2">
      <c r="A276"/>
      <c r="B276" s="2"/>
      <c r="C276" s="240"/>
      <c r="D276" s="240"/>
      <c r="E276" s="240"/>
      <c r="F276" s="240"/>
      <c r="G276" s="240"/>
      <c r="H276" s="24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2">
      <c r="A277"/>
      <c r="B277" s="2"/>
      <c r="C277" s="240"/>
      <c r="D277" s="240"/>
      <c r="E277" s="240"/>
      <c r="F277" s="240"/>
      <c r="G277" s="240"/>
      <c r="H277" s="24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2">
      <c r="A278"/>
      <c r="B278" s="2"/>
      <c r="C278" s="240"/>
      <c r="D278" s="240"/>
      <c r="E278" s="240"/>
      <c r="F278" s="240"/>
      <c r="G278" s="240"/>
      <c r="H278" s="24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2">
      <c r="A279"/>
      <c r="B279" s="2"/>
      <c r="C279" s="240"/>
      <c r="D279" s="240"/>
      <c r="E279" s="240"/>
      <c r="F279" s="240"/>
      <c r="G279" s="240"/>
      <c r="H279" s="24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2">
      <c r="A280"/>
      <c r="B280" s="2"/>
      <c r="C280" s="240"/>
      <c r="D280" s="240"/>
      <c r="E280" s="240"/>
      <c r="F280" s="240"/>
      <c r="G280" s="240"/>
      <c r="H280" s="24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2">
      <c r="A281"/>
      <c r="B281" s="2"/>
      <c r="C281" s="240"/>
      <c r="D281" s="240"/>
      <c r="E281" s="240"/>
      <c r="F281" s="240"/>
      <c r="G281" s="240"/>
      <c r="H281" s="24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2">
      <c r="A282"/>
      <c r="B282" s="2"/>
      <c r="C282" s="240"/>
      <c r="D282" s="240"/>
      <c r="E282" s="240"/>
      <c r="F282" s="240"/>
      <c r="G282" s="240"/>
      <c r="H282" s="24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2">
      <c r="A283"/>
      <c r="B283" s="2"/>
      <c r="C283" s="240"/>
      <c r="D283" s="240"/>
      <c r="E283" s="240"/>
      <c r="F283" s="240"/>
      <c r="G283" s="240"/>
      <c r="H283" s="24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2">
      <c r="A284"/>
      <c r="B284" s="2"/>
      <c r="C284" s="240"/>
      <c r="D284" s="240"/>
      <c r="E284" s="240"/>
      <c r="F284" s="240"/>
      <c r="G284" s="240"/>
      <c r="H284" s="24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2">
      <c r="A285"/>
      <c r="B285" s="2"/>
      <c r="C285" s="240"/>
      <c r="D285" s="240"/>
      <c r="E285" s="240"/>
      <c r="F285" s="240"/>
      <c r="G285" s="240"/>
      <c r="H285" s="24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2">
      <c r="A286"/>
      <c r="B286" s="2"/>
      <c r="C286" s="240"/>
      <c r="D286" s="240"/>
      <c r="E286" s="240"/>
      <c r="F286" s="240"/>
      <c r="G286" s="240"/>
      <c r="H286" s="24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2">
      <c r="A287"/>
      <c r="B287" s="2"/>
      <c r="C287" s="240"/>
      <c r="D287" s="240"/>
      <c r="E287" s="240"/>
      <c r="F287" s="240"/>
      <c r="G287" s="240"/>
      <c r="H287" s="24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2">
      <c r="A288"/>
      <c r="B288" s="2"/>
      <c r="C288" s="240"/>
      <c r="D288" s="240"/>
      <c r="E288" s="240"/>
      <c r="F288" s="240"/>
      <c r="G288" s="240"/>
      <c r="H288" s="240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2">
      <c r="A289"/>
      <c r="B289" s="2"/>
      <c r="C289" s="240"/>
      <c r="D289" s="240"/>
      <c r="E289" s="240"/>
      <c r="F289" s="240"/>
      <c r="G289" s="240"/>
      <c r="H289" s="240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2">
      <c r="A290"/>
      <c r="B290" s="2"/>
      <c r="C290" s="240"/>
      <c r="D290" s="240"/>
      <c r="E290" s="240"/>
      <c r="F290" s="240"/>
      <c r="G290" s="240"/>
      <c r="H290" s="24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2">
      <c r="A291"/>
      <c r="B291" s="2"/>
      <c r="C291" s="240"/>
      <c r="D291" s="240"/>
      <c r="E291" s="240"/>
      <c r="F291" s="240"/>
      <c r="G291" s="240"/>
      <c r="H291" s="24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2">
      <c r="A292"/>
      <c r="B292" s="2"/>
      <c r="C292" s="240"/>
      <c r="D292" s="240"/>
      <c r="E292" s="240"/>
      <c r="F292" s="240"/>
      <c r="G292" s="240"/>
      <c r="H292" s="24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2">
      <c r="A293"/>
      <c r="B293" s="2"/>
      <c r="C293" s="240"/>
      <c r="D293" s="240"/>
      <c r="E293" s="240"/>
      <c r="F293" s="240"/>
      <c r="G293" s="240"/>
      <c r="H293" s="24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2">
      <c r="A294"/>
      <c r="B294" s="2"/>
      <c r="C294" s="240"/>
      <c r="D294" s="240"/>
      <c r="E294" s="240"/>
      <c r="F294" s="240"/>
      <c r="G294" s="240"/>
      <c r="H294" s="240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2">
      <c r="A295"/>
      <c r="B295" s="2"/>
      <c r="C295" s="240"/>
      <c r="D295" s="240"/>
      <c r="E295" s="240"/>
      <c r="F295" s="240"/>
      <c r="G295" s="240"/>
      <c r="H295" s="240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2">
      <c r="A296"/>
      <c r="B296" s="2"/>
      <c r="C296" s="240"/>
      <c r="D296" s="240"/>
      <c r="E296" s="240"/>
      <c r="F296" s="240"/>
      <c r="G296" s="240"/>
      <c r="H296" s="240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2">
      <c r="A297"/>
      <c r="B297" s="2"/>
      <c r="C297" s="240"/>
      <c r="D297" s="240"/>
      <c r="E297" s="240"/>
      <c r="F297" s="240"/>
      <c r="G297" s="240"/>
      <c r="H297" s="240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2">
      <c r="A298"/>
      <c r="B298" s="2"/>
      <c r="C298" s="240"/>
      <c r="D298" s="240"/>
      <c r="E298" s="240"/>
      <c r="F298" s="240"/>
      <c r="G298" s="240"/>
      <c r="H298" s="240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2">
      <c r="A299"/>
      <c r="B299" s="2"/>
      <c r="C299" s="240"/>
      <c r="D299" s="240"/>
      <c r="E299" s="240"/>
      <c r="F299" s="240"/>
      <c r="G299" s="240"/>
      <c r="H299" s="240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2">
      <c r="A300"/>
      <c r="B300" s="2"/>
      <c r="C300" s="240"/>
      <c r="D300" s="240"/>
      <c r="E300" s="240"/>
      <c r="F300" s="240"/>
      <c r="G300" s="240"/>
      <c r="H300" s="240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2">
      <c r="A301"/>
      <c r="B301" s="2"/>
      <c r="C301" s="240"/>
      <c r="D301" s="240"/>
      <c r="E301" s="240"/>
      <c r="F301" s="240"/>
      <c r="G301" s="240"/>
      <c r="H301" s="240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2">
      <c r="A302"/>
      <c r="B302" s="2"/>
      <c r="C302" s="240"/>
      <c r="D302" s="240"/>
      <c r="E302" s="240"/>
      <c r="F302" s="240"/>
      <c r="G302" s="240"/>
      <c r="H302" s="240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2">
      <c r="A303"/>
      <c r="B303" s="2"/>
      <c r="C303" s="240"/>
      <c r="D303" s="240"/>
      <c r="E303" s="240"/>
      <c r="F303" s="240"/>
      <c r="G303" s="240"/>
      <c r="H303" s="24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2">
      <c r="A304"/>
      <c r="B304" s="2"/>
      <c r="C304" s="240"/>
      <c r="D304" s="240"/>
      <c r="E304" s="240"/>
      <c r="F304" s="240"/>
      <c r="G304" s="240"/>
      <c r="H304" s="24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2">
      <c r="A305"/>
      <c r="B305" s="2"/>
      <c r="C305" s="240"/>
      <c r="D305" s="240"/>
      <c r="E305" s="240"/>
      <c r="F305" s="240"/>
      <c r="G305" s="240"/>
      <c r="H305" s="24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2">
      <c r="A306"/>
      <c r="B306" s="2"/>
      <c r="C306" s="240"/>
      <c r="D306" s="240"/>
      <c r="E306" s="240"/>
      <c r="F306" s="240"/>
      <c r="G306" s="240"/>
      <c r="H306" s="240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2">
      <c r="A307"/>
      <c r="B307" s="2"/>
      <c r="C307" s="240"/>
      <c r="D307" s="240"/>
      <c r="E307" s="240"/>
      <c r="F307" s="240"/>
      <c r="G307" s="240"/>
      <c r="H307" s="240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2">
      <c r="A308"/>
      <c r="B308" s="2"/>
      <c r="C308" s="240"/>
      <c r="D308" s="240"/>
      <c r="E308" s="240"/>
      <c r="F308" s="240"/>
      <c r="G308" s="240"/>
      <c r="H308" s="24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2">
      <c r="A309"/>
      <c r="B309" s="2"/>
      <c r="C309" s="240"/>
      <c r="D309" s="240"/>
      <c r="E309" s="240"/>
      <c r="F309" s="240"/>
      <c r="G309" s="240"/>
      <c r="H309" s="24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2">
      <c r="A310"/>
      <c r="B310" s="2"/>
      <c r="C310" s="240"/>
      <c r="D310" s="240"/>
      <c r="E310" s="240"/>
      <c r="F310" s="240"/>
      <c r="G310" s="240"/>
      <c r="H310" s="24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2">
      <c r="A311"/>
      <c r="B311" s="2"/>
      <c r="C311" s="240"/>
      <c r="D311" s="240"/>
      <c r="E311" s="240"/>
      <c r="F311" s="240"/>
      <c r="G311" s="240"/>
      <c r="H311" s="24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2">
      <c r="A312"/>
      <c r="B312" s="2"/>
      <c r="C312" s="240"/>
      <c r="D312" s="240"/>
      <c r="E312" s="240"/>
      <c r="F312" s="240"/>
      <c r="G312" s="240"/>
      <c r="H312" s="240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2">
      <c r="A313"/>
      <c r="B313" s="2"/>
      <c r="C313" s="240"/>
      <c r="D313" s="240"/>
      <c r="E313" s="240"/>
      <c r="F313" s="240"/>
      <c r="G313" s="240"/>
      <c r="H313" s="240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2">
      <c r="A314"/>
      <c r="B314" s="2"/>
      <c r="C314" s="240"/>
      <c r="D314" s="240"/>
      <c r="E314" s="240"/>
      <c r="F314" s="240"/>
      <c r="G314" s="240"/>
      <c r="H314" s="240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2">
      <c r="A315"/>
      <c r="B315" s="2"/>
      <c r="C315" s="240"/>
      <c r="D315" s="240"/>
      <c r="E315" s="240"/>
      <c r="F315" s="240"/>
      <c r="G315" s="240"/>
      <c r="H315" s="240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2">
      <c r="A316"/>
      <c r="B316" s="2"/>
      <c r="C316" s="240"/>
      <c r="D316" s="240"/>
      <c r="E316" s="240"/>
      <c r="F316" s="240"/>
      <c r="G316" s="240"/>
      <c r="H316" s="240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2">
      <c r="A317"/>
      <c r="B317" s="2"/>
      <c r="C317" s="240"/>
      <c r="D317" s="240"/>
      <c r="E317" s="240"/>
      <c r="F317" s="240"/>
      <c r="G317" s="240"/>
      <c r="H317" s="240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2">
      <c r="A318"/>
      <c r="B318" s="2"/>
      <c r="C318" s="240"/>
      <c r="D318" s="240"/>
      <c r="E318" s="240"/>
      <c r="F318" s="240"/>
      <c r="G318" s="240"/>
      <c r="H318" s="240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2">
      <c r="A319"/>
      <c r="B319" s="2"/>
      <c r="C319" s="240"/>
      <c r="D319" s="240"/>
      <c r="E319" s="240"/>
      <c r="F319" s="240"/>
      <c r="G319" s="240"/>
      <c r="H319" s="240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2">
      <c r="A320"/>
      <c r="B320" s="2"/>
      <c r="C320" s="240"/>
      <c r="D320" s="240"/>
      <c r="E320" s="240"/>
      <c r="F320" s="240"/>
      <c r="G320" s="240"/>
      <c r="H320" s="240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2">
      <c r="A321"/>
      <c r="B321" s="2"/>
      <c r="C321" s="240"/>
      <c r="D321" s="240"/>
      <c r="E321" s="240"/>
      <c r="F321" s="240"/>
      <c r="G321" s="240"/>
      <c r="H321" s="24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2">
      <c r="A322"/>
      <c r="B322" s="2"/>
      <c r="C322" s="240"/>
      <c r="D322" s="240"/>
      <c r="E322" s="240"/>
      <c r="F322" s="240"/>
      <c r="G322" s="240"/>
      <c r="H322" s="24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2">
      <c r="A323"/>
      <c r="B323" s="2"/>
      <c r="C323" s="240"/>
      <c r="D323" s="240"/>
      <c r="E323" s="240"/>
      <c r="F323" s="240"/>
      <c r="G323" s="240"/>
      <c r="H323" s="24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2">
      <c r="A324"/>
      <c r="B324" s="2"/>
      <c r="C324" s="240"/>
      <c r="D324" s="240"/>
      <c r="E324" s="240"/>
      <c r="F324" s="240"/>
      <c r="G324" s="240"/>
      <c r="H324" s="240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2">
      <c r="A325"/>
      <c r="B325" s="2"/>
      <c r="C325" s="240"/>
      <c r="D325" s="240"/>
      <c r="E325" s="240"/>
      <c r="F325" s="240"/>
      <c r="G325" s="240"/>
      <c r="H325" s="240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2">
      <c r="A326"/>
      <c r="B326" s="2"/>
      <c r="C326" s="240"/>
      <c r="D326" s="240"/>
      <c r="E326" s="240"/>
      <c r="F326" s="240"/>
      <c r="G326" s="240"/>
      <c r="H326" s="240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2">
      <c r="A327"/>
      <c r="B327" s="2"/>
      <c r="C327" s="240"/>
      <c r="D327" s="240"/>
      <c r="E327" s="240"/>
      <c r="F327" s="240"/>
      <c r="G327" s="240"/>
      <c r="H327" s="240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2">
      <c r="A328"/>
      <c r="B328" s="2"/>
      <c r="C328" s="240"/>
      <c r="D328" s="240"/>
      <c r="E328" s="240"/>
      <c r="F328" s="240"/>
      <c r="G328" s="240"/>
      <c r="H328" s="240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2">
      <c r="A329"/>
      <c r="B329" s="2"/>
      <c r="C329" s="240"/>
      <c r="D329" s="240"/>
      <c r="E329" s="240"/>
      <c r="F329" s="240"/>
      <c r="G329" s="240"/>
      <c r="H329" s="240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2">
      <c r="A330"/>
      <c r="B330" s="2"/>
      <c r="C330" s="240"/>
      <c r="D330" s="240"/>
      <c r="E330" s="240"/>
      <c r="F330" s="240"/>
      <c r="G330" s="240"/>
      <c r="H330" s="240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2">
      <c r="A331"/>
      <c r="B331" s="2"/>
      <c r="C331" s="240"/>
      <c r="D331" s="240"/>
      <c r="E331" s="240"/>
      <c r="F331" s="240"/>
      <c r="G331" s="240"/>
      <c r="H331" s="240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2">
      <c r="A332"/>
      <c r="B332" s="2"/>
      <c r="C332" s="240"/>
      <c r="D332" s="240"/>
      <c r="E332" s="240"/>
      <c r="F332" s="240"/>
      <c r="G332" s="240"/>
      <c r="H332" s="240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2">
      <c r="A333"/>
      <c r="B333" s="2"/>
      <c r="C333" s="240"/>
      <c r="D333" s="240"/>
      <c r="E333" s="240"/>
      <c r="F333" s="240"/>
      <c r="G333" s="240"/>
      <c r="H333" s="240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2">
      <c r="A334"/>
      <c r="B334" s="2"/>
      <c r="C334" s="240"/>
      <c r="D334" s="240"/>
      <c r="E334" s="240"/>
      <c r="F334" s="240"/>
      <c r="G334" s="240"/>
      <c r="H334" s="240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2">
      <c r="A335"/>
      <c r="B335" s="2"/>
      <c r="C335" s="240"/>
      <c r="D335" s="240"/>
      <c r="E335" s="240"/>
      <c r="F335" s="240"/>
      <c r="G335" s="240"/>
      <c r="H335" s="240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2">
      <c r="A336"/>
      <c r="B336" s="2"/>
      <c r="C336" s="240"/>
      <c r="D336" s="240"/>
      <c r="E336" s="240"/>
      <c r="F336" s="240"/>
      <c r="G336" s="240"/>
      <c r="H336" s="240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2">
      <c r="A337"/>
      <c r="B337" s="2"/>
      <c r="C337" s="240"/>
      <c r="D337" s="240"/>
      <c r="E337" s="240"/>
      <c r="F337" s="240"/>
      <c r="G337" s="240"/>
      <c r="H337" s="240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2">
      <c r="A338"/>
      <c r="B338" s="2"/>
      <c r="C338" s="240"/>
      <c r="D338" s="240"/>
      <c r="E338" s="240"/>
      <c r="F338" s="240"/>
      <c r="G338" s="240"/>
      <c r="H338" s="240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2">
      <c r="A339"/>
      <c r="B339" s="2"/>
      <c r="C339" s="240"/>
      <c r="D339" s="240"/>
      <c r="E339" s="240"/>
      <c r="F339" s="240"/>
      <c r="G339" s="240"/>
      <c r="H339" s="240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2">
      <c r="A340"/>
      <c r="B340" s="2"/>
      <c r="C340" s="240"/>
      <c r="D340" s="240"/>
      <c r="E340" s="240"/>
      <c r="F340" s="240"/>
      <c r="G340" s="240"/>
      <c r="H340" s="240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2">
      <c r="A341"/>
      <c r="B341" s="2"/>
      <c r="C341" s="240"/>
      <c r="D341" s="240"/>
      <c r="E341" s="240"/>
      <c r="F341" s="240"/>
      <c r="G341" s="240"/>
      <c r="H341" s="240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2">
      <c r="A342"/>
      <c r="B342" s="2"/>
      <c r="C342" s="240"/>
      <c r="D342" s="240"/>
      <c r="E342" s="240"/>
      <c r="F342" s="240"/>
      <c r="G342" s="240"/>
      <c r="H342" s="240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2">
      <c r="A343"/>
      <c r="B343" s="2"/>
      <c r="C343" s="240"/>
      <c r="D343" s="240"/>
      <c r="E343" s="240"/>
      <c r="F343" s="240"/>
      <c r="G343" s="240"/>
      <c r="H343" s="240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2">
      <c r="A344"/>
      <c r="B344" s="2"/>
      <c r="C344" s="240"/>
      <c r="D344" s="240"/>
      <c r="E344" s="240"/>
      <c r="F344" s="240"/>
      <c r="G344" s="240"/>
      <c r="H344" s="240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2">
      <c r="A345"/>
      <c r="B345" s="2"/>
      <c r="C345" s="240"/>
      <c r="D345" s="240"/>
      <c r="E345" s="240"/>
      <c r="F345" s="240"/>
      <c r="G345" s="240"/>
      <c r="H345" s="240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2">
      <c r="A346"/>
      <c r="B346" s="2"/>
      <c r="C346" s="240"/>
      <c r="D346" s="240"/>
      <c r="E346" s="240"/>
      <c r="F346" s="240"/>
      <c r="G346" s="240"/>
      <c r="H346" s="240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2">
      <c r="A347"/>
      <c r="B347" s="2"/>
      <c r="C347" s="240"/>
      <c r="D347" s="240"/>
      <c r="E347" s="240"/>
      <c r="F347" s="240"/>
      <c r="G347" s="240"/>
      <c r="H347" s="240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2">
      <c r="A348"/>
      <c r="B348" s="2"/>
      <c r="C348" s="240"/>
      <c r="D348" s="240"/>
      <c r="E348" s="240"/>
      <c r="F348" s="240"/>
      <c r="G348" s="240"/>
      <c r="H348" s="240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2">
      <c r="A349"/>
      <c r="B349" s="2"/>
      <c r="C349" s="240"/>
      <c r="D349" s="240"/>
      <c r="E349" s="240"/>
      <c r="F349" s="240"/>
      <c r="G349" s="240"/>
      <c r="H349" s="240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2">
      <c r="A350"/>
      <c r="B350" s="2"/>
      <c r="C350" s="240"/>
      <c r="D350" s="240"/>
      <c r="E350" s="240"/>
      <c r="F350" s="240"/>
      <c r="G350" s="240"/>
      <c r="H350" s="240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2">
      <c r="A351"/>
      <c r="B351" s="2"/>
      <c r="C351" s="240"/>
      <c r="D351" s="240"/>
      <c r="E351" s="240"/>
      <c r="F351" s="240"/>
      <c r="G351" s="240"/>
      <c r="H351" s="240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2">
      <c r="A352"/>
      <c r="B352" s="2"/>
      <c r="C352" s="240"/>
      <c r="D352" s="240"/>
      <c r="E352" s="240"/>
      <c r="F352" s="240"/>
      <c r="G352" s="240"/>
      <c r="H352" s="240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2">
      <c r="A353"/>
      <c r="B353" s="2"/>
      <c r="C353" s="240"/>
      <c r="D353" s="240"/>
      <c r="E353" s="240"/>
      <c r="F353" s="240"/>
      <c r="G353" s="240"/>
      <c r="H353" s="240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2">
      <c r="A354"/>
      <c r="B354" s="2"/>
      <c r="C354" s="240"/>
      <c r="D354" s="240"/>
      <c r="E354" s="240"/>
      <c r="F354" s="240"/>
      <c r="G354" s="240"/>
      <c r="H354" s="240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2">
      <c r="A355"/>
      <c r="B355" s="2"/>
      <c r="C355" s="240"/>
      <c r="D355" s="240"/>
      <c r="E355" s="240"/>
      <c r="F355" s="240"/>
      <c r="G355" s="240"/>
      <c r="H355" s="240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2">
      <c r="A356"/>
      <c r="B356" s="2"/>
      <c r="C356" s="240"/>
      <c r="D356" s="240"/>
      <c r="E356" s="240"/>
      <c r="F356" s="240"/>
      <c r="G356" s="240"/>
      <c r="H356" s="240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2">
      <c r="A357"/>
      <c r="B357" s="2"/>
      <c r="C357" s="240"/>
      <c r="D357" s="240"/>
      <c r="E357" s="240"/>
      <c r="F357" s="240"/>
      <c r="G357" s="240"/>
      <c r="H357" s="240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2">
      <c r="A358"/>
      <c r="B358" s="2"/>
      <c r="C358" s="240"/>
      <c r="D358" s="240"/>
      <c r="E358" s="240"/>
      <c r="F358" s="240"/>
      <c r="G358" s="240"/>
      <c r="H358" s="240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2">
      <c r="A359"/>
      <c r="B359" s="2"/>
      <c r="C359" s="240"/>
      <c r="D359" s="240"/>
      <c r="E359" s="240"/>
      <c r="F359" s="240"/>
      <c r="G359" s="240"/>
      <c r="H359" s="240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2">
      <c r="A360"/>
      <c r="B360" s="2"/>
      <c r="C360" s="240"/>
      <c r="D360" s="240"/>
      <c r="E360" s="240"/>
      <c r="F360" s="240"/>
      <c r="G360" s="240"/>
      <c r="H360" s="240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2">
      <c r="A361"/>
      <c r="B361" s="2"/>
      <c r="C361" s="240"/>
      <c r="D361" s="240"/>
      <c r="E361" s="240"/>
      <c r="F361" s="240"/>
      <c r="G361" s="240"/>
      <c r="H361" s="240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2">
      <c r="A362"/>
      <c r="B362" s="2"/>
      <c r="C362" s="240"/>
      <c r="D362" s="240"/>
      <c r="E362" s="240"/>
      <c r="F362" s="240"/>
      <c r="G362" s="240"/>
      <c r="H362" s="240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2">
      <c r="A363"/>
      <c r="B363" s="2"/>
      <c r="C363" s="240"/>
      <c r="D363" s="240"/>
      <c r="E363" s="240"/>
      <c r="F363" s="240"/>
      <c r="G363" s="240"/>
      <c r="H363" s="240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2">
      <c r="A364"/>
      <c r="B364" s="2"/>
      <c r="C364" s="240"/>
      <c r="D364" s="240"/>
      <c r="E364" s="240"/>
      <c r="F364" s="240"/>
      <c r="G364" s="240"/>
      <c r="H364" s="240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2">
      <c r="A365"/>
      <c r="B365" s="2"/>
      <c r="C365" s="240"/>
      <c r="D365" s="240"/>
      <c r="E365" s="240"/>
      <c r="F365" s="240"/>
      <c r="G365" s="240"/>
      <c r="H365" s="240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2">
      <c r="A366"/>
      <c r="B366" s="2"/>
      <c r="C366" s="240"/>
      <c r="D366" s="240"/>
      <c r="E366" s="240"/>
      <c r="F366" s="240"/>
      <c r="G366" s="240"/>
      <c r="H366" s="240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2">
      <c r="A367"/>
      <c r="B367" s="2"/>
      <c r="C367" s="240"/>
      <c r="D367" s="240"/>
      <c r="E367" s="240"/>
      <c r="F367" s="240"/>
      <c r="G367" s="240"/>
      <c r="H367" s="240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2">
      <c r="A368"/>
      <c r="B368" s="2"/>
      <c r="C368" s="240"/>
      <c r="D368" s="240"/>
      <c r="E368" s="240"/>
      <c r="F368" s="240"/>
      <c r="G368" s="240"/>
      <c r="H368" s="240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2">
      <c r="A369"/>
      <c r="B369" s="2"/>
      <c r="C369" s="240"/>
      <c r="D369" s="240"/>
      <c r="E369" s="240"/>
      <c r="F369" s="240"/>
      <c r="G369" s="240"/>
      <c r="H369" s="240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2">
      <c r="A370"/>
      <c r="B370" s="2"/>
      <c r="C370" s="240"/>
      <c r="D370" s="240"/>
      <c r="E370" s="240"/>
      <c r="F370" s="240"/>
      <c r="G370" s="240"/>
      <c r="H370" s="240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2">
      <c r="A371"/>
      <c r="B371" s="2"/>
      <c r="C371" s="240"/>
      <c r="D371" s="240"/>
      <c r="E371" s="240"/>
      <c r="F371" s="240"/>
      <c r="G371" s="240"/>
      <c r="H371" s="240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2">
      <c r="A372"/>
      <c r="B372" s="2"/>
      <c r="C372" s="240"/>
      <c r="D372" s="240"/>
      <c r="E372" s="240"/>
      <c r="F372" s="240"/>
      <c r="G372" s="240"/>
      <c r="H372" s="240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2">
      <c r="A373"/>
      <c r="B373" s="2"/>
      <c r="C373" s="240"/>
      <c r="D373" s="240"/>
      <c r="E373" s="240"/>
      <c r="F373" s="240"/>
      <c r="G373" s="240"/>
      <c r="H373" s="240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2">
      <c r="A374"/>
      <c r="B374" s="2"/>
      <c r="C374" s="240"/>
      <c r="D374" s="240"/>
      <c r="E374" s="240"/>
      <c r="F374" s="240"/>
      <c r="G374" s="240"/>
      <c r="H374" s="240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2">
      <c r="A375"/>
      <c r="B375" s="2"/>
      <c r="C375" s="240"/>
      <c r="D375" s="240"/>
      <c r="E375" s="240"/>
      <c r="F375" s="240"/>
      <c r="G375" s="240"/>
      <c r="H375" s="240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2">
      <c r="A376"/>
      <c r="B376" s="2"/>
      <c r="C376" s="240"/>
      <c r="D376" s="240"/>
      <c r="E376" s="240"/>
      <c r="F376" s="240"/>
      <c r="G376" s="240"/>
      <c r="H376" s="240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2">
      <c r="A377"/>
      <c r="B377" s="2"/>
      <c r="C377" s="240"/>
      <c r="D377" s="240"/>
      <c r="E377" s="240"/>
      <c r="F377" s="240"/>
      <c r="G377" s="240"/>
      <c r="H377" s="240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2">
      <c r="A378"/>
      <c r="B378" s="2"/>
      <c r="C378" s="240"/>
      <c r="D378" s="240"/>
      <c r="E378" s="240"/>
      <c r="F378" s="240"/>
      <c r="G378" s="240"/>
      <c r="H378" s="240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2">
      <c r="A379"/>
      <c r="B379" s="2"/>
      <c r="C379" s="240"/>
      <c r="D379" s="240"/>
      <c r="E379" s="240"/>
      <c r="F379" s="240"/>
      <c r="G379" s="240"/>
      <c r="H379" s="240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2">
      <c r="A380"/>
      <c r="B380" s="2"/>
      <c r="C380" s="240"/>
      <c r="D380" s="240"/>
      <c r="E380" s="240"/>
      <c r="F380" s="240"/>
      <c r="G380" s="240"/>
      <c r="H380" s="240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2">
      <c r="A381"/>
      <c r="B381" s="2"/>
      <c r="C381" s="240"/>
      <c r="D381" s="240"/>
      <c r="E381" s="240"/>
      <c r="F381" s="240"/>
      <c r="G381" s="240"/>
      <c r="H381" s="240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2">
      <c r="A382"/>
      <c r="B382" s="2"/>
      <c r="C382" s="240"/>
      <c r="D382" s="240"/>
      <c r="E382" s="240"/>
      <c r="F382" s="240"/>
      <c r="G382" s="240"/>
      <c r="H382" s="240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2">
      <c r="A383"/>
      <c r="B383" s="2"/>
      <c r="C383" s="240"/>
      <c r="D383" s="240"/>
      <c r="E383" s="240"/>
      <c r="F383" s="240"/>
      <c r="G383" s="240"/>
      <c r="H383" s="240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2">
      <c r="A384"/>
      <c r="B384" s="2"/>
      <c r="C384" s="240"/>
      <c r="D384" s="240"/>
      <c r="E384" s="240"/>
      <c r="F384" s="240"/>
      <c r="G384" s="240"/>
      <c r="H384" s="240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2">
      <c r="A385"/>
      <c r="B385" s="2"/>
      <c r="C385" s="240"/>
      <c r="D385" s="240"/>
      <c r="E385" s="240"/>
      <c r="F385" s="240"/>
      <c r="G385" s="240"/>
      <c r="H385" s="240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2">
      <c r="A386"/>
      <c r="B386" s="2"/>
      <c r="C386" s="240"/>
      <c r="D386" s="240"/>
      <c r="E386" s="240"/>
      <c r="F386" s="240"/>
      <c r="G386" s="240"/>
      <c r="H386" s="240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2">
      <c r="A387"/>
      <c r="B387" s="2"/>
      <c r="C387" s="240"/>
      <c r="D387" s="240"/>
      <c r="E387" s="240"/>
      <c r="F387" s="240"/>
      <c r="G387" s="240"/>
      <c r="H387" s="240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2">
      <c r="A388"/>
      <c r="B388" s="2"/>
      <c r="C388" s="240"/>
      <c r="D388" s="240"/>
      <c r="E388" s="240"/>
      <c r="F388" s="240"/>
      <c r="G388" s="240"/>
      <c r="H388" s="240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2">
      <c r="A389"/>
      <c r="B389" s="2"/>
      <c r="C389" s="240"/>
      <c r="D389" s="240"/>
      <c r="E389" s="240"/>
      <c r="F389" s="240"/>
      <c r="G389" s="240"/>
      <c r="H389" s="240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2">
      <c r="A390"/>
      <c r="B390" s="2"/>
      <c r="C390" s="240"/>
      <c r="D390" s="240"/>
      <c r="E390" s="240"/>
      <c r="F390" s="240"/>
      <c r="G390" s="240"/>
      <c r="H390" s="240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2">
      <c r="A391"/>
      <c r="B391" s="2"/>
      <c r="C391" s="240"/>
      <c r="D391" s="240"/>
      <c r="E391" s="240"/>
      <c r="F391" s="240"/>
      <c r="G391" s="240"/>
      <c r="H391" s="240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2">
      <c r="A392"/>
      <c r="B392" s="2"/>
      <c r="C392" s="240"/>
      <c r="D392" s="240"/>
      <c r="E392" s="240"/>
      <c r="F392" s="240"/>
      <c r="G392" s="240"/>
      <c r="H392" s="240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2">
      <c r="A393"/>
      <c r="B393" s="2"/>
      <c r="C393" s="240"/>
      <c r="D393" s="240"/>
      <c r="E393" s="240"/>
      <c r="F393" s="240"/>
      <c r="G393" s="240"/>
      <c r="H393" s="240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2">
      <c r="A394"/>
      <c r="B394" s="2"/>
      <c r="C394" s="240"/>
      <c r="D394" s="240"/>
      <c r="E394" s="240"/>
      <c r="F394" s="240"/>
      <c r="G394" s="240"/>
      <c r="H394" s="240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2">
      <c r="A395"/>
      <c r="B395" s="2"/>
      <c r="C395" s="240"/>
      <c r="D395" s="240"/>
      <c r="E395" s="240"/>
      <c r="F395" s="240"/>
      <c r="G395" s="240"/>
      <c r="H395" s="240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2">
      <c r="A396"/>
      <c r="B396" s="2"/>
      <c r="C396" s="240"/>
      <c r="D396" s="240"/>
      <c r="E396" s="240"/>
      <c r="F396" s="240"/>
      <c r="G396" s="240"/>
      <c r="H396" s="240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2">
      <c r="A397"/>
      <c r="B397" s="2"/>
      <c r="C397" s="240"/>
      <c r="D397" s="240"/>
      <c r="E397" s="240"/>
      <c r="F397" s="240"/>
      <c r="G397" s="240"/>
      <c r="H397" s="240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2">
      <c r="A398"/>
      <c r="B398" s="2"/>
      <c r="C398" s="240"/>
      <c r="D398" s="240"/>
      <c r="E398" s="240"/>
      <c r="F398" s="240"/>
      <c r="G398" s="240"/>
      <c r="H398" s="24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2">
      <c r="A399"/>
      <c r="B399" s="2"/>
      <c r="C399" s="240"/>
      <c r="D399" s="240"/>
      <c r="E399" s="240"/>
      <c r="F399" s="240"/>
      <c r="G399" s="240"/>
      <c r="H399" s="24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2">
      <c r="A400"/>
      <c r="B400" s="2"/>
      <c r="C400" s="240"/>
      <c r="D400" s="240"/>
      <c r="E400" s="240"/>
      <c r="F400" s="240"/>
      <c r="G400" s="240"/>
      <c r="H400" s="24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2">
      <c r="A401"/>
      <c r="B401" s="2"/>
      <c r="C401" s="240"/>
      <c r="D401" s="240"/>
      <c r="E401" s="240"/>
      <c r="F401" s="240"/>
      <c r="G401" s="240"/>
      <c r="H401" s="24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2">
      <c r="A402"/>
      <c r="B402" s="2"/>
      <c r="C402" s="240"/>
      <c r="D402" s="240"/>
      <c r="E402" s="240"/>
      <c r="F402" s="240"/>
      <c r="G402" s="240"/>
      <c r="H402" s="24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2">
      <c r="A403"/>
      <c r="B403" s="2"/>
      <c r="C403" s="240"/>
      <c r="D403" s="240"/>
      <c r="E403" s="240"/>
      <c r="F403" s="240"/>
      <c r="G403" s="240"/>
      <c r="H403" s="24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2">
      <c r="A404"/>
      <c r="B404" s="2"/>
      <c r="C404" s="240"/>
      <c r="D404" s="240"/>
      <c r="E404" s="240"/>
      <c r="F404" s="240"/>
      <c r="G404" s="240"/>
      <c r="H404" s="24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2">
      <c r="A405"/>
      <c r="B405" s="2"/>
      <c r="C405" s="240"/>
      <c r="D405" s="240"/>
      <c r="E405" s="240"/>
      <c r="F405" s="240"/>
      <c r="G405" s="240"/>
      <c r="H405" s="24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2">
      <c r="A406"/>
      <c r="B406" s="2"/>
      <c r="C406" s="240"/>
      <c r="D406" s="240"/>
      <c r="E406" s="240"/>
      <c r="F406" s="240"/>
      <c r="G406" s="240"/>
      <c r="H406" s="24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2">
      <c r="A407"/>
      <c r="B407" s="2"/>
      <c r="C407" s="240"/>
      <c r="D407" s="240"/>
      <c r="E407" s="240"/>
      <c r="F407" s="240"/>
      <c r="G407" s="240"/>
      <c r="H407" s="24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2">
      <c r="A408"/>
      <c r="B408" s="2"/>
      <c r="C408" s="240"/>
      <c r="D408" s="240"/>
      <c r="E408" s="240"/>
      <c r="F408" s="240"/>
      <c r="G408" s="240"/>
      <c r="H408" s="24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2">
      <c r="A409"/>
      <c r="B409" s="2"/>
      <c r="C409" s="240"/>
      <c r="D409" s="240"/>
      <c r="E409" s="240"/>
      <c r="F409" s="240"/>
      <c r="G409" s="240"/>
      <c r="H409" s="24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2">
      <c r="A410"/>
      <c r="B410" s="2"/>
      <c r="C410" s="240"/>
      <c r="D410" s="240"/>
      <c r="E410" s="240"/>
      <c r="F410" s="240"/>
      <c r="G410" s="240"/>
      <c r="H410" s="24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2">
      <c r="A411"/>
      <c r="B411" s="2"/>
      <c r="C411" s="240"/>
      <c r="D411" s="240"/>
      <c r="E411" s="240"/>
      <c r="F411" s="240"/>
      <c r="G411" s="240"/>
      <c r="H411" s="24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2">
      <c r="A412"/>
      <c r="B412" s="2"/>
      <c r="C412" s="240"/>
      <c r="D412" s="240"/>
      <c r="E412" s="240"/>
      <c r="F412" s="240"/>
      <c r="G412" s="240"/>
      <c r="H412" s="24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2">
      <c r="A413"/>
      <c r="B413" s="2"/>
      <c r="C413" s="240"/>
      <c r="D413" s="240"/>
      <c r="E413" s="240"/>
      <c r="F413" s="240"/>
      <c r="G413" s="240"/>
      <c r="H413" s="24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2">
      <c r="A414"/>
      <c r="B414" s="2"/>
      <c r="C414" s="240"/>
      <c r="D414" s="240"/>
      <c r="E414" s="240"/>
      <c r="F414" s="240"/>
      <c r="G414" s="240"/>
      <c r="H414" s="240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2">
      <c r="A415"/>
      <c r="B415" s="2"/>
      <c r="C415" s="240"/>
      <c r="D415" s="240"/>
      <c r="E415" s="240"/>
      <c r="F415" s="240"/>
      <c r="G415" s="240"/>
      <c r="H415" s="240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2">
      <c r="A416"/>
      <c r="B416" s="2"/>
      <c r="C416" s="240"/>
      <c r="D416" s="240"/>
      <c r="E416" s="240"/>
      <c r="F416" s="240"/>
      <c r="G416" s="240"/>
      <c r="H416" s="240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2">
      <c r="A417"/>
      <c r="B417" s="2"/>
      <c r="C417" s="240"/>
      <c r="D417" s="240"/>
      <c r="E417" s="240"/>
      <c r="F417" s="240"/>
      <c r="G417" s="240"/>
      <c r="H417" s="240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2">
      <c r="A418"/>
      <c r="B418" s="2"/>
      <c r="C418" s="240"/>
      <c r="D418" s="240"/>
      <c r="E418" s="240"/>
      <c r="F418" s="240"/>
      <c r="G418" s="240"/>
      <c r="H418" s="240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2">
      <c r="A419"/>
      <c r="B419" s="2"/>
      <c r="C419" s="240"/>
      <c r="D419" s="240"/>
      <c r="E419" s="240"/>
      <c r="F419" s="240"/>
      <c r="G419" s="240"/>
      <c r="H419" s="240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2">
      <c r="A420"/>
      <c r="B420" s="2"/>
      <c r="C420" s="240"/>
      <c r="D420" s="240"/>
      <c r="E420" s="240"/>
      <c r="F420" s="240"/>
      <c r="G420" s="240"/>
      <c r="H420" s="240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2">
      <c r="A421"/>
      <c r="B421" s="2"/>
      <c r="C421" s="240"/>
      <c r="D421" s="240"/>
      <c r="E421" s="240"/>
      <c r="F421" s="240"/>
      <c r="G421" s="240"/>
      <c r="H421" s="240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2">
      <c r="A422"/>
      <c r="B422" s="2"/>
      <c r="C422" s="240"/>
      <c r="D422" s="240"/>
      <c r="E422" s="240"/>
      <c r="F422" s="240"/>
      <c r="G422" s="240"/>
      <c r="H422" s="240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2">
      <c r="A423"/>
      <c r="B423" s="2"/>
      <c r="C423" s="240"/>
      <c r="D423" s="240"/>
      <c r="E423" s="240"/>
      <c r="F423" s="240"/>
      <c r="G423" s="240"/>
      <c r="H423" s="240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2">
      <c r="A424"/>
      <c r="B424" s="2"/>
      <c r="C424" s="240"/>
      <c r="D424" s="240"/>
      <c r="E424" s="240"/>
      <c r="F424" s="240"/>
      <c r="G424" s="240"/>
      <c r="H424" s="240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2">
      <c r="A425"/>
      <c r="B425" s="2"/>
      <c r="C425" s="240"/>
      <c r="D425" s="240"/>
      <c r="E425" s="240"/>
      <c r="F425" s="240"/>
      <c r="G425" s="240"/>
      <c r="H425" s="240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2">
      <c r="A426"/>
      <c r="B426" s="2"/>
      <c r="C426" s="240"/>
      <c r="D426" s="240"/>
      <c r="E426" s="240"/>
      <c r="F426" s="240"/>
      <c r="G426" s="240"/>
      <c r="H426" s="240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2">
      <c r="A427"/>
      <c r="B427" s="2"/>
      <c r="C427" s="240"/>
      <c r="D427" s="240"/>
      <c r="E427" s="240"/>
      <c r="F427" s="240"/>
      <c r="G427" s="240"/>
      <c r="H427" s="240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2">
      <c r="A428"/>
      <c r="B428" s="2"/>
      <c r="C428" s="240"/>
      <c r="D428" s="240"/>
      <c r="E428" s="240"/>
      <c r="F428" s="240"/>
      <c r="G428" s="240"/>
      <c r="H428" s="240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2">
      <c r="A429"/>
      <c r="B429" s="2"/>
      <c r="C429" s="240"/>
      <c r="D429" s="240"/>
      <c r="E429" s="240"/>
      <c r="F429" s="240"/>
      <c r="G429" s="240"/>
      <c r="H429" s="240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2">
      <c r="A430"/>
      <c r="B430" s="2"/>
      <c r="C430" s="240"/>
      <c r="D430" s="240"/>
      <c r="E430" s="240"/>
      <c r="F430" s="240"/>
      <c r="G430" s="240"/>
      <c r="H430" s="240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2">
      <c r="A431"/>
      <c r="B431" s="2"/>
      <c r="C431" s="240"/>
      <c r="D431" s="240"/>
      <c r="E431" s="240"/>
      <c r="F431" s="240"/>
      <c r="G431" s="240"/>
      <c r="H431" s="240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2">
      <c r="A432"/>
      <c r="B432" s="2"/>
      <c r="C432" s="240"/>
      <c r="D432" s="240"/>
      <c r="E432" s="240"/>
      <c r="F432" s="240"/>
      <c r="G432" s="240"/>
      <c r="H432" s="240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2">
      <c r="A433"/>
      <c r="B433" s="2"/>
      <c r="C433" s="240"/>
      <c r="D433" s="240"/>
      <c r="E433" s="240"/>
      <c r="F433" s="240"/>
      <c r="G433" s="240"/>
      <c r="H433" s="240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2">
      <c r="A434"/>
      <c r="B434" s="2"/>
      <c r="C434" s="240"/>
      <c r="D434" s="240"/>
      <c r="E434" s="240"/>
      <c r="F434" s="240"/>
      <c r="G434" s="240"/>
      <c r="H434" s="240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2">
      <c r="A435"/>
      <c r="B435" s="2"/>
      <c r="C435" s="240"/>
      <c r="D435" s="240"/>
      <c r="E435" s="240"/>
      <c r="F435" s="240"/>
      <c r="G435" s="240"/>
      <c r="H435" s="240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2">
      <c r="A436"/>
      <c r="B436" s="2"/>
      <c r="C436" s="240"/>
      <c r="D436" s="240"/>
      <c r="E436" s="240"/>
      <c r="F436" s="240"/>
      <c r="G436" s="240"/>
      <c r="H436" s="240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2">
      <c r="A437"/>
      <c r="B437" s="2"/>
      <c r="C437" s="240"/>
      <c r="D437" s="240"/>
      <c r="E437" s="240"/>
      <c r="F437" s="240"/>
      <c r="G437" s="240"/>
      <c r="H437" s="240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2">
      <c r="A438"/>
      <c r="B438" s="2"/>
      <c r="C438" s="240"/>
      <c r="D438" s="240"/>
      <c r="E438" s="240"/>
      <c r="F438" s="240"/>
      <c r="G438" s="240"/>
      <c r="H438" s="240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2">
      <c r="A439"/>
      <c r="B439" s="2"/>
      <c r="C439" s="240"/>
      <c r="D439" s="240"/>
      <c r="E439" s="240"/>
      <c r="F439" s="240"/>
      <c r="G439" s="240"/>
      <c r="H439" s="240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2">
      <c r="A440"/>
      <c r="B440" s="2"/>
      <c r="C440" s="240"/>
      <c r="D440" s="240"/>
      <c r="E440" s="240"/>
      <c r="F440" s="240"/>
      <c r="G440" s="240"/>
      <c r="H440" s="240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2">
      <c r="A441"/>
      <c r="B441" s="2"/>
      <c r="C441" s="240"/>
      <c r="D441" s="240"/>
      <c r="E441" s="240"/>
      <c r="F441" s="240"/>
      <c r="G441" s="240"/>
      <c r="H441" s="240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2">
      <c r="A442"/>
      <c r="B442" s="2"/>
      <c r="C442" s="240"/>
      <c r="D442" s="240"/>
      <c r="E442" s="240"/>
      <c r="F442" s="240"/>
      <c r="G442" s="240"/>
      <c r="H442" s="240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2">
      <c r="A443"/>
      <c r="B443" s="2"/>
      <c r="C443" s="240"/>
      <c r="D443" s="240"/>
      <c r="E443" s="240"/>
      <c r="F443" s="240"/>
      <c r="G443" s="240"/>
      <c r="H443" s="240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2">
      <c r="A444"/>
      <c r="B444" s="2"/>
      <c r="C444" s="240"/>
      <c r="D444" s="240"/>
      <c r="E444" s="240"/>
      <c r="F444" s="240"/>
      <c r="G444" s="240"/>
      <c r="H444" s="240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2">
      <c r="A445"/>
      <c r="B445" s="2"/>
      <c r="C445" s="240"/>
      <c r="D445" s="240"/>
      <c r="E445" s="240"/>
      <c r="F445" s="240"/>
      <c r="G445" s="240"/>
      <c r="H445" s="240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2">
      <c r="A446"/>
      <c r="B446" s="2"/>
      <c r="C446" s="240"/>
      <c r="D446" s="240"/>
      <c r="E446" s="240"/>
      <c r="F446" s="240"/>
      <c r="G446" s="240"/>
      <c r="H446" s="240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2">
      <c r="A447"/>
      <c r="B447" s="2"/>
      <c r="C447" s="240"/>
      <c r="D447" s="240"/>
      <c r="E447" s="240"/>
      <c r="F447" s="240"/>
      <c r="G447" s="240"/>
      <c r="H447" s="240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2">
      <c r="A448"/>
      <c r="B448" s="2"/>
      <c r="C448" s="240"/>
      <c r="D448" s="240"/>
      <c r="E448" s="240"/>
      <c r="F448" s="240"/>
      <c r="G448" s="240"/>
      <c r="H448" s="240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2">
      <c r="A449"/>
      <c r="B449" s="2"/>
      <c r="C449" s="240"/>
      <c r="D449" s="240"/>
      <c r="E449" s="240"/>
      <c r="F449" s="240"/>
      <c r="G449" s="240"/>
      <c r="H449" s="240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2">
      <c r="A450"/>
      <c r="B450" s="2"/>
      <c r="C450" s="240"/>
      <c r="D450" s="240"/>
      <c r="E450" s="240"/>
      <c r="F450" s="240"/>
      <c r="G450" s="240"/>
      <c r="H450" s="240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2">
      <c r="A451"/>
      <c r="B451" s="2"/>
      <c r="C451" s="240"/>
      <c r="D451" s="240"/>
      <c r="E451" s="240"/>
      <c r="F451" s="240"/>
      <c r="G451" s="240"/>
      <c r="H451" s="240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2">
      <c r="A452"/>
      <c r="B452" s="2"/>
      <c r="C452" s="240"/>
      <c r="D452" s="240"/>
      <c r="E452" s="240"/>
      <c r="F452" s="240"/>
      <c r="G452" s="240"/>
      <c r="H452" s="240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2">
      <c r="A453"/>
      <c r="B453" s="2"/>
      <c r="C453" s="240"/>
      <c r="D453" s="240"/>
      <c r="E453" s="240"/>
      <c r="F453" s="240"/>
      <c r="G453" s="240"/>
      <c r="H453" s="240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2">
      <c r="A454"/>
      <c r="B454" s="2"/>
      <c r="C454" s="240"/>
      <c r="D454" s="240"/>
      <c r="E454" s="240"/>
      <c r="F454" s="240"/>
      <c r="G454" s="240"/>
      <c r="H454" s="240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2">
      <c r="A455"/>
      <c r="B455" s="2"/>
      <c r="C455" s="240"/>
      <c r="D455" s="240"/>
      <c r="E455" s="240"/>
      <c r="F455" s="240"/>
      <c r="G455" s="240"/>
      <c r="H455" s="240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2">
      <c r="A456"/>
      <c r="B456" s="2"/>
      <c r="C456" s="240"/>
      <c r="D456" s="240"/>
      <c r="E456" s="240"/>
      <c r="F456" s="240"/>
      <c r="G456" s="240"/>
      <c r="H456" s="240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2">
      <c r="A457"/>
      <c r="B457" s="2"/>
      <c r="C457" s="240"/>
      <c r="D457" s="240"/>
      <c r="E457" s="240"/>
      <c r="F457" s="240"/>
      <c r="G457" s="240"/>
      <c r="H457" s="240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2">
      <c r="A458"/>
      <c r="B458" s="2"/>
      <c r="C458" s="240"/>
      <c r="D458" s="240"/>
      <c r="E458" s="240"/>
      <c r="F458" s="240"/>
      <c r="G458" s="240"/>
      <c r="H458" s="240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2">
      <c r="A459"/>
      <c r="B459" s="2"/>
      <c r="C459" s="240"/>
      <c r="D459" s="240"/>
      <c r="E459" s="240"/>
      <c r="F459" s="240"/>
      <c r="G459" s="240"/>
      <c r="H459" s="240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2">
      <c r="A460"/>
      <c r="B460" s="2"/>
      <c r="C460" s="240"/>
      <c r="D460" s="240"/>
      <c r="E460" s="240"/>
      <c r="F460" s="240"/>
      <c r="G460" s="240"/>
      <c r="H460" s="240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2">
      <c r="A461"/>
      <c r="B461" s="2"/>
      <c r="C461" s="240"/>
      <c r="D461" s="240"/>
      <c r="E461" s="240"/>
      <c r="F461" s="240"/>
      <c r="G461" s="240"/>
      <c r="H461" s="240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2">
      <c r="A462"/>
      <c r="B462" s="2"/>
      <c r="C462" s="240"/>
      <c r="D462" s="240"/>
      <c r="E462" s="240"/>
      <c r="F462" s="240"/>
      <c r="G462" s="240"/>
      <c r="H462" s="240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2">
      <c r="A463"/>
      <c r="B463" s="2"/>
      <c r="C463" s="240"/>
      <c r="D463" s="240"/>
      <c r="E463" s="240"/>
      <c r="F463" s="240"/>
      <c r="G463" s="240"/>
      <c r="H463" s="240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2">
      <c r="A464"/>
      <c r="B464" s="2"/>
      <c r="C464" s="240"/>
      <c r="D464" s="240"/>
      <c r="E464" s="240"/>
      <c r="F464" s="240"/>
      <c r="G464" s="240"/>
      <c r="H464" s="240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2">
      <c r="A465"/>
      <c r="B465" s="2"/>
      <c r="C465" s="240"/>
      <c r="D465" s="240"/>
      <c r="E465" s="240"/>
      <c r="F465" s="240"/>
      <c r="G465" s="240"/>
      <c r="H465" s="240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2">
      <c r="A466"/>
      <c r="B466" s="2"/>
      <c r="C466" s="240"/>
      <c r="D466" s="240"/>
      <c r="E466" s="240"/>
      <c r="F466" s="240"/>
      <c r="G466" s="240"/>
      <c r="H466" s="240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2">
      <c r="A467"/>
      <c r="B467" s="2"/>
      <c r="C467" s="240"/>
      <c r="D467" s="240"/>
      <c r="E467" s="240"/>
      <c r="F467" s="240"/>
      <c r="G467" s="240"/>
      <c r="H467" s="240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2">
      <c r="A468"/>
      <c r="B468" s="2"/>
      <c r="C468" s="240"/>
      <c r="D468" s="240"/>
      <c r="E468" s="240"/>
      <c r="F468" s="240"/>
      <c r="G468" s="240"/>
      <c r="H468" s="240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2">
      <c r="A469"/>
      <c r="B469" s="2"/>
      <c r="C469" s="240"/>
      <c r="D469" s="240"/>
      <c r="E469" s="240"/>
      <c r="F469" s="240"/>
      <c r="G469" s="240"/>
      <c r="H469" s="240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2">
      <c r="A470"/>
      <c r="B470" s="2"/>
      <c r="C470" s="240"/>
      <c r="D470" s="240"/>
      <c r="E470" s="240"/>
      <c r="F470" s="240"/>
      <c r="G470" s="240"/>
      <c r="H470" s="240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2">
      <c r="A471"/>
      <c r="B471" s="2"/>
      <c r="C471" s="240"/>
      <c r="D471" s="240"/>
      <c r="E471" s="240"/>
      <c r="F471" s="240"/>
      <c r="G471" s="240"/>
      <c r="H471" s="240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2">
      <c r="A472"/>
      <c r="B472" s="2"/>
      <c r="C472" s="240"/>
      <c r="D472" s="240"/>
      <c r="E472" s="240"/>
      <c r="F472" s="240"/>
      <c r="G472" s="240"/>
      <c r="H472" s="240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2">
      <c r="A473"/>
      <c r="B473" s="2"/>
      <c r="C473" s="240"/>
      <c r="D473" s="240"/>
      <c r="E473" s="240"/>
      <c r="F473" s="240"/>
      <c r="G473" s="240"/>
      <c r="H473" s="240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2">
      <c r="A474"/>
      <c r="B474" s="2"/>
      <c r="C474" s="240"/>
      <c r="D474" s="240"/>
      <c r="E474" s="240"/>
      <c r="F474" s="240"/>
      <c r="G474" s="240"/>
      <c r="H474" s="240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2">
      <c r="A475"/>
      <c r="B475" s="2"/>
      <c r="C475" s="240"/>
      <c r="D475" s="240"/>
      <c r="E475" s="240"/>
      <c r="F475" s="240"/>
      <c r="G475" s="240"/>
      <c r="H475" s="240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2">
      <c r="A476"/>
      <c r="B476" s="2"/>
      <c r="C476" s="240"/>
      <c r="D476" s="240"/>
      <c r="E476" s="240"/>
      <c r="F476" s="240"/>
      <c r="G476" s="240"/>
      <c r="H476" s="240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2">
      <c r="A477"/>
      <c r="B477" s="2"/>
      <c r="C477" s="240"/>
      <c r="D477" s="240"/>
      <c r="E477" s="240"/>
      <c r="F477" s="240"/>
      <c r="G477" s="240"/>
      <c r="H477" s="240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2">
      <c r="A478"/>
      <c r="B478" s="2"/>
      <c r="C478" s="240"/>
      <c r="D478" s="240"/>
      <c r="E478" s="240"/>
      <c r="F478" s="240"/>
      <c r="G478" s="240"/>
      <c r="H478" s="240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2">
      <c r="A479"/>
      <c r="B479" s="2"/>
      <c r="C479" s="240"/>
      <c r="D479" s="240"/>
      <c r="E479" s="240"/>
      <c r="F479" s="240"/>
      <c r="G479" s="240"/>
      <c r="H479" s="240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2">
      <c r="A480"/>
      <c r="B480" s="2"/>
      <c r="C480" s="240"/>
      <c r="D480" s="240"/>
      <c r="E480" s="240"/>
      <c r="F480" s="240"/>
      <c r="G480" s="240"/>
      <c r="H480" s="240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2">
      <c r="A481"/>
      <c r="B481" s="2"/>
      <c r="C481" s="240"/>
      <c r="D481" s="240"/>
      <c r="E481" s="240"/>
      <c r="F481" s="240"/>
      <c r="G481" s="240"/>
      <c r="H481" s="240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2">
      <c r="A482"/>
      <c r="B482" s="2"/>
      <c r="C482" s="240"/>
      <c r="D482" s="240"/>
      <c r="E482" s="240"/>
      <c r="F482" s="240"/>
      <c r="G482" s="240"/>
      <c r="H482" s="240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2">
      <c r="A483"/>
      <c r="B483" s="2"/>
      <c r="C483" s="240"/>
      <c r="D483" s="240"/>
      <c r="E483" s="240"/>
      <c r="F483" s="240"/>
      <c r="G483" s="240"/>
      <c r="H483" s="240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2">
      <c r="A484"/>
      <c r="B484" s="2"/>
      <c r="C484" s="240"/>
      <c r="D484" s="240"/>
      <c r="E484" s="240"/>
      <c r="F484" s="240"/>
      <c r="G484" s="240"/>
      <c r="H484" s="240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2">
      <c r="A485"/>
      <c r="B485" s="2"/>
      <c r="C485" s="240"/>
      <c r="D485" s="240"/>
      <c r="E485" s="240"/>
      <c r="F485" s="240"/>
      <c r="G485" s="240"/>
      <c r="H485" s="240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2">
      <c r="A486"/>
      <c r="B486" s="2"/>
      <c r="C486" s="240"/>
      <c r="D486" s="240"/>
      <c r="E486" s="240"/>
      <c r="F486" s="240"/>
      <c r="G486" s="240"/>
      <c r="H486" s="240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2">
      <c r="A487"/>
      <c r="B487" s="2"/>
      <c r="C487" s="240"/>
      <c r="D487" s="240"/>
      <c r="E487" s="240"/>
      <c r="F487" s="240"/>
      <c r="G487" s="240"/>
      <c r="H487" s="240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2">
      <c r="A488"/>
      <c r="B488" s="2"/>
      <c r="C488" s="240"/>
      <c r="D488" s="240"/>
      <c r="E488" s="240"/>
      <c r="F488" s="240"/>
      <c r="G488" s="240"/>
      <c r="H488" s="240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2">
      <c r="A489"/>
      <c r="B489" s="2"/>
      <c r="C489" s="240"/>
      <c r="D489" s="240"/>
      <c r="E489" s="240"/>
      <c r="F489" s="240"/>
      <c r="G489" s="240"/>
      <c r="H489" s="240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2">
      <c r="A490"/>
      <c r="B490" s="2"/>
      <c r="C490" s="240"/>
      <c r="D490" s="240"/>
      <c r="E490" s="240"/>
      <c r="F490" s="240"/>
      <c r="G490" s="240"/>
      <c r="H490" s="240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2">
      <c r="A491"/>
      <c r="B491" s="2"/>
      <c r="C491" s="240"/>
      <c r="D491" s="240"/>
      <c r="E491" s="240"/>
      <c r="F491" s="240"/>
      <c r="G491" s="240"/>
      <c r="H491" s="240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2">
      <c r="A492"/>
      <c r="B492" s="2"/>
      <c r="C492" s="240"/>
      <c r="D492" s="240"/>
      <c r="E492" s="240"/>
      <c r="F492" s="240"/>
      <c r="G492" s="240"/>
      <c r="H492" s="240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2">
      <c r="A493"/>
      <c r="B493" s="2"/>
      <c r="C493" s="240"/>
      <c r="D493" s="240"/>
      <c r="E493" s="240"/>
      <c r="F493" s="240"/>
      <c r="G493" s="240"/>
      <c r="H493" s="240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2">
      <c r="A494"/>
      <c r="B494" s="2"/>
      <c r="C494" s="240"/>
      <c r="D494" s="240"/>
      <c r="E494" s="240"/>
      <c r="F494" s="240"/>
      <c r="G494" s="240"/>
      <c r="H494" s="240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2">
      <c r="A495"/>
      <c r="B495" s="2"/>
      <c r="C495" s="240"/>
      <c r="D495" s="240"/>
      <c r="E495" s="240"/>
      <c r="F495" s="240"/>
      <c r="G495" s="240"/>
      <c r="H495" s="240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2">
      <c r="A496"/>
      <c r="B496" s="2"/>
      <c r="C496" s="240"/>
      <c r="D496" s="240"/>
      <c r="E496" s="240"/>
      <c r="F496" s="240"/>
      <c r="G496" s="240"/>
      <c r="H496" s="240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2">
      <c r="A497"/>
      <c r="B497" s="2"/>
      <c r="C497" s="240"/>
      <c r="D497" s="240"/>
      <c r="E497" s="240"/>
      <c r="F497" s="240"/>
      <c r="G497" s="240"/>
      <c r="H497" s="240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2">
      <c r="A498"/>
      <c r="B498" s="2"/>
      <c r="C498" s="240"/>
      <c r="D498" s="240"/>
      <c r="E498" s="240"/>
      <c r="F498" s="240"/>
      <c r="G498" s="240"/>
      <c r="H498" s="240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2">
      <c r="A499"/>
      <c r="B499" s="2"/>
      <c r="C499" s="240"/>
      <c r="D499" s="240"/>
      <c r="E499" s="240"/>
      <c r="F499" s="240"/>
      <c r="G499" s="240"/>
      <c r="H499" s="240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2">
      <c r="A500"/>
      <c r="B500" s="2"/>
      <c r="C500" s="240"/>
      <c r="D500" s="240"/>
      <c r="E500" s="240"/>
      <c r="F500" s="240"/>
      <c r="G500" s="240"/>
      <c r="H500" s="240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2">
      <c r="A501"/>
      <c r="B501" s="2"/>
      <c r="C501" s="240"/>
      <c r="D501" s="240"/>
      <c r="E501" s="240"/>
      <c r="F501" s="240"/>
      <c r="G501" s="240"/>
      <c r="H501" s="240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2">
      <c r="A502"/>
      <c r="B502" s="2"/>
      <c r="C502" s="240"/>
      <c r="D502" s="240"/>
      <c r="E502" s="240"/>
      <c r="F502" s="240"/>
      <c r="G502" s="240"/>
      <c r="H502" s="240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2">
      <c r="A503"/>
      <c r="B503" s="2"/>
      <c r="C503" s="240"/>
      <c r="D503" s="240"/>
      <c r="E503" s="240"/>
      <c r="F503" s="240"/>
      <c r="G503" s="240"/>
      <c r="H503" s="240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2">
      <c r="A504"/>
      <c r="B504" s="2"/>
      <c r="C504" s="240"/>
      <c r="D504" s="240"/>
      <c r="E504" s="240"/>
      <c r="F504" s="240"/>
      <c r="G504" s="240"/>
      <c r="H504" s="240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2">
      <c r="A505"/>
      <c r="B505" s="2"/>
      <c r="C505" s="240"/>
      <c r="D505" s="240"/>
      <c r="E505" s="240"/>
      <c r="F505" s="240"/>
      <c r="G505" s="240"/>
      <c r="H505" s="240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2">
      <c r="A506"/>
      <c r="B506" s="2"/>
      <c r="C506" s="240"/>
      <c r="D506" s="240"/>
      <c r="E506" s="240"/>
      <c r="F506" s="240"/>
      <c r="G506" s="240"/>
      <c r="H506" s="240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2">
      <c r="A507"/>
      <c r="B507" s="2"/>
      <c r="C507" s="240"/>
      <c r="D507" s="240"/>
      <c r="E507" s="240"/>
      <c r="F507" s="240"/>
      <c r="G507" s="240"/>
      <c r="H507" s="240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2">
      <c r="A508"/>
      <c r="B508" s="2"/>
      <c r="C508" s="240"/>
      <c r="D508" s="240"/>
      <c r="E508" s="240"/>
      <c r="F508" s="240"/>
      <c r="G508" s="240"/>
      <c r="H508" s="240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2">
      <c r="A509"/>
      <c r="B509" s="2"/>
      <c r="C509" s="240"/>
      <c r="D509" s="240"/>
      <c r="E509" s="240"/>
      <c r="F509" s="240"/>
      <c r="G509" s="240"/>
      <c r="H509" s="240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2">
      <c r="A510"/>
      <c r="B510" s="2"/>
      <c r="C510" s="240"/>
      <c r="D510" s="240"/>
      <c r="E510" s="240"/>
      <c r="F510" s="240"/>
      <c r="G510" s="240"/>
      <c r="H510" s="240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2">
      <c r="A511"/>
      <c r="B511" s="2"/>
      <c r="C511" s="240"/>
      <c r="D511" s="240"/>
      <c r="E511" s="240"/>
      <c r="F511" s="240"/>
      <c r="G511" s="240"/>
      <c r="H511" s="240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2">
      <c r="A512"/>
      <c r="B512" s="2"/>
      <c r="C512" s="240"/>
      <c r="D512" s="240"/>
      <c r="E512" s="240"/>
      <c r="F512" s="240"/>
      <c r="G512" s="240"/>
      <c r="H512" s="240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2">
      <c r="A513"/>
      <c r="B513" s="2"/>
      <c r="C513" s="240"/>
      <c r="D513" s="240"/>
      <c r="E513" s="240"/>
      <c r="F513" s="240"/>
      <c r="G513" s="240"/>
      <c r="H513" s="240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2">
      <c r="A514"/>
      <c r="B514" s="2"/>
      <c r="C514" s="240"/>
      <c r="D514" s="240"/>
      <c r="E514" s="240"/>
      <c r="F514" s="240"/>
      <c r="G514" s="240"/>
      <c r="H514" s="240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2">
      <c r="A515"/>
      <c r="B515" s="2"/>
      <c r="C515" s="240"/>
      <c r="D515" s="240"/>
      <c r="E515" s="240"/>
      <c r="F515" s="240"/>
      <c r="G515" s="240"/>
      <c r="H515" s="240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2">
      <c r="A516"/>
      <c r="B516" s="2"/>
      <c r="C516" s="240"/>
      <c r="D516" s="240"/>
      <c r="E516" s="240"/>
      <c r="F516" s="240"/>
      <c r="G516" s="240"/>
      <c r="H516" s="240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2">
      <c r="A517"/>
      <c r="B517" s="2"/>
      <c r="C517" s="240"/>
      <c r="D517" s="240"/>
      <c r="E517" s="240"/>
      <c r="F517" s="240"/>
      <c r="G517" s="240"/>
      <c r="H517" s="240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2">
      <c r="A518"/>
      <c r="B518" s="2"/>
      <c r="C518" s="240"/>
      <c r="D518" s="240"/>
      <c r="E518" s="240"/>
      <c r="F518" s="240"/>
      <c r="G518" s="240"/>
      <c r="H518" s="240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2">
      <c r="A519"/>
      <c r="B519" s="2"/>
      <c r="C519" s="240"/>
      <c r="D519" s="240"/>
      <c r="E519" s="240"/>
      <c r="F519" s="240"/>
      <c r="G519" s="240"/>
      <c r="H519" s="240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2">
      <c r="A520"/>
      <c r="B520" s="2"/>
      <c r="C520" s="240"/>
      <c r="D520" s="240"/>
      <c r="E520" s="240"/>
      <c r="F520" s="240"/>
      <c r="G520" s="240"/>
      <c r="H520" s="240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2">
      <c r="A521"/>
      <c r="B521" s="2"/>
      <c r="C521" s="240"/>
      <c r="D521" s="240"/>
      <c r="E521" s="240"/>
      <c r="F521" s="240"/>
      <c r="G521" s="240"/>
      <c r="H521" s="240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2">
      <c r="A522"/>
      <c r="B522" s="2"/>
      <c r="C522" s="240"/>
      <c r="D522" s="240"/>
      <c r="E522" s="240"/>
      <c r="F522" s="240"/>
      <c r="G522" s="240"/>
      <c r="H522" s="240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2">
      <c r="A523"/>
      <c r="B523" s="2"/>
      <c r="C523" s="240"/>
      <c r="D523" s="240"/>
      <c r="E523" s="240"/>
      <c r="F523" s="240"/>
      <c r="G523" s="240"/>
      <c r="H523" s="240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2">
      <c r="A524"/>
      <c r="B524" s="2"/>
      <c r="C524" s="240"/>
      <c r="D524" s="240"/>
      <c r="E524" s="240"/>
      <c r="F524" s="240"/>
      <c r="G524" s="240"/>
      <c r="H524" s="240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2">
      <c r="A525"/>
      <c r="B525" s="2"/>
      <c r="C525" s="240"/>
      <c r="D525" s="240"/>
      <c r="E525" s="240"/>
      <c r="F525" s="240"/>
      <c r="G525" s="240"/>
      <c r="H525" s="240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2">
      <c r="A526"/>
      <c r="B526" s="2"/>
      <c r="C526" s="240"/>
      <c r="D526" s="240"/>
      <c r="E526" s="240"/>
      <c r="F526" s="240"/>
      <c r="G526" s="240"/>
      <c r="H526" s="240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2">
      <c r="A527"/>
      <c r="B527" s="2"/>
      <c r="C527" s="240"/>
      <c r="D527" s="240"/>
      <c r="E527" s="240"/>
      <c r="F527" s="240"/>
      <c r="G527" s="240"/>
      <c r="H527" s="240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2">
      <c r="A528"/>
      <c r="B528" s="2"/>
      <c r="C528" s="240"/>
      <c r="D528" s="240"/>
      <c r="E528" s="240"/>
      <c r="F528" s="240"/>
      <c r="G528" s="240"/>
      <c r="H528" s="240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2">
      <c r="A529"/>
      <c r="B529" s="2"/>
      <c r="C529" s="240"/>
      <c r="D529" s="240"/>
      <c r="E529" s="240"/>
      <c r="F529" s="240"/>
      <c r="G529" s="240"/>
      <c r="H529" s="240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2">
      <c r="A530"/>
      <c r="B530" s="2"/>
      <c r="C530" s="240"/>
      <c r="D530" s="240"/>
      <c r="E530" s="240"/>
      <c r="F530" s="240"/>
      <c r="G530" s="240"/>
      <c r="H530" s="240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2">
      <c r="A531"/>
      <c r="B531" s="2"/>
      <c r="C531" s="240"/>
      <c r="D531" s="240"/>
      <c r="E531" s="240"/>
      <c r="F531" s="240"/>
      <c r="G531" s="240"/>
      <c r="H531" s="240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2">
      <c r="A532"/>
      <c r="B532" s="2"/>
      <c r="C532" s="240"/>
      <c r="D532" s="240"/>
      <c r="E532" s="240"/>
      <c r="F532" s="240"/>
      <c r="G532" s="240"/>
      <c r="H532" s="240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2">
      <c r="A533"/>
      <c r="B533" s="2"/>
      <c r="C533" s="240"/>
      <c r="D533" s="240"/>
      <c r="E533" s="240"/>
      <c r="F533" s="240"/>
      <c r="G533" s="240"/>
      <c r="H533" s="240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2">
      <c r="A534"/>
      <c r="B534" s="2"/>
      <c r="C534" s="240"/>
      <c r="D534" s="240"/>
      <c r="E534" s="240"/>
      <c r="F534" s="240"/>
      <c r="G534" s="240"/>
      <c r="H534" s="240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2">
      <c r="A535"/>
      <c r="B535" s="2"/>
      <c r="C535" s="240"/>
      <c r="D535" s="240"/>
      <c r="E535" s="240"/>
      <c r="F535" s="240"/>
      <c r="G535" s="240"/>
      <c r="H535" s="240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2">
      <c r="A536"/>
      <c r="B536" s="2"/>
      <c r="C536" s="240"/>
      <c r="D536" s="240"/>
      <c r="E536" s="240"/>
      <c r="F536" s="240"/>
      <c r="G536" s="240"/>
      <c r="H536" s="240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2">
      <c r="A537"/>
      <c r="B537" s="2"/>
      <c r="C537" s="240"/>
      <c r="D537" s="240"/>
      <c r="E537" s="240"/>
      <c r="F537" s="240"/>
      <c r="G537" s="240"/>
      <c r="H537" s="240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2">
      <c r="A538"/>
      <c r="B538" s="2"/>
      <c r="C538" s="240"/>
      <c r="D538" s="240"/>
      <c r="E538" s="240"/>
      <c r="F538" s="240"/>
      <c r="G538" s="240"/>
      <c r="H538" s="240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2">
      <c r="A539"/>
      <c r="B539" s="2"/>
      <c r="C539" s="240"/>
      <c r="D539" s="240"/>
      <c r="E539" s="240"/>
      <c r="F539" s="240"/>
      <c r="G539" s="240"/>
      <c r="H539" s="240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2">
      <c r="A540"/>
      <c r="B540" s="2"/>
      <c r="C540" s="240"/>
      <c r="D540" s="240"/>
      <c r="E540" s="240"/>
      <c r="F540" s="240"/>
      <c r="G540" s="240"/>
      <c r="H540" s="240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2">
      <c r="A541"/>
      <c r="B541" s="2"/>
      <c r="C541" s="240"/>
      <c r="D541" s="240"/>
      <c r="E541" s="240"/>
      <c r="F541" s="240"/>
      <c r="G541" s="240"/>
      <c r="H541" s="240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2">
      <c r="A542"/>
      <c r="B542" s="2"/>
      <c r="C542" s="240"/>
      <c r="D542" s="240"/>
      <c r="E542" s="240"/>
      <c r="F542" s="240"/>
      <c r="G542" s="240"/>
      <c r="H542" s="24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2">
      <c r="A543"/>
      <c r="B543" s="2"/>
      <c r="C543" s="240"/>
      <c r="D543" s="240"/>
      <c r="E543" s="240"/>
      <c r="F543" s="240"/>
      <c r="G543" s="240"/>
      <c r="H543" s="24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2">
      <c r="A544"/>
      <c r="B544" s="2"/>
      <c r="C544" s="240"/>
      <c r="D544" s="240"/>
      <c r="E544" s="240"/>
      <c r="F544" s="240"/>
      <c r="G544" s="240"/>
      <c r="H544" s="24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2">
      <c r="A545"/>
      <c r="B545" s="2"/>
      <c r="C545" s="240"/>
      <c r="D545" s="240"/>
      <c r="E545" s="240"/>
      <c r="F545" s="240"/>
      <c r="G545" s="240"/>
      <c r="H545" s="24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2">
      <c r="A546"/>
      <c r="B546" s="2"/>
      <c r="C546" s="240"/>
      <c r="D546" s="240"/>
      <c r="E546" s="240"/>
      <c r="F546" s="240"/>
      <c r="G546" s="240"/>
      <c r="H546" s="24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2">
      <c r="A547"/>
      <c r="B547" s="2"/>
      <c r="C547" s="240"/>
      <c r="D547" s="240"/>
      <c r="E547" s="240"/>
      <c r="F547" s="240"/>
      <c r="G547" s="240"/>
      <c r="H547" s="24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2">
      <c r="A548"/>
      <c r="B548" s="2"/>
      <c r="C548" s="240"/>
      <c r="D548" s="240"/>
      <c r="E548" s="240"/>
      <c r="F548" s="240"/>
      <c r="G548" s="240"/>
      <c r="H548" s="24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2">
      <c r="A549"/>
      <c r="B549" s="2"/>
      <c r="C549" s="240"/>
      <c r="D549" s="240"/>
      <c r="E549" s="240"/>
      <c r="F549" s="240"/>
      <c r="G549" s="240"/>
      <c r="H549" s="24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2">
      <c r="A550"/>
      <c r="B550" s="2"/>
      <c r="C550" s="240"/>
      <c r="D550" s="240"/>
      <c r="E550" s="240"/>
      <c r="F550" s="240"/>
      <c r="G550" s="240"/>
      <c r="H550" s="24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2">
      <c r="A551"/>
      <c r="B551" s="2"/>
      <c r="C551" s="240"/>
      <c r="D551" s="240"/>
      <c r="E551" s="240"/>
      <c r="F551" s="240"/>
      <c r="G551" s="240"/>
      <c r="H551" s="24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2">
      <c r="A552"/>
      <c r="B552" s="2"/>
      <c r="C552" s="240"/>
      <c r="D552" s="240"/>
      <c r="E552" s="240"/>
      <c r="F552" s="240"/>
      <c r="G552" s="240"/>
      <c r="H552" s="24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2">
      <c r="A553"/>
      <c r="B553" s="2"/>
      <c r="C553" s="240"/>
      <c r="D553" s="240"/>
      <c r="E553" s="240"/>
      <c r="F553" s="240"/>
      <c r="G553" s="240"/>
      <c r="H553" s="24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2">
      <c r="A554"/>
      <c r="B554" s="2"/>
      <c r="C554" s="240"/>
      <c r="D554" s="240"/>
      <c r="E554" s="240"/>
      <c r="F554" s="240"/>
      <c r="G554" s="240"/>
      <c r="H554" s="24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2">
      <c r="A555"/>
      <c r="B555" s="2"/>
      <c r="C555" s="240"/>
      <c r="D555" s="240"/>
      <c r="E555" s="240"/>
      <c r="F555" s="240"/>
      <c r="G555" s="240"/>
      <c r="H555" s="24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2">
      <c r="A556"/>
      <c r="B556" s="2"/>
      <c r="C556" s="240"/>
      <c r="D556" s="240"/>
      <c r="E556" s="240"/>
      <c r="F556" s="240"/>
      <c r="G556" s="240"/>
      <c r="H556" s="24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2">
      <c r="A557"/>
      <c r="B557" s="2"/>
      <c r="C557" s="240"/>
      <c r="D557" s="240"/>
      <c r="E557" s="240"/>
      <c r="F557" s="240"/>
      <c r="G557" s="240"/>
      <c r="H557" s="24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2">
      <c r="A558"/>
      <c r="B558" s="2"/>
      <c r="C558" s="240"/>
      <c r="D558" s="240"/>
      <c r="E558" s="240"/>
      <c r="F558" s="240"/>
      <c r="G558" s="240"/>
      <c r="H558" s="240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2">
      <c r="A559"/>
      <c r="B559" s="2"/>
      <c r="C559" s="240"/>
      <c r="D559" s="240"/>
      <c r="E559" s="240"/>
      <c r="F559" s="240"/>
      <c r="G559" s="240"/>
      <c r="H559" s="240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2">
      <c r="A560"/>
      <c r="B560" s="2"/>
      <c r="C560" s="240"/>
      <c r="D560" s="240"/>
      <c r="E560" s="240"/>
      <c r="F560" s="240"/>
      <c r="G560" s="240"/>
      <c r="H560" s="24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2">
      <c r="A561"/>
      <c r="B561" s="2"/>
      <c r="C561" s="240"/>
      <c r="D561" s="240"/>
      <c r="E561" s="240"/>
      <c r="F561" s="240"/>
      <c r="G561" s="240"/>
      <c r="H561" s="24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2">
      <c r="A562"/>
      <c r="B562" s="2"/>
      <c r="C562" s="240"/>
      <c r="D562" s="240"/>
      <c r="E562" s="240"/>
      <c r="F562" s="240"/>
      <c r="G562" s="240"/>
      <c r="H562" s="24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2">
      <c r="A563"/>
      <c r="B563" s="2"/>
      <c r="C563" s="240"/>
      <c r="D563" s="240"/>
      <c r="E563" s="240"/>
      <c r="F563" s="240"/>
      <c r="G563" s="240"/>
      <c r="H563" s="24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2">
      <c r="A564"/>
      <c r="B564" s="2"/>
      <c r="C564" s="240"/>
      <c r="D564" s="240"/>
      <c r="E564" s="240"/>
      <c r="F564" s="240"/>
      <c r="G564" s="240"/>
      <c r="H564" s="240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2">
      <c r="A565"/>
      <c r="B565" s="2"/>
      <c r="C565" s="240"/>
      <c r="D565" s="240"/>
      <c r="E565" s="240"/>
      <c r="F565" s="240"/>
      <c r="G565" s="240"/>
      <c r="H565" s="240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2">
      <c r="A566"/>
      <c r="B566" s="2"/>
      <c r="C566" s="240"/>
      <c r="D566" s="240"/>
      <c r="E566" s="240"/>
      <c r="F566" s="240"/>
      <c r="G566" s="240"/>
      <c r="H566" s="240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2">
      <c r="A567"/>
      <c r="B567" s="2"/>
      <c r="C567" s="240"/>
      <c r="D567" s="240"/>
      <c r="E567" s="240"/>
      <c r="F567" s="240"/>
      <c r="G567" s="240"/>
      <c r="H567" s="240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2">
      <c r="A568"/>
      <c r="B568" s="2"/>
      <c r="C568" s="240"/>
      <c r="D568" s="240"/>
      <c r="E568" s="240"/>
      <c r="F568" s="240"/>
      <c r="G568" s="240"/>
      <c r="H568" s="240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2">
      <c r="A569"/>
      <c r="B569" s="2"/>
      <c r="C569" s="240"/>
      <c r="D569" s="240"/>
      <c r="E569" s="240"/>
      <c r="F569" s="240"/>
      <c r="G569" s="240"/>
      <c r="H569" s="240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2">
      <c r="A570"/>
      <c r="B570" s="2"/>
      <c r="C570" s="240"/>
      <c r="D570" s="240"/>
      <c r="E570" s="240"/>
      <c r="F570" s="240"/>
      <c r="G570" s="240"/>
      <c r="H570" s="240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2">
      <c r="A571"/>
      <c r="B571" s="2"/>
      <c r="C571" s="240"/>
      <c r="D571" s="240"/>
      <c r="E571" s="240"/>
      <c r="F571" s="240"/>
      <c r="G571" s="240"/>
      <c r="H571" s="240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2">
      <c r="A572"/>
      <c r="B572" s="2"/>
      <c r="C572" s="240"/>
      <c r="D572" s="240"/>
      <c r="E572" s="240"/>
      <c r="F572" s="240"/>
      <c r="G572" s="240"/>
      <c r="H572" s="240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2">
      <c r="A573"/>
      <c r="B573" s="2"/>
      <c r="C573" s="240"/>
      <c r="D573" s="240"/>
      <c r="E573" s="240"/>
      <c r="F573" s="240"/>
      <c r="G573" s="240"/>
      <c r="H573" s="24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2">
      <c r="A574"/>
      <c r="B574" s="2"/>
      <c r="C574" s="240"/>
      <c r="D574" s="240"/>
      <c r="E574" s="240"/>
      <c r="F574" s="240"/>
      <c r="G574" s="240"/>
      <c r="H574" s="24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2">
      <c r="A575"/>
      <c r="B575" s="2"/>
      <c r="C575" s="240"/>
      <c r="D575" s="240"/>
      <c r="E575" s="240"/>
      <c r="F575" s="240"/>
      <c r="G575" s="240"/>
      <c r="H575" s="24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2">
      <c r="A576"/>
      <c r="B576" s="2"/>
      <c r="C576" s="240"/>
      <c r="D576" s="240"/>
      <c r="E576" s="240"/>
      <c r="F576" s="240"/>
      <c r="G576" s="240"/>
      <c r="H576" s="240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2">
      <c r="A577"/>
      <c r="B577" s="2"/>
      <c r="C577" s="240"/>
      <c r="D577" s="240"/>
      <c r="E577" s="240"/>
      <c r="F577" s="240"/>
      <c r="G577" s="240"/>
      <c r="H577" s="240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2">
      <c r="A578"/>
      <c r="B578" s="2"/>
      <c r="C578" s="240"/>
      <c r="D578" s="240"/>
      <c r="E578" s="240"/>
      <c r="F578" s="240"/>
      <c r="G578" s="240"/>
      <c r="H578" s="24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2">
      <c r="A579"/>
      <c r="B579" s="2"/>
      <c r="C579" s="240"/>
      <c r="D579" s="240"/>
      <c r="E579" s="240"/>
      <c r="F579" s="240"/>
      <c r="G579" s="240"/>
      <c r="H579" s="24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2">
      <c r="A580"/>
      <c r="B580" s="2"/>
      <c r="C580" s="240"/>
      <c r="D580" s="240"/>
      <c r="E580" s="240"/>
      <c r="F580" s="240"/>
      <c r="G580" s="240"/>
      <c r="H580" s="24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2">
      <c r="A581"/>
      <c r="B581" s="2"/>
      <c r="C581" s="240"/>
      <c r="D581" s="240"/>
      <c r="E581" s="240"/>
      <c r="F581" s="240"/>
      <c r="G581" s="240"/>
      <c r="H581" s="24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2">
      <c r="A582"/>
      <c r="B582" s="2"/>
      <c r="C582" s="240"/>
      <c r="D582" s="240"/>
      <c r="E582" s="240"/>
      <c r="F582" s="240"/>
      <c r="G582" s="240"/>
      <c r="H582" s="240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2">
      <c r="A583"/>
      <c r="B583" s="2"/>
      <c r="C583" s="240"/>
      <c r="D583" s="240"/>
      <c r="E583" s="240"/>
      <c r="F583" s="240"/>
      <c r="G583" s="240"/>
      <c r="H583" s="240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2">
      <c r="A584"/>
      <c r="B584" s="2"/>
      <c r="C584" s="240"/>
      <c r="D584" s="240"/>
      <c r="E584" s="240"/>
      <c r="F584" s="240"/>
      <c r="G584" s="240"/>
      <c r="H584" s="240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2">
      <c r="A585"/>
      <c r="B585" s="2"/>
      <c r="C585" s="240"/>
      <c r="D585" s="240"/>
      <c r="E585" s="240"/>
      <c r="F585" s="240"/>
      <c r="G585" s="240"/>
      <c r="H585" s="240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2">
      <c r="A586"/>
      <c r="B586" s="2"/>
      <c r="C586" s="240"/>
      <c r="D586" s="240"/>
      <c r="E586" s="240"/>
      <c r="F586" s="240"/>
      <c r="G586" s="240"/>
      <c r="H586" s="240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2">
      <c r="A587"/>
      <c r="B587" s="2"/>
      <c r="C587" s="240"/>
      <c r="D587" s="240"/>
      <c r="E587" s="240"/>
      <c r="F587" s="240"/>
      <c r="G587" s="240"/>
      <c r="H587" s="240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2">
      <c r="A588"/>
      <c r="B588" s="2"/>
      <c r="C588" s="240"/>
      <c r="D588" s="240"/>
      <c r="E588" s="240"/>
      <c r="F588" s="240"/>
      <c r="G588" s="240"/>
      <c r="H588" s="240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2">
      <c r="A589"/>
      <c r="B589" s="2"/>
      <c r="C589" s="240"/>
      <c r="D589" s="240"/>
      <c r="E589" s="240"/>
      <c r="F589" s="240"/>
      <c r="G589" s="240"/>
      <c r="H589" s="240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2">
      <c r="A590"/>
      <c r="B590" s="2"/>
      <c r="C590" s="240"/>
      <c r="D590" s="240"/>
      <c r="E590" s="240"/>
      <c r="F590" s="240"/>
      <c r="G590" s="240"/>
      <c r="H590" s="240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2">
      <c r="A591"/>
      <c r="B591" s="2"/>
      <c r="C591" s="240"/>
      <c r="D591" s="240"/>
      <c r="E591" s="240"/>
      <c r="F591" s="240"/>
      <c r="G591" s="240"/>
      <c r="H591" s="24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2">
      <c r="A592"/>
      <c r="B592" s="2"/>
      <c r="C592" s="240"/>
      <c r="D592" s="240"/>
      <c r="E592" s="240"/>
      <c r="F592" s="240"/>
      <c r="G592" s="240"/>
      <c r="H592" s="24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2">
      <c r="A593"/>
      <c r="B593" s="2"/>
      <c r="C593" s="240"/>
      <c r="D593" s="240"/>
      <c r="E593" s="240"/>
      <c r="F593" s="240"/>
      <c r="G593" s="240"/>
      <c r="H593" s="24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2">
      <c r="A594"/>
      <c r="B594" s="2"/>
      <c r="C594" s="240"/>
      <c r="D594" s="240"/>
      <c r="E594" s="240"/>
      <c r="F594" s="240"/>
      <c r="G594" s="240"/>
      <c r="H594" s="240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2">
      <c r="A595"/>
      <c r="B595" s="2"/>
      <c r="C595" s="240"/>
      <c r="D595" s="240"/>
      <c r="E595" s="240"/>
      <c r="F595" s="240"/>
      <c r="G595" s="240"/>
      <c r="H595" s="240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2">
      <c r="A596"/>
      <c r="B596" s="2"/>
      <c r="C596" s="240"/>
      <c r="D596" s="240"/>
      <c r="E596" s="240"/>
      <c r="F596" s="240"/>
      <c r="G596" s="240"/>
      <c r="H596" s="240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2">
      <c r="A597"/>
      <c r="B597" s="2"/>
      <c r="C597" s="240"/>
      <c r="D597" s="240"/>
      <c r="E597" s="240"/>
      <c r="F597" s="240"/>
      <c r="G597" s="240"/>
      <c r="H597" s="240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2">
      <c r="A598"/>
      <c r="B598" s="2"/>
      <c r="C598" s="240"/>
      <c r="D598" s="240"/>
      <c r="E598" s="240"/>
      <c r="F598" s="240"/>
      <c r="G598" s="240"/>
      <c r="H598" s="240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2">
      <c r="A599"/>
      <c r="B599" s="2"/>
      <c r="C599" s="240"/>
      <c r="D599" s="240"/>
      <c r="E599" s="240"/>
      <c r="F599" s="240"/>
      <c r="G599" s="240"/>
      <c r="H599" s="240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2">
      <c r="A600"/>
      <c r="B600" s="2"/>
      <c r="C600" s="240"/>
      <c r="D600" s="240"/>
      <c r="E600" s="240"/>
      <c r="F600" s="240"/>
      <c r="G600" s="240"/>
      <c r="H600" s="240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2">
      <c r="A601"/>
      <c r="B601" s="2"/>
      <c r="C601" s="240"/>
      <c r="D601" s="240"/>
      <c r="E601" s="240"/>
      <c r="F601" s="240"/>
      <c r="G601" s="240"/>
      <c r="H601" s="240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2">
      <c r="A602"/>
      <c r="B602" s="2"/>
      <c r="C602" s="240"/>
      <c r="D602" s="240"/>
      <c r="E602" s="240"/>
      <c r="F602" s="240"/>
      <c r="G602" s="240"/>
      <c r="H602" s="240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2">
      <c r="A603"/>
      <c r="B603" s="2"/>
      <c r="C603" s="240"/>
      <c r="D603" s="240"/>
      <c r="E603" s="240"/>
      <c r="F603" s="240"/>
      <c r="G603" s="240"/>
      <c r="H603" s="240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2">
      <c r="A604"/>
      <c r="B604" s="2"/>
      <c r="C604" s="240"/>
      <c r="D604" s="240"/>
      <c r="E604" s="240"/>
      <c r="F604" s="240"/>
      <c r="G604" s="240"/>
      <c r="H604" s="240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2">
      <c r="A605"/>
      <c r="B605" s="2"/>
      <c r="C605" s="240"/>
      <c r="D605" s="240"/>
      <c r="E605" s="240"/>
      <c r="F605" s="240"/>
      <c r="G605" s="240"/>
      <c r="H605" s="240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2">
      <c r="A606"/>
      <c r="B606" s="2"/>
      <c r="C606" s="240"/>
      <c r="D606" s="240"/>
      <c r="E606" s="240"/>
      <c r="F606" s="240"/>
      <c r="G606" s="240"/>
      <c r="H606" s="240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2">
      <c r="A607"/>
      <c r="B607" s="2"/>
      <c r="C607" s="240"/>
      <c r="D607" s="240"/>
      <c r="E607" s="240"/>
      <c r="F607" s="240"/>
      <c r="G607" s="240"/>
      <c r="H607" s="240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2">
      <c r="A608"/>
      <c r="B608" s="2"/>
      <c r="C608" s="240"/>
      <c r="D608" s="240"/>
      <c r="E608" s="240"/>
      <c r="F608" s="240"/>
      <c r="G608" s="240"/>
      <c r="H608" s="240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2">
      <c r="A609"/>
      <c r="B609" s="2"/>
      <c r="C609" s="240"/>
      <c r="D609" s="240"/>
      <c r="E609" s="240"/>
      <c r="F609" s="240"/>
      <c r="G609" s="240"/>
      <c r="H609" s="240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2">
      <c r="A610"/>
      <c r="B610" s="2"/>
      <c r="C610" s="240"/>
      <c r="D610" s="240"/>
      <c r="E610" s="240"/>
      <c r="F610" s="240"/>
      <c r="G610" s="240"/>
      <c r="H610" s="240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2">
      <c r="A611"/>
      <c r="B611" s="2"/>
      <c r="C611" s="240"/>
      <c r="D611" s="240"/>
      <c r="E611" s="240"/>
      <c r="F611" s="240"/>
      <c r="G611" s="240"/>
      <c r="H611" s="240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2">
      <c r="A612"/>
      <c r="B612" s="2"/>
      <c r="C612" s="240"/>
      <c r="D612" s="240"/>
      <c r="E612" s="240"/>
      <c r="F612" s="240"/>
      <c r="G612" s="240"/>
      <c r="H612" s="240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2">
      <c r="A613"/>
      <c r="B613" s="2"/>
      <c r="C613" s="240"/>
      <c r="D613" s="240"/>
      <c r="E613" s="240"/>
      <c r="F613" s="240"/>
      <c r="G613" s="240"/>
      <c r="H613" s="240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2">
      <c r="A614"/>
      <c r="B614" s="2"/>
      <c r="C614" s="240"/>
      <c r="D614" s="240"/>
      <c r="E614" s="240"/>
      <c r="F614" s="240"/>
      <c r="G614" s="240"/>
      <c r="H614" s="240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2">
      <c r="A615"/>
      <c r="B615" s="2"/>
      <c r="C615" s="240"/>
      <c r="D615" s="240"/>
      <c r="E615" s="240"/>
      <c r="F615" s="240"/>
      <c r="G615" s="240"/>
      <c r="H615" s="240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2">
      <c r="A616"/>
      <c r="B616" s="2"/>
      <c r="C616" s="240"/>
      <c r="D616" s="240"/>
      <c r="E616" s="240"/>
      <c r="F616" s="240"/>
      <c r="G616" s="240"/>
      <c r="H616" s="240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2">
      <c r="A617"/>
      <c r="B617" s="2"/>
      <c r="C617" s="240"/>
      <c r="D617" s="240"/>
      <c r="E617" s="240"/>
      <c r="F617" s="240"/>
      <c r="G617" s="240"/>
      <c r="H617" s="240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2">
      <c r="A618"/>
      <c r="B618" s="2"/>
      <c r="C618" s="240"/>
      <c r="D618" s="240"/>
      <c r="E618" s="240"/>
      <c r="F618" s="240"/>
      <c r="G618" s="240"/>
      <c r="H618" s="240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2">
      <c r="A619"/>
      <c r="B619" s="2"/>
      <c r="C619" s="240"/>
      <c r="D619" s="240"/>
      <c r="E619" s="240"/>
      <c r="F619" s="240"/>
      <c r="G619" s="240"/>
      <c r="H619" s="240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2">
      <c r="A620"/>
      <c r="B620" s="2"/>
      <c r="C620" s="240"/>
      <c r="D620" s="240"/>
      <c r="E620" s="240"/>
      <c r="F620" s="240"/>
      <c r="G620" s="240"/>
      <c r="H620" s="240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2">
      <c r="A621"/>
      <c r="B621" s="2"/>
      <c r="C621" s="240"/>
      <c r="D621" s="240"/>
      <c r="E621" s="240"/>
      <c r="F621" s="240"/>
      <c r="G621" s="240"/>
      <c r="H621" s="240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2">
      <c r="A622"/>
      <c r="B622" s="2"/>
      <c r="C622" s="240"/>
      <c r="D622" s="240"/>
      <c r="E622" s="240"/>
      <c r="F622" s="240"/>
      <c r="G622" s="240"/>
      <c r="H622" s="240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2">
      <c r="A623"/>
      <c r="B623" s="2"/>
      <c r="C623" s="240"/>
      <c r="D623" s="240"/>
      <c r="E623" s="240"/>
      <c r="F623" s="240"/>
      <c r="G623" s="240"/>
      <c r="H623" s="240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2">
      <c r="A624"/>
      <c r="B624" s="2"/>
      <c r="C624" s="240"/>
      <c r="D624" s="240"/>
      <c r="E624" s="240"/>
      <c r="F624" s="240"/>
      <c r="G624" s="240"/>
      <c r="H624" s="240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2">
      <c r="A625"/>
      <c r="B625" s="2"/>
      <c r="C625" s="240"/>
      <c r="D625" s="240"/>
      <c r="E625" s="240"/>
      <c r="F625" s="240"/>
      <c r="G625" s="240"/>
      <c r="H625" s="240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2">
      <c r="A626"/>
    </row>
    <row r="627" spans="1:42" ht="15.75" customHeight="1" x14ac:dyDescent="0.2">
      <c r="A627"/>
    </row>
    <row r="628" spans="1:42" ht="15.75" customHeight="1" x14ac:dyDescent="0.2">
      <c r="A628"/>
    </row>
    <row r="629" spans="1:42" ht="15.75" customHeight="1" x14ac:dyDescent="0.2">
      <c r="A629"/>
    </row>
    <row r="630" spans="1:42" ht="15.75" customHeight="1" x14ac:dyDescent="0.2">
      <c r="A630"/>
      <c r="C630" s="91"/>
      <c r="D630" s="91"/>
      <c r="E630" s="91"/>
      <c r="F630" s="91"/>
      <c r="G630" s="91"/>
      <c r="H630" s="91"/>
    </row>
    <row r="631" spans="1:42" ht="15.75" customHeight="1" x14ac:dyDescent="0.2">
      <c r="A631"/>
      <c r="C631" s="91"/>
      <c r="D631" s="91"/>
      <c r="E631" s="91"/>
      <c r="F631" s="91"/>
      <c r="G631" s="91"/>
      <c r="H631" s="91"/>
    </row>
    <row r="632" spans="1:42" ht="15.75" customHeight="1" x14ac:dyDescent="0.2">
      <c r="A632"/>
      <c r="C632" s="91"/>
      <c r="D632" s="91"/>
      <c r="E632" s="91"/>
      <c r="F632" s="91"/>
      <c r="G632" s="91"/>
      <c r="H632" s="91"/>
    </row>
    <row r="633" spans="1:42" ht="15.75" customHeight="1" x14ac:dyDescent="0.2">
      <c r="A633"/>
      <c r="C633" s="91"/>
      <c r="D633" s="91"/>
      <c r="E633" s="91"/>
      <c r="F633" s="91"/>
      <c r="G633" s="91"/>
      <c r="H633" s="91"/>
    </row>
    <row r="634" spans="1:42" ht="15.75" customHeight="1" x14ac:dyDescent="0.2">
      <c r="A634"/>
      <c r="C634" s="91"/>
      <c r="D634" s="91"/>
      <c r="E634" s="91"/>
      <c r="F634" s="91"/>
      <c r="G634" s="91"/>
      <c r="H634" s="91"/>
    </row>
    <row r="635" spans="1:42" ht="15.75" customHeight="1" x14ac:dyDescent="0.2">
      <c r="A635"/>
      <c r="C635" s="91"/>
      <c r="D635" s="91"/>
      <c r="E635" s="91"/>
      <c r="F635" s="91"/>
      <c r="G635" s="91"/>
      <c r="H635" s="91"/>
    </row>
    <row r="636" spans="1:42" ht="15.75" customHeight="1" x14ac:dyDescent="0.2">
      <c r="A636"/>
      <c r="C636" s="91"/>
      <c r="D636" s="91"/>
      <c r="E636" s="91"/>
      <c r="F636" s="91"/>
      <c r="G636" s="91"/>
      <c r="H636" s="91"/>
    </row>
    <row r="637" spans="1:42" ht="15.75" customHeight="1" x14ac:dyDescent="0.2">
      <c r="A637"/>
      <c r="C637" s="91"/>
      <c r="D637" s="91"/>
      <c r="E637" s="91"/>
      <c r="F637" s="91"/>
      <c r="G637" s="91"/>
      <c r="H637" s="91"/>
    </row>
    <row r="638" spans="1:42" ht="15.75" customHeight="1" x14ac:dyDescent="0.2">
      <c r="A638"/>
      <c r="C638" s="91"/>
      <c r="D638" s="91"/>
      <c r="E638" s="91"/>
      <c r="F638" s="91"/>
      <c r="G638" s="91"/>
      <c r="H638" s="91"/>
    </row>
    <row r="639" spans="1:42" ht="15.75" customHeight="1" x14ac:dyDescent="0.2">
      <c r="A639"/>
      <c r="C639" s="91"/>
      <c r="D639" s="91"/>
      <c r="E639" s="91"/>
      <c r="F639" s="91"/>
      <c r="G639" s="91"/>
      <c r="H639" s="91"/>
    </row>
    <row r="640" spans="1:42" ht="15.75" customHeight="1" x14ac:dyDescent="0.2">
      <c r="A640"/>
      <c r="C640" s="91"/>
      <c r="D640" s="91"/>
      <c r="E640" s="91"/>
      <c r="F640" s="91"/>
      <c r="G640" s="91"/>
      <c r="H640" s="91"/>
    </row>
    <row r="641" spans="1:8" ht="15.75" customHeight="1" x14ac:dyDescent="0.2">
      <c r="A641"/>
      <c r="C641" s="91"/>
      <c r="D641" s="91"/>
      <c r="E641" s="91"/>
      <c r="F641" s="91"/>
      <c r="G641" s="91"/>
      <c r="H641" s="91"/>
    </row>
    <row r="642" spans="1:8" ht="15.75" customHeight="1" x14ac:dyDescent="0.2">
      <c r="A642"/>
      <c r="C642" s="91"/>
      <c r="D642" s="91"/>
      <c r="E642" s="91"/>
      <c r="F642" s="91"/>
      <c r="G642" s="91"/>
      <c r="H642" s="91"/>
    </row>
    <row r="643" spans="1:8" ht="15.75" customHeight="1" x14ac:dyDescent="0.2">
      <c r="A643"/>
      <c r="C643" s="91"/>
      <c r="D643" s="91"/>
      <c r="E643" s="91"/>
      <c r="F643" s="91"/>
      <c r="G643" s="91"/>
      <c r="H643" s="91"/>
    </row>
    <row r="644" spans="1:8" ht="15.75" customHeight="1" x14ac:dyDescent="0.2">
      <c r="A644"/>
      <c r="C644" s="91"/>
      <c r="D644" s="91"/>
      <c r="E644" s="91"/>
      <c r="F644" s="91"/>
      <c r="G644" s="91"/>
      <c r="H644" s="91"/>
    </row>
    <row r="645" spans="1:8" ht="15.75" customHeight="1" x14ac:dyDescent="0.2">
      <c r="A645"/>
      <c r="C645" s="91"/>
      <c r="D645" s="91"/>
      <c r="E645" s="91"/>
      <c r="F645" s="91"/>
      <c r="G645" s="91"/>
      <c r="H645" s="91"/>
    </row>
    <row r="646" spans="1:8" ht="15.75" customHeight="1" x14ac:dyDescent="0.2">
      <c r="A646"/>
      <c r="C646" s="91"/>
      <c r="D646" s="91"/>
      <c r="E646" s="91"/>
      <c r="F646" s="91"/>
      <c r="G646" s="91"/>
      <c r="H646" s="91"/>
    </row>
    <row r="647" spans="1:8" ht="15.75" customHeight="1" x14ac:dyDescent="0.2">
      <c r="A647"/>
      <c r="C647" s="91"/>
      <c r="D647" s="91"/>
      <c r="E647" s="91"/>
      <c r="F647" s="91"/>
      <c r="G647" s="91"/>
      <c r="H647" s="91"/>
    </row>
    <row r="648" spans="1:8" ht="15.75" customHeight="1" x14ac:dyDescent="0.2">
      <c r="A648"/>
      <c r="C648" s="91"/>
      <c r="D648" s="91"/>
      <c r="E648" s="91"/>
      <c r="F648" s="91"/>
      <c r="G648" s="91"/>
      <c r="H648" s="91"/>
    </row>
    <row r="649" spans="1:8" ht="15.75" customHeight="1" x14ac:dyDescent="0.2">
      <c r="A649"/>
      <c r="C649" s="91"/>
      <c r="D649" s="91"/>
      <c r="E649" s="91"/>
      <c r="F649" s="91"/>
      <c r="G649" s="91"/>
      <c r="H649" s="91"/>
    </row>
    <row r="650" spans="1:8" ht="15.75" customHeight="1" x14ac:dyDescent="0.2">
      <c r="A650"/>
      <c r="C650" s="91"/>
      <c r="D650" s="91"/>
      <c r="E650" s="91"/>
      <c r="F650" s="91"/>
      <c r="G650" s="91"/>
      <c r="H650" s="91"/>
    </row>
    <row r="651" spans="1:8" ht="15.75" customHeight="1" x14ac:dyDescent="0.2">
      <c r="A651"/>
      <c r="C651" s="91"/>
      <c r="D651" s="91"/>
      <c r="E651" s="91"/>
      <c r="F651" s="91"/>
      <c r="G651" s="91"/>
      <c r="H651" s="91"/>
    </row>
    <row r="652" spans="1:8" ht="15.75" customHeight="1" x14ac:dyDescent="0.2">
      <c r="A652"/>
      <c r="C652" s="91"/>
      <c r="D652" s="91"/>
      <c r="E652" s="91"/>
      <c r="F652" s="91"/>
      <c r="G652" s="91"/>
      <c r="H652" s="91"/>
    </row>
    <row r="653" spans="1:8" ht="15.75" customHeight="1" x14ac:dyDescent="0.2">
      <c r="A653"/>
      <c r="C653" s="91"/>
      <c r="D653" s="91"/>
      <c r="E653" s="91"/>
      <c r="F653" s="91"/>
      <c r="G653" s="91"/>
      <c r="H653" s="91"/>
    </row>
    <row r="654" spans="1:8" ht="15.75" customHeight="1" x14ac:dyDescent="0.2">
      <c r="A654"/>
      <c r="C654" s="91"/>
      <c r="D654" s="91"/>
      <c r="E654" s="91"/>
      <c r="F654" s="91"/>
      <c r="G654" s="91"/>
      <c r="H654" s="91"/>
    </row>
    <row r="655" spans="1:8" ht="15.75" customHeight="1" x14ac:dyDescent="0.2">
      <c r="A655"/>
      <c r="C655" s="91"/>
      <c r="D655" s="91"/>
      <c r="E655" s="91"/>
      <c r="F655" s="91"/>
      <c r="G655" s="91"/>
      <c r="H655" s="91"/>
    </row>
    <row r="656" spans="1:8" ht="15.75" customHeight="1" x14ac:dyDescent="0.2">
      <c r="A656"/>
      <c r="C656" s="91"/>
      <c r="D656" s="91"/>
      <c r="E656" s="91"/>
      <c r="F656" s="91"/>
      <c r="G656" s="91"/>
      <c r="H656" s="91"/>
    </row>
    <row r="657" spans="1:8" ht="15.75" customHeight="1" x14ac:dyDescent="0.2">
      <c r="A657"/>
      <c r="C657" s="91"/>
      <c r="D657" s="91"/>
      <c r="E657" s="91"/>
      <c r="F657" s="91"/>
      <c r="G657" s="91"/>
      <c r="H657" s="91"/>
    </row>
    <row r="658" spans="1:8" ht="15.75" customHeight="1" x14ac:dyDescent="0.2">
      <c r="A658"/>
      <c r="C658" s="91"/>
      <c r="D658" s="91"/>
      <c r="E658" s="91"/>
      <c r="F658" s="91"/>
      <c r="G658" s="91"/>
      <c r="H658" s="91"/>
    </row>
    <row r="659" spans="1:8" ht="15.75" customHeight="1" x14ac:dyDescent="0.2">
      <c r="A659"/>
      <c r="C659" s="91"/>
      <c r="D659" s="91"/>
      <c r="E659" s="91"/>
      <c r="F659" s="91"/>
      <c r="G659" s="91"/>
      <c r="H659" s="91"/>
    </row>
    <row r="660" spans="1:8" ht="15.75" customHeight="1" x14ac:dyDescent="0.2">
      <c r="A660"/>
      <c r="C660" s="91"/>
      <c r="D660" s="91"/>
      <c r="E660" s="91"/>
      <c r="F660" s="91"/>
      <c r="G660" s="91"/>
      <c r="H660" s="91"/>
    </row>
    <row r="661" spans="1:8" ht="15.75" customHeight="1" x14ac:dyDescent="0.2">
      <c r="A661"/>
      <c r="C661" s="91"/>
      <c r="D661" s="91"/>
      <c r="E661" s="91"/>
      <c r="F661" s="91"/>
      <c r="G661" s="91"/>
      <c r="H661" s="91"/>
    </row>
    <row r="662" spans="1:8" ht="15.75" customHeight="1" x14ac:dyDescent="0.2">
      <c r="A662"/>
      <c r="C662" s="91"/>
      <c r="D662" s="91"/>
      <c r="E662" s="91"/>
      <c r="F662" s="91"/>
      <c r="G662" s="91"/>
      <c r="H662" s="91"/>
    </row>
    <row r="663" spans="1:8" ht="15.75" customHeight="1" x14ac:dyDescent="0.2">
      <c r="A663"/>
      <c r="C663" s="91"/>
      <c r="D663" s="91"/>
      <c r="E663" s="91"/>
      <c r="F663" s="91"/>
      <c r="G663" s="91"/>
      <c r="H663" s="91"/>
    </row>
    <row r="664" spans="1:8" ht="15.75" customHeight="1" x14ac:dyDescent="0.2">
      <c r="A664"/>
      <c r="C664" s="91"/>
      <c r="D664" s="91"/>
      <c r="E664" s="91"/>
      <c r="F664" s="91"/>
      <c r="G664" s="91"/>
      <c r="H664" s="91"/>
    </row>
    <row r="665" spans="1:8" ht="15.75" customHeight="1" x14ac:dyDescent="0.2">
      <c r="A665"/>
      <c r="C665" s="91"/>
      <c r="D665" s="91"/>
      <c r="E665" s="91"/>
      <c r="F665" s="91"/>
      <c r="G665" s="91"/>
      <c r="H665" s="91"/>
    </row>
    <row r="666" spans="1:8" ht="15.75" customHeight="1" x14ac:dyDescent="0.2">
      <c r="A666"/>
      <c r="C666" s="91"/>
      <c r="D666" s="91"/>
      <c r="E666" s="91"/>
      <c r="F666" s="91"/>
      <c r="G666" s="91"/>
      <c r="H666" s="91"/>
    </row>
    <row r="667" spans="1:8" ht="15.75" customHeight="1" x14ac:dyDescent="0.2">
      <c r="A667"/>
      <c r="C667" s="91"/>
      <c r="D667" s="91"/>
      <c r="E667" s="91"/>
      <c r="F667" s="91"/>
      <c r="G667" s="91"/>
      <c r="H667" s="91"/>
    </row>
    <row r="668" spans="1:8" ht="15.75" customHeight="1" x14ac:dyDescent="0.2">
      <c r="A668"/>
      <c r="C668" s="91"/>
      <c r="D668" s="91"/>
      <c r="E668" s="91"/>
      <c r="F668" s="91"/>
      <c r="G668" s="91"/>
      <c r="H668" s="91"/>
    </row>
    <row r="669" spans="1:8" ht="15.75" customHeight="1" x14ac:dyDescent="0.2">
      <c r="A669"/>
      <c r="C669" s="91"/>
      <c r="D669" s="91"/>
      <c r="E669" s="91"/>
      <c r="F669" s="91"/>
      <c r="G669" s="91"/>
      <c r="H669" s="91"/>
    </row>
    <row r="670" spans="1:8" ht="15.75" customHeight="1" x14ac:dyDescent="0.2">
      <c r="A670"/>
      <c r="C670" s="91"/>
      <c r="D670" s="91"/>
      <c r="E670" s="91"/>
      <c r="F670" s="91"/>
      <c r="G670" s="91"/>
      <c r="H670" s="91"/>
    </row>
    <row r="671" spans="1:8" ht="15.75" customHeight="1" x14ac:dyDescent="0.2">
      <c r="A671"/>
      <c r="C671" s="91"/>
      <c r="D671" s="91"/>
      <c r="E671" s="91"/>
      <c r="F671" s="91"/>
      <c r="G671" s="91"/>
      <c r="H671" s="91"/>
    </row>
    <row r="672" spans="1:8" ht="15.75" customHeight="1" x14ac:dyDescent="0.2">
      <c r="A672"/>
      <c r="C672" s="91"/>
      <c r="D672" s="91"/>
      <c r="E672" s="91"/>
      <c r="F672" s="91"/>
      <c r="G672" s="91"/>
      <c r="H672" s="91"/>
    </row>
    <row r="673" spans="1:8" ht="15.75" customHeight="1" x14ac:dyDescent="0.2">
      <c r="A673"/>
      <c r="C673" s="91"/>
      <c r="D673" s="91"/>
      <c r="E673" s="91"/>
      <c r="F673" s="91"/>
      <c r="G673" s="91"/>
      <c r="H673" s="91"/>
    </row>
    <row r="674" spans="1:8" ht="15.75" customHeight="1" x14ac:dyDescent="0.2">
      <c r="A674"/>
      <c r="C674" s="91"/>
      <c r="D674" s="91"/>
      <c r="E674" s="91"/>
      <c r="F674" s="91"/>
      <c r="G674" s="91"/>
      <c r="H674" s="91"/>
    </row>
    <row r="675" spans="1:8" ht="15.75" customHeight="1" x14ac:dyDescent="0.2">
      <c r="A675"/>
      <c r="C675" s="91"/>
      <c r="D675" s="91"/>
      <c r="E675" s="91"/>
      <c r="F675" s="91"/>
      <c r="G675" s="91"/>
      <c r="H675" s="91"/>
    </row>
    <row r="676" spans="1:8" ht="15.75" customHeight="1" x14ac:dyDescent="0.2">
      <c r="A676"/>
      <c r="C676" s="91"/>
      <c r="D676" s="91"/>
      <c r="E676" s="91"/>
      <c r="F676" s="91"/>
      <c r="G676" s="91"/>
      <c r="H676" s="91"/>
    </row>
    <row r="677" spans="1:8" ht="15.75" customHeight="1" x14ac:dyDescent="0.2">
      <c r="A677"/>
      <c r="C677" s="91"/>
      <c r="D677" s="91"/>
      <c r="E677" s="91"/>
      <c r="F677" s="91"/>
      <c r="G677" s="91"/>
      <c r="H677" s="91"/>
    </row>
    <row r="678" spans="1:8" ht="15.75" customHeight="1" x14ac:dyDescent="0.2">
      <c r="A678"/>
      <c r="C678" s="91"/>
      <c r="D678" s="91"/>
      <c r="E678" s="91"/>
      <c r="F678" s="91"/>
      <c r="G678" s="91"/>
      <c r="H678" s="91"/>
    </row>
    <row r="679" spans="1:8" ht="15.75" customHeight="1" x14ac:dyDescent="0.2">
      <c r="A679"/>
      <c r="C679" s="91"/>
      <c r="D679" s="91"/>
      <c r="E679" s="91"/>
      <c r="F679" s="91"/>
      <c r="G679" s="91"/>
      <c r="H679" s="91"/>
    </row>
    <row r="680" spans="1:8" ht="15.75" customHeight="1" x14ac:dyDescent="0.2">
      <c r="A680"/>
      <c r="C680" s="91"/>
      <c r="D680" s="91"/>
      <c r="E680" s="91"/>
      <c r="F680" s="91"/>
      <c r="G680" s="91"/>
      <c r="H680" s="91"/>
    </row>
    <row r="681" spans="1:8" ht="15.75" customHeight="1" x14ac:dyDescent="0.2">
      <c r="A681"/>
      <c r="C681" s="91"/>
      <c r="D681" s="91"/>
      <c r="E681" s="91"/>
      <c r="F681" s="91"/>
      <c r="G681" s="91"/>
      <c r="H681" s="91"/>
    </row>
    <row r="682" spans="1:8" ht="15.75" customHeight="1" x14ac:dyDescent="0.2">
      <c r="A682"/>
      <c r="C682" s="91"/>
      <c r="D682" s="91"/>
      <c r="E682" s="91"/>
      <c r="F682" s="91"/>
      <c r="G682" s="91"/>
      <c r="H682" s="91"/>
    </row>
    <row r="683" spans="1:8" ht="15.75" customHeight="1" x14ac:dyDescent="0.2">
      <c r="A683"/>
      <c r="C683" s="91"/>
      <c r="D683" s="91"/>
      <c r="E683" s="91"/>
      <c r="F683" s="91"/>
      <c r="G683" s="91"/>
      <c r="H683" s="91"/>
    </row>
    <row r="684" spans="1:8" ht="15.75" customHeight="1" x14ac:dyDescent="0.2">
      <c r="A684"/>
      <c r="C684" s="91"/>
      <c r="D684" s="91"/>
      <c r="E684" s="91"/>
      <c r="F684" s="91"/>
      <c r="G684" s="91"/>
      <c r="H684" s="91"/>
    </row>
    <row r="685" spans="1:8" ht="15.75" customHeight="1" x14ac:dyDescent="0.2">
      <c r="A685"/>
      <c r="C685" s="91"/>
      <c r="D685" s="91"/>
      <c r="E685" s="91"/>
      <c r="F685" s="91"/>
      <c r="G685" s="91"/>
      <c r="H685" s="91"/>
    </row>
    <row r="686" spans="1:8" ht="15.75" customHeight="1" x14ac:dyDescent="0.2">
      <c r="A686"/>
      <c r="C686" s="91"/>
      <c r="D686" s="91"/>
      <c r="E686" s="91"/>
      <c r="F686" s="91"/>
      <c r="G686" s="91"/>
      <c r="H686" s="91"/>
    </row>
    <row r="687" spans="1:8" ht="15.75" customHeight="1" x14ac:dyDescent="0.2">
      <c r="A687"/>
      <c r="C687" s="91"/>
      <c r="D687" s="91"/>
      <c r="E687" s="91"/>
      <c r="F687" s="91"/>
      <c r="G687" s="91"/>
      <c r="H687" s="91"/>
    </row>
    <row r="688" spans="1:8" ht="15.75" customHeight="1" x14ac:dyDescent="0.2">
      <c r="A688"/>
      <c r="C688" s="91"/>
      <c r="D688" s="91"/>
      <c r="E688" s="91"/>
      <c r="F688" s="91"/>
      <c r="G688" s="91"/>
      <c r="H688" s="91"/>
    </row>
    <row r="689" spans="1:8" ht="15.75" customHeight="1" x14ac:dyDescent="0.2">
      <c r="A689"/>
      <c r="C689" s="91"/>
      <c r="D689" s="91"/>
      <c r="E689" s="91"/>
      <c r="F689" s="91"/>
      <c r="G689" s="91"/>
      <c r="H689" s="91"/>
    </row>
    <row r="690" spans="1:8" ht="15.75" customHeight="1" x14ac:dyDescent="0.2">
      <c r="A690"/>
      <c r="C690" s="91"/>
      <c r="D690" s="91"/>
      <c r="E690" s="91"/>
      <c r="F690" s="91"/>
      <c r="G690" s="91"/>
      <c r="H690" s="91"/>
    </row>
    <row r="691" spans="1:8" ht="15.75" customHeight="1" x14ac:dyDescent="0.2">
      <c r="A691"/>
      <c r="C691" s="91"/>
      <c r="D691" s="91"/>
      <c r="E691" s="91"/>
      <c r="F691" s="91"/>
      <c r="G691" s="91"/>
      <c r="H691" s="91"/>
    </row>
    <row r="692" spans="1:8" ht="15.75" customHeight="1" x14ac:dyDescent="0.2">
      <c r="A692"/>
      <c r="C692" s="91"/>
      <c r="D692" s="91"/>
      <c r="E692" s="91"/>
      <c r="F692" s="91"/>
      <c r="G692" s="91"/>
      <c r="H692" s="91"/>
    </row>
    <row r="693" spans="1:8" ht="15.75" customHeight="1" x14ac:dyDescent="0.2">
      <c r="A693"/>
      <c r="C693" s="91"/>
      <c r="D693" s="91"/>
      <c r="E693" s="91"/>
      <c r="F693" s="91"/>
      <c r="G693" s="91"/>
      <c r="H693" s="91"/>
    </row>
    <row r="694" spans="1:8" ht="15.75" customHeight="1" x14ac:dyDescent="0.2">
      <c r="A694"/>
      <c r="C694" s="91"/>
      <c r="D694" s="91"/>
      <c r="E694" s="91"/>
      <c r="F694" s="91"/>
      <c r="G694" s="91"/>
      <c r="H694" s="91"/>
    </row>
    <row r="695" spans="1:8" ht="15.75" customHeight="1" x14ac:dyDescent="0.2">
      <c r="A695"/>
      <c r="C695" s="91"/>
      <c r="D695" s="91"/>
      <c r="E695" s="91"/>
      <c r="F695" s="91"/>
      <c r="G695" s="91"/>
      <c r="H695" s="91"/>
    </row>
    <row r="696" spans="1:8" ht="15.75" customHeight="1" x14ac:dyDescent="0.2">
      <c r="A696"/>
      <c r="C696" s="91"/>
      <c r="D696" s="91"/>
      <c r="E696" s="91"/>
      <c r="F696" s="91"/>
      <c r="G696" s="91"/>
      <c r="H696" s="91"/>
    </row>
    <row r="697" spans="1:8" ht="15.75" customHeight="1" x14ac:dyDescent="0.2">
      <c r="A697"/>
      <c r="C697" s="91"/>
      <c r="D697" s="91"/>
      <c r="E697" s="91"/>
      <c r="F697" s="91"/>
      <c r="G697" s="91"/>
      <c r="H697" s="91"/>
    </row>
    <row r="698" spans="1:8" ht="15.75" customHeight="1" x14ac:dyDescent="0.2">
      <c r="A698"/>
      <c r="C698" s="91"/>
      <c r="D698" s="91"/>
      <c r="E698" s="91"/>
      <c r="F698" s="91"/>
      <c r="G698" s="91"/>
      <c r="H698" s="91"/>
    </row>
    <row r="699" spans="1:8" ht="15.75" customHeight="1" x14ac:dyDescent="0.2">
      <c r="A699"/>
      <c r="C699" s="91"/>
      <c r="D699" s="91"/>
      <c r="E699" s="91"/>
      <c r="F699" s="91"/>
      <c r="G699" s="91"/>
      <c r="H699" s="91"/>
    </row>
    <row r="700" spans="1:8" ht="15.75" customHeight="1" x14ac:dyDescent="0.2">
      <c r="A700"/>
      <c r="C700" s="91"/>
      <c r="D700" s="91"/>
      <c r="E700" s="91"/>
      <c r="F700" s="91"/>
      <c r="G700" s="91"/>
      <c r="H700" s="91"/>
    </row>
    <row r="701" spans="1:8" ht="15.75" customHeight="1" x14ac:dyDescent="0.2">
      <c r="A701"/>
      <c r="C701" s="91"/>
      <c r="D701" s="91"/>
      <c r="E701" s="91"/>
      <c r="F701" s="91"/>
      <c r="G701" s="91"/>
      <c r="H701" s="91"/>
    </row>
    <row r="702" spans="1:8" ht="15.75" customHeight="1" x14ac:dyDescent="0.2">
      <c r="A702"/>
      <c r="C702" s="91"/>
      <c r="D702" s="91"/>
      <c r="E702" s="91"/>
      <c r="F702" s="91"/>
      <c r="G702" s="91"/>
      <c r="H702" s="91"/>
    </row>
    <row r="703" spans="1:8" ht="15.75" customHeight="1" x14ac:dyDescent="0.2">
      <c r="A703"/>
      <c r="C703" s="91"/>
      <c r="D703" s="91"/>
      <c r="E703" s="91"/>
      <c r="F703" s="91"/>
      <c r="G703" s="91"/>
      <c r="H703" s="91"/>
    </row>
    <row r="704" spans="1:8" ht="15.75" customHeight="1" x14ac:dyDescent="0.2">
      <c r="A704"/>
      <c r="C704" s="91"/>
      <c r="D704" s="91"/>
      <c r="E704" s="91"/>
      <c r="F704" s="91"/>
      <c r="G704" s="91"/>
      <c r="H704" s="91"/>
    </row>
    <row r="705" spans="1:8" ht="15.75" customHeight="1" x14ac:dyDescent="0.2">
      <c r="A705"/>
      <c r="C705" s="91"/>
      <c r="D705" s="91"/>
      <c r="E705" s="91"/>
      <c r="F705" s="91"/>
      <c r="G705" s="91"/>
      <c r="H705" s="91"/>
    </row>
    <row r="706" spans="1:8" ht="15.75" customHeight="1" x14ac:dyDescent="0.2">
      <c r="A706"/>
      <c r="C706" s="91"/>
      <c r="D706" s="91"/>
      <c r="E706" s="91"/>
      <c r="F706" s="91"/>
      <c r="G706" s="91"/>
      <c r="H706" s="91"/>
    </row>
    <row r="707" spans="1:8" ht="15.75" customHeight="1" x14ac:dyDescent="0.2">
      <c r="A707"/>
      <c r="C707" s="91"/>
      <c r="D707" s="91"/>
      <c r="E707" s="91"/>
      <c r="F707" s="91"/>
      <c r="G707" s="91"/>
      <c r="H707" s="91"/>
    </row>
    <row r="708" spans="1:8" ht="15.75" customHeight="1" x14ac:dyDescent="0.2">
      <c r="A708"/>
      <c r="C708" s="91"/>
      <c r="D708" s="91"/>
      <c r="E708" s="91"/>
      <c r="F708" s="91"/>
      <c r="G708" s="91"/>
      <c r="H708" s="91"/>
    </row>
    <row r="709" spans="1:8" ht="15.75" customHeight="1" x14ac:dyDescent="0.2">
      <c r="A709"/>
      <c r="C709" s="91"/>
      <c r="D709" s="91"/>
      <c r="E709" s="91"/>
      <c r="F709" s="91"/>
      <c r="G709" s="91"/>
      <c r="H709" s="91"/>
    </row>
    <row r="710" spans="1:8" ht="15.75" customHeight="1" x14ac:dyDescent="0.2">
      <c r="A710"/>
      <c r="C710" s="91"/>
      <c r="D710" s="91"/>
      <c r="E710" s="91"/>
      <c r="F710" s="91"/>
      <c r="G710" s="91"/>
      <c r="H710" s="91"/>
    </row>
    <row r="711" spans="1:8" ht="15.75" customHeight="1" x14ac:dyDescent="0.2">
      <c r="A711"/>
      <c r="C711" s="91"/>
      <c r="D711" s="91"/>
      <c r="E711" s="91"/>
      <c r="F711" s="91"/>
      <c r="G711" s="91"/>
      <c r="H711" s="91"/>
    </row>
    <row r="712" spans="1:8" ht="15.75" customHeight="1" x14ac:dyDescent="0.2">
      <c r="A712"/>
      <c r="C712" s="91"/>
      <c r="D712" s="91"/>
      <c r="E712" s="91"/>
      <c r="F712" s="91"/>
      <c r="G712" s="91"/>
      <c r="H712" s="91"/>
    </row>
    <row r="713" spans="1:8" ht="15.75" customHeight="1" x14ac:dyDescent="0.2">
      <c r="A713"/>
      <c r="C713" s="91"/>
      <c r="D713" s="91"/>
      <c r="E713" s="91"/>
      <c r="F713" s="91"/>
      <c r="G713" s="91"/>
      <c r="H713" s="91"/>
    </row>
    <row r="714" spans="1:8" ht="15.75" customHeight="1" x14ac:dyDescent="0.2">
      <c r="A714"/>
      <c r="C714" s="91"/>
      <c r="D714" s="91"/>
      <c r="E714" s="91"/>
      <c r="F714" s="91"/>
      <c r="G714" s="91"/>
      <c r="H714" s="91"/>
    </row>
    <row r="715" spans="1:8" ht="15.75" customHeight="1" x14ac:dyDescent="0.2">
      <c r="A715"/>
      <c r="C715" s="91"/>
      <c r="D715" s="91"/>
      <c r="E715" s="91"/>
      <c r="F715" s="91"/>
      <c r="G715" s="91"/>
      <c r="H715" s="91"/>
    </row>
    <row r="716" spans="1:8" ht="15.75" customHeight="1" x14ac:dyDescent="0.2">
      <c r="A716"/>
      <c r="C716" s="91"/>
      <c r="D716" s="91"/>
      <c r="E716" s="91"/>
      <c r="F716" s="91"/>
      <c r="G716" s="91"/>
      <c r="H716" s="91"/>
    </row>
    <row r="717" spans="1:8" ht="15.75" customHeight="1" x14ac:dyDescent="0.2">
      <c r="A717"/>
      <c r="C717" s="91"/>
      <c r="D717" s="91"/>
      <c r="E717" s="91"/>
      <c r="F717" s="91"/>
      <c r="G717" s="91"/>
      <c r="H717" s="91"/>
    </row>
    <row r="718" spans="1:8" ht="15.75" customHeight="1" x14ac:dyDescent="0.2">
      <c r="A718"/>
      <c r="C718" s="91"/>
      <c r="D718" s="91"/>
      <c r="E718" s="91"/>
      <c r="F718" s="91"/>
      <c r="G718" s="91"/>
      <c r="H718" s="91"/>
    </row>
    <row r="719" spans="1:8" ht="15.75" customHeight="1" x14ac:dyDescent="0.2">
      <c r="A719"/>
      <c r="C719" s="91"/>
      <c r="D719" s="91"/>
      <c r="E719" s="91"/>
      <c r="F719" s="91"/>
      <c r="G719" s="91"/>
      <c r="H719" s="91"/>
    </row>
    <row r="720" spans="1:8" ht="15.75" customHeight="1" x14ac:dyDescent="0.2">
      <c r="A720"/>
      <c r="C720" s="91"/>
      <c r="D720" s="91"/>
      <c r="E720" s="91"/>
      <c r="F720" s="91"/>
      <c r="G720" s="91"/>
      <c r="H720" s="91"/>
    </row>
    <row r="721" spans="1:8" ht="15.75" customHeight="1" x14ac:dyDescent="0.2">
      <c r="A721"/>
      <c r="C721" s="91"/>
      <c r="D721" s="91"/>
      <c r="E721" s="91"/>
      <c r="F721" s="91"/>
      <c r="G721" s="91"/>
      <c r="H721" s="91"/>
    </row>
    <row r="722" spans="1:8" ht="15.75" customHeight="1" x14ac:dyDescent="0.2">
      <c r="A722"/>
      <c r="C722" s="91"/>
      <c r="D722" s="91"/>
      <c r="E722" s="91"/>
      <c r="F722" s="91"/>
      <c r="G722" s="91"/>
      <c r="H722" s="91"/>
    </row>
    <row r="723" spans="1:8" ht="15.75" customHeight="1" x14ac:dyDescent="0.2">
      <c r="A723"/>
      <c r="C723" s="91"/>
      <c r="D723" s="91"/>
      <c r="E723" s="91"/>
      <c r="F723" s="91"/>
      <c r="G723" s="91"/>
      <c r="H723" s="91"/>
    </row>
    <row r="724" spans="1:8" ht="15.75" customHeight="1" x14ac:dyDescent="0.2">
      <c r="A724"/>
      <c r="C724" s="91"/>
      <c r="D724" s="91"/>
      <c r="E724" s="91"/>
      <c r="F724" s="91"/>
      <c r="G724" s="91"/>
      <c r="H724" s="91"/>
    </row>
    <row r="725" spans="1:8" ht="15.75" customHeight="1" x14ac:dyDescent="0.2">
      <c r="A725"/>
      <c r="C725" s="91"/>
      <c r="D725" s="91"/>
      <c r="E725" s="91"/>
      <c r="F725" s="91"/>
      <c r="G725" s="91"/>
      <c r="H725" s="91"/>
    </row>
    <row r="726" spans="1:8" ht="15.75" customHeight="1" x14ac:dyDescent="0.2">
      <c r="A726"/>
      <c r="C726" s="91"/>
      <c r="D726" s="91"/>
      <c r="E726" s="91"/>
      <c r="F726" s="91"/>
      <c r="G726" s="91"/>
      <c r="H726" s="91"/>
    </row>
    <row r="727" spans="1:8" ht="15.75" customHeight="1" x14ac:dyDescent="0.2">
      <c r="A727"/>
      <c r="C727" s="91"/>
      <c r="D727" s="91"/>
      <c r="E727" s="91"/>
      <c r="F727" s="91"/>
      <c r="G727" s="91"/>
      <c r="H727" s="91"/>
    </row>
    <row r="728" spans="1:8" ht="15.75" customHeight="1" x14ac:dyDescent="0.2">
      <c r="A728"/>
      <c r="C728" s="91"/>
      <c r="D728" s="91"/>
      <c r="E728" s="91"/>
      <c r="F728" s="91"/>
      <c r="G728" s="91"/>
      <c r="H728" s="91"/>
    </row>
    <row r="729" spans="1:8" ht="15.75" customHeight="1" x14ac:dyDescent="0.2">
      <c r="A729"/>
      <c r="C729" s="91"/>
      <c r="D729" s="91"/>
      <c r="E729" s="91"/>
      <c r="F729" s="91"/>
      <c r="G729" s="91"/>
      <c r="H729" s="91"/>
    </row>
  </sheetData>
  <mergeCells count="2">
    <mergeCell ref="A4:F4"/>
    <mergeCell ref="A5:F5"/>
  </mergeCells>
  <phoneticPr fontId="11" type="noConversion"/>
  <pageMargins left="0.90551181102362199" right="0.19685039370078741" top="0.3543307086614173" bottom="0.39370078740157483" header="0.31496062992125984" footer="0.51181102362204722"/>
  <pageSetup paperSize="9" scale="67" orientation="portrait" r:id="rId1"/>
  <headerFooter alignWithMargins="0"/>
  <rowBreaks count="1" manualBreakCount="1">
    <brk id="9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1"/>
  <sheetViews>
    <sheetView zoomScaleNormal="100" zoomScaleSheetLayoutView="90" workbookViewId="0">
      <selection activeCell="A97" sqref="A97"/>
    </sheetView>
  </sheetViews>
  <sheetFormatPr defaultColWidth="0" defaultRowHeight="12.75" x14ac:dyDescent="0.2"/>
  <cols>
    <col min="1" max="1" width="79.7109375" customWidth="1"/>
    <col min="2" max="2" width="14.140625" customWidth="1"/>
    <col min="3" max="3" width="14.140625" hidden="1" customWidth="1"/>
    <col min="4" max="4" width="14.140625" style="10" customWidth="1"/>
    <col min="5" max="5" width="14" customWidth="1"/>
    <col min="6" max="6" width="14" hidden="1" customWidth="1"/>
    <col min="7" max="7" width="6.140625" style="10" customWidth="1"/>
    <col min="8" max="8" width="12" customWidth="1"/>
    <col min="9" max="9" width="8.140625" style="10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659"/>
      <c r="E1" s="208" t="s">
        <v>980</v>
      </c>
    </row>
    <row r="2" spans="1:22" ht="15.75" customHeight="1" x14ac:dyDescent="0.2">
      <c r="A2" s="659"/>
      <c r="E2" s="925" t="str">
        <f>'1.Bev-kiad.'!F2</f>
        <v>a 7/2022.(V.27.) önkormányzati rendelethez</v>
      </c>
    </row>
    <row r="3" spans="1:22" ht="15.75" customHeight="1" x14ac:dyDescent="0.2">
      <c r="A3" s="659"/>
      <c r="C3" s="208"/>
      <c r="E3" s="212" t="s">
        <v>1313</v>
      </c>
    </row>
    <row r="4" spans="1:22" ht="19.5" x14ac:dyDescent="0.2">
      <c r="A4" s="945" t="s">
        <v>411</v>
      </c>
      <c r="B4" s="946"/>
      <c r="C4" s="946"/>
      <c r="D4" s="946"/>
      <c r="E4" s="946"/>
      <c r="F4" s="946"/>
    </row>
    <row r="5" spans="1:22" ht="19.5" customHeight="1" x14ac:dyDescent="0.35">
      <c r="A5" s="947" t="s">
        <v>1015</v>
      </c>
      <c r="B5" s="948"/>
      <c r="C5" s="948"/>
      <c r="D5" s="948"/>
      <c r="E5" s="948"/>
      <c r="F5" s="948"/>
    </row>
    <row r="6" spans="1:22" x14ac:dyDescent="0.2">
      <c r="A6" s="62"/>
      <c r="B6" s="63"/>
      <c r="C6" s="63"/>
      <c r="D6" s="655"/>
      <c r="E6" s="63"/>
      <c r="F6" s="63"/>
    </row>
    <row r="7" spans="1:22" ht="13.5" thickBot="1" x14ac:dyDescent="0.25">
      <c r="A7" s="62"/>
      <c r="E7" s="208" t="s">
        <v>0</v>
      </c>
      <c r="G7" s="11"/>
    </row>
    <row r="8" spans="1:22" s="5" customFormat="1" ht="54.75" customHeight="1" thickBot="1" x14ac:dyDescent="0.3">
      <c r="A8" s="53" t="s">
        <v>14</v>
      </c>
      <c r="B8" s="54" t="str">
        <f>'1.Bev-kiad.'!C7</f>
        <v>2021. évi eredeti előirányzat</v>
      </c>
      <c r="C8" s="54" t="str">
        <f>'1.Bev-kiad.'!D7</f>
        <v>Módosított előirányzat 2021.07. havi</v>
      </c>
      <c r="D8" s="54" t="str">
        <f>'1.Bev-kiad.'!E7</f>
        <v>Módosított előirányzat 2021.10. havi</v>
      </c>
      <c r="E8" s="54" t="str">
        <f>'1.Bev-kiad.'!F7</f>
        <v>Módosított előirányzat 2021.12.31</v>
      </c>
      <c r="F8" s="55" t="str">
        <f>'1.Bev-kiad.'!G7</f>
        <v>Teljesítés 2021.12.31.</v>
      </c>
      <c r="G8" s="389"/>
      <c r="I8" s="10"/>
    </row>
    <row r="9" spans="1:22" s="5" customFormat="1" ht="18" customHeight="1" x14ac:dyDescent="0.25">
      <c r="A9" s="313" t="s">
        <v>15</v>
      </c>
      <c r="B9" s="314">
        <f>SUM(B10+B42+B44)</f>
        <v>249111</v>
      </c>
      <c r="C9" s="314">
        <f>SUM(C10+C42+C44)</f>
        <v>251987</v>
      </c>
      <c r="D9" s="314">
        <f>SUM(D10+D42+D44)</f>
        <v>256122</v>
      </c>
      <c r="E9" s="314">
        <f>SUM(E10+E44)</f>
        <v>254330</v>
      </c>
      <c r="F9" s="314">
        <f>SUM(F10+F44)</f>
        <v>232524</v>
      </c>
      <c r="G9" s="39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s="5" customFormat="1" ht="14.25" customHeight="1" x14ac:dyDescent="0.25">
      <c r="A10" s="22" t="s">
        <v>3</v>
      </c>
      <c r="B10" s="6">
        <f>SUM(B11+B26)</f>
        <v>220861</v>
      </c>
      <c r="C10" s="6">
        <f>SUM(C11+C26)</f>
        <v>223737</v>
      </c>
      <c r="D10" s="6">
        <f>SUM(D11+D26)</f>
        <v>227872</v>
      </c>
      <c r="E10" s="6">
        <f>SUM(E11+E26)+E42</f>
        <v>226080</v>
      </c>
      <c r="F10" s="6">
        <f>SUM(F11+F26)+F42</f>
        <v>232524</v>
      </c>
      <c r="G10" s="39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s="5" customFormat="1" ht="14.25" customHeight="1" x14ac:dyDescent="0.25">
      <c r="A11" s="22" t="s">
        <v>418</v>
      </c>
      <c r="B11" s="6">
        <f>SUM(B12:B25)</f>
        <v>193967</v>
      </c>
      <c r="C11" s="6">
        <f>SUM(C12:C25)</f>
        <v>196986</v>
      </c>
      <c r="D11" s="6">
        <f>SUM(D12:D25)</f>
        <v>201049</v>
      </c>
      <c r="E11" s="6">
        <f>SUM(E12:E25)</f>
        <v>198880</v>
      </c>
      <c r="F11" s="6">
        <f>SUM(F12:F25)</f>
        <v>205324</v>
      </c>
      <c r="G11" s="39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2" s="5" customFormat="1" ht="14.25" customHeight="1" x14ac:dyDescent="0.25">
      <c r="A12" s="20" t="s">
        <v>341</v>
      </c>
      <c r="B12" s="16">
        <f>SUM('2.működés'!C23)</f>
        <v>79311</v>
      </c>
      <c r="C12" s="16">
        <f>SUM('2.működés'!D23)</f>
        <v>81306</v>
      </c>
      <c r="D12" s="16">
        <f>SUM('2.működés'!E23)</f>
        <v>81306</v>
      </c>
      <c r="E12" s="16">
        <f>SUM('2.működés'!F23)</f>
        <v>82473</v>
      </c>
      <c r="F12" s="16">
        <v>82473</v>
      </c>
      <c r="G12" s="39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s="5" customFormat="1" ht="14.25" customHeight="1" x14ac:dyDescent="0.25">
      <c r="A13" s="20" t="s">
        <v>476</v>
      </c>
      <c r="B13" s="16">
        <f>SUM('2.működés'!C34)</f>
        <v>42432</v>
      </c>
      <c r="C13" s="16">
        <f>SUM('2.működés'!D34)</f>
        <v>41039</v>
      </c>
      <c r="D13" s="16">
        <f>SUM('2.működés'!E35)</f>
        <v>41530</v>
      </c>
      <c r="E13" s="16">
        <f>SUM('2.működés'!F35)</f>
        <v>41959</v>
      </c>
      <c r="F13" s="17">
        <v>41959</v>
      </c>
      <c r="G13" s="39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s="5" customFormat="1" ht="12.75" customHeight="1" x14ac:dyDescent="0.25">
      <c r="A14" s="20" t="s">
        <v>477</v>
      </c>
      <c r="B14" s="16">
        <f>SUM('2.működés'!C27+'2.működés'!C31)</f>
        <v>52512</v>
      </c>
      <c r="C14" s="16">
        <f>SUM('2.működés'!D27+'2.működés'!D31)</f>
        <v>54646</v>
      </c>
      <c r="D14" s="16">
        <f>SUM('2.működés'!E27+'2.működés'!E31)</f>
        <v>54646</v>
      </c>
      <c r="E14" s="16">
        <f>SUM('2.működés'!F27+'2.működés'!F31)</f>
        <v>57104</v>
      </c>
      <c r="F14" s="17">
        <v>57104</v>
      </c>
      <c r="G14" s="39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s="5" customFormat="1" ht="14.25" customHeight="1" x14ac:dyDescent="0.25">
      <c r="A15" s="20" t="s">
        <v>949</v>
      </c>
      <c r="B15" s="16">
        <f>SUM('2.működés'!C29)</f>
        <v>8096</v>
      </c>
      <c r="C15" s="17">
        <f>8096+148+135</f>
        <v>8379</v>
      </c>
      <c r="D15" s="17">
        <f>8096+148+135</f>
        <v>8379</v>
      </c>
      <c r="E15" s="17">
        <f>(8096+148+135)-7220</f>
        <v>1159</v>
      </c>
      <c r="F15" s="17">
        <v>7833</v>
      </c>
      <c r="G15" s="39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s="5" customFormat="1" ht="14.25" customHeight="1" x14ac:dyDescent="0.25">
      <c r="A16" s="20" t="s">
        <v>975</v>
      </c>
      <c r="B16" s="16">
        <v>236</v>
      </c>
      <c r="C16" s="17">
        <v>236</v>
      </c>
      <c r="D16" s="17">
        <v>236</v>
      </c>
      <c r="E16" s="17">
        <v>236</v>
      </c>
      <c r="F16" s="17">
        <v>236</v>
      </c>
      <c r="G16" s="39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s="5" customFormat="1" ht="14.25" customHeight="1" x14ac:dyDescent="0.25">
      <c r="A17" s="20" t="s">
        <v>1108</v>
      </c>
      <c r="B17" s="16">
        <v>11380</v>
      </c>
      <c r="C17" s="17">
        <v>11380</v>
      </c>
      <c r="D17" s="17">
        <f>11380+72+3500</f>
        <v>14952</v>
      </c>
      <c r="E17" s="17">
        <f>(11380-290)+72+3500</f>
        <v>14662</v>
      </c>
      <c r="F17" s="17">
        <v>14432</v>
      </c>
      <c r="G17" s="39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s="5" customFormat="1" ht="14.25" customHeight="1" x14ac:dyDescent="0.25">
      <c r="A18" s="20" t="s">
        <v>1073</v>
      </c>
      <c r="B18" s="17">
        <v>0</v>
      </c>
      <c r="C18" s="17">
        <v>0</v>
      </c>
      <c r="D18" s="17">
        <v>0</v>
      </c>
      <c r="E18" s="17">
        <v>1287</v>
      </c>
      <c r="F18" s="17">
        <v>1287</v>
      </c>
      <c r="G18" s="39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s="5" customFormat="1" ht="14.25" hidden="1" customHeight="1" x14ac:dyDescent="0.25">
      <c r="A19" s="20"/>
      <c r="B19" s="17"/>
      <c r="C19" s="17"/>
      <c r="D19" s="17"/>
      <c r="E19" s="17"/>
      <c r="F19" s="17"/>
      <c r="G19" s="39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s="5" customFormat="1" ht="14.25" hidden="1" customHeight="1" x14ac:dyDescent="0.25">
      <c r="A20" s="20"/>
      <c r="B20" s="17"/>
      <c r="C20" s="17"/>
      <c r="D20" s="17"/>
      <c r="E20" s="17"/>
      <c r="F20" s="17"/>
      <c r="G20" s="39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s="5" customFormat="1" ht="14.25" hidden="1" customHeight="1" x14ac:dyDescent="0.25">
      <c r="A21" s="20"/>
      <c r="B21" s="17"/>
      <c r="C21" s="17"/>
      <c r="D21" s="17"/>
      <c r="E21" s="17"/>
      <c r="F21" s="17"/>
      <c r="G21" s="39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s="5" customFormat="1" ht="14.25" hidden="1" customHeight="1" x14ac:dyDescent="0.25">
      <c r="A22" s="20"/>
      <c r="B22" s="17"/>
      <c r="C22" s="17"/>
      <c r="D22" s="17"/>
      <c r="E22" s="17"/>
      <c r="F22" s="17"/>
      <c r="G22" s="39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s="5" customFormat="1" ht="14.25" hidden="1" customHeight="1" x14ac:dyDescent="0.25">
      <c r="A23" s="20"/>
      <c r="B23" s="17"/>
      <c r="C23" s="17"/>
      <c r="D23" s="17"/>
      <c r="E23" s="17"/>
      <c r="F23" s="17"/>
      <c r="G23" s="39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s="5" customFormat="1" ht="14.25" hidden="1" customHeight="1" x14ac:dyDescent="0.25">
      <c r="A24" s="20"/>
      <c r="B24" s="17"/>
      <c r="C24" s="17"/>
      <c r="D24" s="17"/>
      <c r="E24" s="17"/>
      <c r="F24" s="17"/>
      <c r="G24" s="39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s="5" customFormat="1" ht="14.25" hidden="1" customHeight="1" x14ac:dyDescent="0.25">
      <c r="A25" s="20"/>
      <c r="B25" s="17"/>
      <c r="C25" s="17"/>
      <c r="D25" s="17"/>
      <c r="E25" s="17"/>
      <c r="F25" s="17"/>
      <c r="G25" s="39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s="5" customFormat="1" ht="28.5" customHeight="1" x14ac:dyDescent="0.25">
      <c r="A26" s="274" t="s">
        <v>430</v>
      </c>
      <c r="B26" s="6">
        <f>SUM(B27+B38+B39+B40+B41)</f>
        <v>26894</v>
      </c>
      <c r="C26" s="6">
        <f>SUM(C27+C38+C39+C41)</f>
        <v>26751</v>
      </c>
      <c r="D26" s="6">
        <f>SUM(D27+D38+D39+D41+D40)</f>
        <v>26823</v>
      </c>
      <c r="E26" s="6">
        <f>SUM(E27+E38+E39+E41+E40)+E37</f>
        <v>27175</v>
      </c>
      <c r="F26" s="6">
        <f>SUM(F27+F38+F39+F41+F40)+F37</f>
        <v>27175</v>
      </c>
      <c r="G26" s="39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s="5" customFormat="1" ht="14.25" customHeight="1" x14ac:dyDescent="0.25">
      <c r="A27" s="20" t="s">
        <v>17</v>
      </c>
      <c r="B27" s="942">
        <v>26174</v>
      </c>
      <c r="C27" s="942">
        <v>26174</v>
      </c>
      <c r="D27" s="942">
        <v>26174</v>
      </c>
      <c r="E27" s="942">
        <v>26174</v>
      </c>
      <c r="F27" s="942">
        <v>26174</v>
      </c>
      <c r="G27" s="39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s="5" customFormat="1" ht="14.25" customHeight="1" x14ac:dyDescent="0.25">
      <c r="A28" s="20" t="s">
        <v>18</v>
      </c>
      <c r="B28" s="943"/>
      <c r="C28" s="943"/>
      <c r="D28" s="943"/>
      <c r="E28" s="943"/>
      <c r="F28" s="943"/>
      <c r="G28" s="39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s="5" customFormat="1" ht="14.25" customHeight="1" x14ac:dyDescent="0.25">
      <c r="A29" s="27" t="s">
        <v>19</v>
      </c>
      <c r="B29" s="943"/>
      <c r="C29" s="943"/>
      <c r="D29" s="943"/>
      <c r="E29" s="943"/>
      <c r="F29" s="943"/>
      <c r="G29" s="39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pans="1:22" s="5" customFormat="1" ht="14.25" customHeight="1" x14ac:dyDescent="0.25">
      <c r="A30" s="20" t="s">
        <v>20</v>
      </c>
      <c r="B30" s="943"/>
      <c r="C30" s="943"/>
      <c r="D30" s="943"/>
      <c r="E30" s="943"/>
      <c r="F30" s="943"/>
      <c r="G30" s="39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2" s="5" customFormat="1" ht="14.25" customHeight="1" x14ac:dyDescent="0.25">
      <c r="A31" s="20" t="s">
        <v>494</v>
      </c>
      <c r="B31" s="943"/>
      <c r="C31" s="943"/>
      <c r="D31" s="943"/>
      <c r="E31" s="943"/>
      <c r="F31" s="943"/>
      <c r="G31" s="39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s="5" customFormat="1" ht="14.25" customHeight="1" x14ac:dyDescent="0.25">
      <c r="A32" s="20" t="s">
        <v>21</v>
      </c>
      <c r="B32" s="943"/>
      <c r="C32" s="943"/>
      <c r="D32" s="943"/>
      <c r="E32" s="943"/>
      <c r="F32" s="943"/>
      <c r="G32" s="39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s="5" customFormat="1" ht="14.25" customHeight="1" x14ac:dyDescent="0.25">
      <c r="A33" s="20" t="s">
        <v>22</v>
      </c>
      <c r="B33" s="943"/>
      <c r="C33" s="943"/>
      <c r="D33" s="943"/>
      <c r="E33" s="943"/>
      <c r="F33" s="943"/>
      <c r="G33" s="39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s="5" customFormat="1" ht="14.25" customHeight="1" x14ac:dyDescent="0.25">
      <c r="A34" s="19" t="s">
        <v>23</v>
      </c>
      <c r="B34" s="943"/>
      <c r="C34" s="943"/>
      <c r="D34" s="943"/>
      <c r="E34" s="943"/>
      <c r="F34" s="943"/>
      <c r="G34" s="39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s="5" customFormat="1" ht="14.25" customHeight="1" x14ac:dyDescent="0.25">
      <c r="A35" s="20" t="s">
        <v>24</v>
      </c>
      <c r="B35" s="943"/>
      <c r="C35" s="943"/>
      <c r="D35" s="943"/>
      <c r="E35" s="943"/>
      <c r="F35" s="943"/>
      <c r="G35" s="39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s="5" customFormat="1" ht="14.25" customHeight="1" x14ac:dyDescent="0.25">
      <c r="A36" s="20" t="s">
        <v>25</v>
      </c>
      <c r="B36" s="944"/>
      <c r="C36" s="944"/>
      <c r="D36" s="944"/>
      <c r="E36" s="944"/>
      <c r="F36" s="944"/>
      <c r="G36" s="39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s="5" customFormat="1" ht="14.25" customHeight="1" x14ac:dyDescent="0.25">
      <c r="A37" s="20" t="s">
        <v>1375</v>
      </c>
      <c r="B37" s="926">
        <v>0</v>
      </c>
      <c r="C37" s="926">
        <v>0</v>
      </c>
      <c r="D37" s="926">
        <v>0</v>
      </c>
      <c r="E37" s="926">
        <v>352</v>
      </c>
      <c r="F37" s="926">
        <v>352</v>
      </c>
      <c r="G37" s="39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s="5" customFormat="1" ht="14.25" customHeight="1" x14ac:dyDescent="0.25">
      <c r="A38" s="20" t="s">
        <v>429</v>
      </c>
      <c r="B38" s="285">
        <v>100</v>
      </c>
      <c r="C38" s="285">
        <f>100+3</f>
        <v>103</v>
      </c>
      <c r="D38" s="285">
        <f>100+3</f>
        <v>103</v>
      </c>
      <c r="E38" s="285">
        <f>100+3</f>
        <v>103</v>
      </c>
      <c r="F38" s="285">
        <v>103</v>
      </c>
      <c r="G38" s="39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s="5" customFormat="1" ht="14.25" customHeight="1" x14ac:dyDescent="0.25">
      <c r="A39" s="9" t="s">
        <v>520</v>
      </c>
      <c r="B39" s="16">
        <v>474</v>
      </c>
      <c r="C39" s="16">
        <v>474</v>
      </c>
      <c r="D39" s="16">
        <v>474</v>
      </c>
      <c r="E39" s="16">
        <v>474</v>
      </c>
      <c r="F39" s="16">
        <v>474</v>
      </c>
      <c r="G39" s="39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s="5" customFormat="1" ht="14.25" customHeight="1" x14ac:dyDescent="0.25">
      <c r="A40" s="9" t="s">
        <v>521</v>
      </c>
      <c r="B40" s="17">
        <v>146</v>
      </c>
      <c r="C40" s="17">
        <f>146-143-3</f>
        <v>0</v>
      </c>
      <c r="D40" s="17">
        <f>146-143-3+13</f>
        <v>13</v>
      </c>
      <c r="E40" s="17">
        <f>146-143-3+13</f>
        <v>13</v>
      </c>
      <c r="F40" s="16">
        <v>13</v>
      </c>
      <c r="G40" s="39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s="5" customFormat="1" ht="14.25" customHeight="1" x14ac:dyDescent="0.25">
      <c r="A41" s="9" t="s">
        <v>1282</v>
      </c>
      <c r="B41" s="17">
        <v>0</v>
      </c>
      <c r="C41" s="17">
        <f>146-143-3</f>
        <v>0</v>
      </c>
      <c r="D41" s="17">
        <v>59</v>
      </c>
      <c r="E41" s="17">
        <v>59</v>
      </c>
      <c r="F41" s="17">
        <v>59</v>
      </c>
      <c r="G41" s="39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s="5" customFormat="1" ht="14.25" customHeight="1" x14ac:dyDescent="0.25">
      <c r="A42" s="22" t="s">
        <v>1002</v>
      </c>
      <c r="B42" s="195">
        <f>B43</f>
        <v>0</v>
      </c>
      <c r="C42" s="195">
        <f t="shared" ref="C42:F42" si="0">C43</f>
        <v>0</v>
      </c>
      <c r="D42" s="195">
        <f t="shared" si="0"/>
        <v>0</v>
      </c>
      <c r="E42" s="195">
        <f t="shared" si="0"/>
        <v>25</v>
      </c>
      <c r="F42" s="195">
        <f t="shared" si="0"/>
        <v>25</v>
      </c>
      <c r="G42" s="39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s="5" customFormat="1" ht="14.25" customHeight="1" x14ac:dyDescent="0.25">
      <c r="A43" s="9" t="s">
        <v>859</v>
      </c>
      <c r="B43" s="17">
        <v>0</v>
      </c>
      <c r="C43" s="17">
        <v>0</v>
      </c>
      <c r="D43" s="17">
        <v>0</v>
      </c>
      <c r="E43" s="17">
        <v>25</v>
      </c>
      <c r="F43" s="17">
        <v>25</v>
      </c>
      <c r="G43" s="39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s="5" customFormat="1" ht="13.5" customHeight="1" thickBot="1" x14ac:dyDescent="0.3">
      <c r="A44" s="22" t="s">
        <v>1135</v>
      </c>
      <c r="B44" s="816">
        <v>28250</v>
      </c>
      <c r="C44" s="816">
        <v>28250</v>
      </c>
      <c r="D44" s="816">
        <v>28250</v>
      </c>
      <c r="E44" s="816">
        <v>28250</v>
      </c>
      <c r="F44" s="816">
        <v>0</v>
      </c>
      <c r="G44" s="39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s="5" customFormat="1" ht="18.75" customHeight="1" thickBot="1" x14ac:dyDescent="0.3">
      <c r="A45" s="318" t="s">
        <v>16</v>
      </c>
      <c r="B45" s="319">
        <f>SUM(B46+B61+B62)</f>
        <v>132946</v>
      </c>
      <c r="C45" s="319">
        <f>SUM(C46+C61+C62)</f>
        <v>133293</v>
      </c>
      <c r="D45" s="319">
        <f>SUM(D46+D61+D62)</f>
        <v>149089</v>
      </c>
      <c r="E45" s="319">
        <f>SUM(E46+E61+E62)</f>
        <v>153064</v>
      </c>
      <c r="F45" s="320">
        <f>SUM(F46+F61+F62)</f>
        <v>151584</v>
      </c>
      <c r="G45" s="39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s="5" customFormat="1" ht="14.25" customHeight="1" x14ac:dyDescent="0.25">
      <c r="A46" s="21" t="s">
        <v>4</v>
      </c>
      <c r="B46" s="49">
        <f>SUM(B47+B48+B57+B58+B59)</f>
        <v>91746</v>
      </c>
      <c r="C46" s="49">
        <f>SUM(C47+C48+C57+C58+C59)</f>
        <v>92093</v>
      </c>
      <c r="D46" s="49">
        <f>SUM(D47+D48+D57+D58+D59)</f>
        <v>107889</v>
      </c>
      <c r="E46" s="49">
        <f>SUM(E47+E48+E57+E58+E59)</f>
        <v>111889</v>
      </c>
      <c r="F46" s="49">
        <f>SUM(F47+F48+F57+F58+F59)</f>
        <v>111489</v>
      </c>
      <c r="G46" s="39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s="5" customFormat="1" ht="14.25" customHeight="1" x14ac:dyDescent="0.25">
      <c r="A47" s="27" t="s">
        <v>1074</v>
      </c>
      <c r="B47" s="16">
        <f>SUM(B49+B50+B53+B56)</f>
        <v>21346</v>
      </c>
      <c r="C47" s="16">
        <f>SUM(C49+C50+C53+C56)</f>
        <v>21693</v>
      </c>
      <c r="D47" s="16">
        <f>SUM(D49+D50+D53+D56)</f>
        <v>21694</v>
      </c>
      <c r="E47" s="16">
        <f>SUM(E49+E50+E53+E56)</f>
        <v>21694</v>
      </c>
      <c r="F47" s="16">
        <f>SUM(F49+F50+F53+F56)</f>
        <v>21694</v>
      </c>
      <c r="G47" s="39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s="5" customFormat="1" ht="14.25" customHeight="1" x14ac:dyDescent="0.25">
      <c r="A48" s="27" t="s">
        <v>1075</v>
      </c>
      <c r="B48" s="16">
        <v>70000</v>
      </c>
      <c r="C48" s="16">
        <v>70000</v>
      </c>
      <c r="D48" s="16">
        <v>70000</v>
      </c>
      <c r="E48" s="16">
        <v>70000</v>
      </c>
      <c r="F48" s="16">
        <v>70000</v>
      </c>
      <c r="G48" s="39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s="5" customFormat="1" ht="14.25" customHeight="1" x14ac:dyDescent="0.25">
      <c r="A49" s="27" t="s">
        <v>495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39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s="5" customFormat="1" ht="14.25" customHeight="1" x14ac:dyDescent="0.25">
      <c r="A50" s="27" t="s">
        <v>800</v>
      </c>
      <c r="B50" s="16">
        <f>B51</f>
        <v>5086</v>
      </c>
      <c r="C50" s="16">
        <f>C51</f>
        <v>5170</v>
      </c>
      <c r="D50" s="16">
        <f>D51</f>
        <v>5171</v>
      </c>
      <c r="E50" s="16">
        <f>E51</f>
        <v>5171</v>
      </c>
      <c r="F50" s="16">
        <f>F51</f>
        <v>5171</v>
      </c>
      <c r="G50" s="390"/>
      <c r="H50" s="1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s="5" customFormat="1" ht="14.25" customHeight="1" x14ac:dyDescent="0.25">
      <c r="A51" s="27" t="s">
        <v>801</v>
      </c>
      <c r="B51" s="207">
        <f>SUM('2.működés'!C41)</f>
        <v>5086</v>
      </c>
      <c r="C51" s="207">
        <f>SUM('2.működés'!D41)</f>
        <v>5170</v>
      </c>
      <c r="D51" s="207">
        <f>SUM('2.működés'!E41)</f>
        <v>5171</v>
      </c>
      <c r="E51" s="207">
        <f>SUM('2.működés'!F41)</f>
        <v>5171</v>
      </c>
      <c r="F51" s="207">
        <v>5171</v>
      </c>
      <c r="G51" s="39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s="5" customFormat="1" ht="14.25" hidden="1" customHeight="1" x14ac:dyDescent="0.25">
      <c r="A52" s="286" t="s">
        <v>496</v>
      </c>
      <c r="B52" s="335"/>
      <c r="C52" s="335"/>
      <c r="D52" s="335"/>
      <c r="E52" s="335"/>
      <c r="F52" s="335"/>
      <c r="G52" s="39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s="5" customFormat="1" ht="13.5" customHeight="1" x14ac:dyDescent="0.25">
      <c r="A53" s="27" t="s">
        <v>874</v>
      </c>
      <c r="B53" s="16">
        <f>SUM(B54:B55)</f>
        <v>16260</v>
      </c>
      <c r="C53" s="16">
        <f>SUM(C54:C55)</f>
        <v>16523</v>
      </c>
      <c r="D53" s="16">
        <f>SUM(D54:D55)</f>
        <v>16523</v>
      </c>
      <c r="E53" s="16">
        <f>SUM(E54:E55)</f>
        <v>16523</v>
      </c>
      <c r="F53" s="16">
        <f>SUM(F54:F55)</f>
        <v>16523</v>
      </c>
      <c r="G53" s="39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</row>
    <row r="54" spans="1:22" s="5" customFormat="1" ht="13.5" customHeight="1" x14ac:dyDescent="0.25">
      <c r="A54" s="27" t="s">
        <v>497</v>
      </c>
      <c r="B54" s="207">
        <f>SUM('2.működés'!C14+'2.működés'!C16+'2.működés'!C17)</f>
        <v>16260</v>
      </c>
      <c r="C54" s="207">
        <f>SUM('2.működés'!D14+'2.működés'!D16+'2.működés'!D17)</f>
        <v>16523</v>
      </c>
      <c r="D54" s="207">
        <f>SUM('2.működés'!E14+'2.működés'!E16+'2.működés'!E17)</f>
        <v>16523</v>
      </c>
      <c r="E54" s="207">
        <f>SUM('2.működés'!F14+'2.működés'!F16+'2.működés'!F17)</f>
        <v>16523</v>
      </c>
      <c r="F54" s="207">
        <v>16523</v>
      </c>
      <c r="G54" s="39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2" s="5" customFormat="1" ht="13.5" hidden="1" customHeight="1" x14ac:dyDescent="0.25">
      <c r="A55" s="286" t="s">
        <v>498</v>
      </c>
      <c r="B55" s="335"/>
      <c r="C55" s="335"/>
      <c r="D55" s="335"/>
      <c r="E55" s="335"/>
      <c r="F55" s="335"/>
      <c r="G55" s="390"/>
      <c r="H55" s="646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spans="1:22" s="5" customFormat="1" ht="18" hidden="1" x14ac:dyDescent="0.25">
      <c r="A56" s="286"/>
      <c r="B56" s="242"/>
      <c r="C56" s="242"/>
      <c r="D56" s="242"/>
      <c r="E56" s="242"/>
      <c r="F56" s="242"/>
      <c r="G56" s="39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s="5" customFormat="1" ht="15" customHeight="1" x14ac:dyDescent="0.25">
      <c r="A57" s="9" t="s">
        <v>459</v>
      </c>
      <c r="B57" s="16">
        <v>0</v>
      </c>
      <c r="C57" s="16">
        <v>0</v>
      </c>
      <c r="D57" s="16">
        <v>15795</v>
      </c>
      <c r="E57" s="16">
        <v>15795</v>
      </c>
      <c r="F57" s="16">
        <v>15795</v>
      </c>
      <c r="G57" s="39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22" s="5" customFormat="1" ht="15" customHeight="1" x14ac:dyDescent="0.25">
      <c r="A58" s="9" t="s">
        <v>1353</v>
      </c>
      <c r="B58" s="16">
        <v>0</v>
      </c>
      <c r="C58" s="16">
        <v>0</v>
      </c>
      <c r="D58" s="16">
        <v>0</v>
      </c>
      <c r="E58" s="16">
        <v>4000</v>
      </c>
      <c r="F58" s="16">
        <v>4000</v>
      </c>
      <c r="G58" s="39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</row>
    <row r="59" spans="1:22" s="5" customFormat="1" ht="13.5" customHeight="1" x14ac:dyDescent="0.25">
      <c r="A59" s="20" t="s">
        <v>519</v>
      </c>
      <c r="B59" s="285">
        <v>400</v>
      </c>
      <c r="C59" s="285">
        <v>400</v>
      </c>
      <c r="D59" s="285">
        <v>400</v>
      </c>
      <c r="E59" s="285">
        <v>400</v>
      </c>
      <c r="F59" s="285">
        <v>0</v>
      </c>
      <c r="G59" s="77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spans="1:22" s="5" customFormat="1" ht="14.25" hidden="1" customHeight="1" x14ac:dyDescent="0.25">
      <c r="A60" s="9"/>
      <c r="B60" s="16"/>
      <c r="C60" s="16"/>
      <c r="D60" s="16"/>
      <c r="E60" s="16"/>
      <c r="F60" s="16"/>
      <c r="G60" s="77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s="5" customFormat="1" ht="14.25" customHeight="1" x14ac:dyDescent="0.25">
      <c r="A61" s="22" t="s">
        <v>405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77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2" s="5" customFormat="1" ht="14.25" customHeight="1" x14ac:dyDescent="0.25">
      <c r="A62" s="22" t="s">
        <v>26</v>
      </c>
      <c r="B62" s="15">
        <f>SUM(B63:B72)</f>
        <v>41200</v>
      </c>
      <c r="C62" s="15">
        <f>SUM(C63:C72)</f>
        <v>41200</v>
      </c>
      <c r="D62" s="15">
        <f>SUM(D63:D72)</f>
        <v>41200</v>
      </c>
      <c r="E62" s="15">
        <f>SUM(E63:E72)</f>
        <v>41175</v>
      </c>
      <c r="F62" s="15">
        <f>SUM(F63:F72)</f>
        <v>40095</v>
      </c>
      <c r="G62" s="390"/>
      <c r="H62" s="50"/>
      <c r="I62" s="50"/>
      <c r="J62" s="50"/>
      <c r="K62" s="50"/>
      <c r="L62" s="50"/>
      <c r="M62" s="50"/>
      <c r="N62" s="803"/>
      <c r="O62" s="50"/>
      <c r="P62" s="50"/>
      <c r="Q62" s="50"/>
      <c r="R62" s="50"/>
      <c r="S62" s="50"/>
      <c r="T62" s="50"/>
      <c r="U62" s="50"/>
      <c r="V62" s="50"/>
    </row>
    <row r="63" spans="1:22" s="5" customFormat="1" ht="13.5" customHeight="1" x14ac:dyDescent="0.25">
      <c r="A63" s="25" t="s">
        <v>888</v>
      </c>
      <c r="B63" s="16">
        <v>14500</v>
      </c>
      <c r="C63" s="16">
        <v>14500</v>
      </c>
      <c r="D63" s="16">
        <v>14500</v>
      </c>
      <c r="E63" s="16">
        <v>14500</v>
      </c>
      <c r="F63" s="16">
        <v>14500</v>
      </c>
      <c r="G63" s="782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s="5" customFormat="1" ht="13.5" customHeight="1" x14ac:dyDescent="0.25">
      <c r="A64" s="192" t="s">
        <v>948</v>
      </c>
      <c r="B64" s="200"/>
      <c r="C64" s="200"/>
      <c r="D64" s="200"/>
      <c r="E64" s="200"/>
      <c r="F64" s="200"/>
      <c r="G64" s="39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s="5" customFormat="1" ht="13.5" customHeight="1" x14ac:dyDescent="0.25">
      <c r="A65" s="192" t="s">
        <v>947</v>
      </c>
      <c r="B65" s="200"/>
      <c r="C65" s="200"/>
      <c r="D65" s="200"/>
      <c r="E65" s="200"/>
      <c r="F65" s="200"/>
      <c r="G65" s="39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ht="13.5" customHeight="1" x14ac:dyDescent="0.2">
      <c r="A66" s="193" t="s">
        <v>518</v>
      </c>
      <c r="B66" s="737">
        <v>23000</v>
      </c>
      <c r="C66" s="737">
        <v>23000</v>
      </c>
      <c r="D66" s="916">
        <v>23000</v>
      </c>
      <c r="E66" s="924">
        <v>23000</v>
      </c>
      <c r="F66" s="737">
        <v>23000</v>
      </c>
      <c r="G66" s="39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x14ac:dyDescent="0.2">
      <c r="A67" s="20" t="s">
        <v>1088</v>
      </c>
      <c r="B67" s="16">
        <v>3500</v>
      </c>
      <c r="C67" s="16">
        <v>3500</v>
      </c>
      <c r="D67" s="16">
        <v>3500</v>
      </c>
      <c r="E67" s="16">
        <v>3500</v>
      </c>
      <c r="F67" s="16">
        <v>2595</v>
      </c>
      <c r="G67" s="390"/>
      <c r="H67" s="50"/>
      <c r="I67" s="50"/>
      <c r="J67" s="50"/>
      <c r="K67" s="50"/>
      <c r="L67" s="803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ht="12.75" customHeight="1" x14ac:dyDescent="0.2">
      <c r="A68" s="9" t="s">
        <v>859</v>
      </c>
      <c r="B68" s="17">
        <v>200</v>
      </c>
      <c r="C68" s="17">
        <v>200</v>
      </c>
      <c r="D68" s="17">
        <v>200</v>
      </c>
      <c r="E68" s="17">
        <f>200-25</f>
        <v>175</v>
      </c>
      <c r="F68" s="17">
        <v>0</v>
      </c>
      <c r="G68" s="39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ht="12.75" customHeight="1" thickBot="1" x14ac:dyDescent="0.25">
      <c r="A69" s="9"/>
      <c r="B69" s="17"/>
      <c r="C69" s="17"/>
      <c r="D69" s="17"/>
      <c r="E69" s="17"/>
      <c r="F69" s="17"/>
      <c r="G69" s="39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ht="12.75" hidden="1" customHeight="1" x14ac:dyDescent="0.2">
      <c r="A70" s="9"/>
      <c r="B70" s="17"/>
      <c r="C70" s="17"/>
      <c r="D70" s="17"/>
      <c r="E70" s="17"/>
      <c r="F70" s="17"/>
      <c r="G70" s="39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ht="12.75" hidden="1" customHeight="1" x14ac:dyDescent="0.2">
      <c r="A71" s="9"/>
      <c r="B71" s="17"/>
      <c r="C71" s="17"/>
      <c r="D71" s="17"/>
      <c r="E71" s="17"/>
      <c r="F71" s="17"/>
      <c r="G71" s="39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ht="12.75" hidden="1" customHeight="1" thickBot="1" x14ac:dyDescent="0.25">
      <c r="A72" s="14"/>
      <c r="B72" s="40"/>
      <c r="C72" s="40"/>
      <c r="D72" s="40"/>
      <c r="E72" s="40"/>
      <c r="F72" s="40"/>
      <c r="G72" s="39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ht="16.5" thickBot="1" x14ac:dyDescent="0.25">
      <c r="A73" s="321" t="s">
        <v>456</v>
      </c>
      <c r="B73" s="386">
        <f>SUM(B74:B78)</f>
        <v>3279</v>
      </c>
      <c r="C73" s="386">
        <f>SUM(C74:C78)</f>
        <v>3608</v>
      </c>
      <c r="D73" s="386">
        <f>SUM(D74:D78)</f>
        <v>3608</v>
      </c>
      <c r="E73" s="386">
        <f>SUM(E74:E78)</f>
        <v>3608</v>
      </c>
      <c r="F73" s="387">
        <f>SUM(F74:F78)</f>
        <v>3606</v>
      </c>
      <c r="G73" s="39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2">
      <c r="A74" s="24"/>
      <c r="B74" s="17">
        <v>0</v>
      </c>
      <c r="C74" s="17">
        <v>0</v>
      </c>
      <c r="D74" s="17">
        <v>0</v>
      </c>
      <c r="E74" s="17">
        <v>0</v>
      </c>
      <c r="F74" s="16">
        <v>0</v>
      </c>
      <c r="G74" s="39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x14ac:dyDescent="0.2">
      <c r="A75" s="25" t="s">
        <v>1072</v>
      </c>
      <c r="B75" s="16">
        <v>0</v>
      </c>
      <c r="C75" s="16">
        <v>317</v>
      </c>
      <c r="D75" s="16">
        <v>317</v>
      </c>
      <c r="E75" s="16">
        <v>317</v>
      </c>
      <c r="F75" s="16">
        <v>316</v>
      </c>
      <c r="G75" s="39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2">
      <c r="A76" s="25" t="s">
        <v>1224</v>
      </c>
      <c r="B76" s="16">
        <v>0</v>
      </c>
      <c r="C76" s="16">
        <v>12</v>
      </c>
      <c r="D76" s="16">
        <v>12</v>
      </c>
      <c r="E76" s="16">
        <v>12</v>
      </c>
      <c r="F76" s="16">
        <v>11</v>
      </c>
      <c r="G76" s="39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x14ac:dyDescent="0.2">
      <c r="A77" s="25" t="s">
        <v>1136</v>
      </c>
      <c r="B77" s="16">
        <v>3279</v>
      </c>
      <c r="C77" s="16">
        <v>3279</v>
      </c>
      <c r="D77" s="16">
        <v>3279</v>
      </c>
      <c r="E77" s="16">
        <v>3279</v>
      </c>
      <c r="F77" s="16">
        <v>3279</v>
      </c>
      <c r="G77" s="39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ht="13.5" thickBot="1" x14ac:dyDescent="0.25">
      <c r="A78" s="9" t="s">
        <v>1140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39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ht="20.25" customHeight="1" thickBot="1" x14ac:dyDescent="0.3">
      <c r="A79" s="322" t="s">
        <v>457</v>
      </c>
      <c r="B79" s="319">
        <f>SUM(B9+B45+B73)</f>
        <v>385336</v>
      </c>
      <c r="C79" s="319">
        <f>SUM(C9+C45+C73)</f>
        <v>388888</v>
      </c>
      <c r="D79" s="319">
        <f>SUM(D9+D45+D73)</f>
        <v>408819</v>
      </c>
      <c r="E79" s="319">
        <f>SUM(E9+E45+E73)</f>
        <v>411002</v>
      </c>
      <c r="F79" s="320">
        <f>SUM(F9+F45+F73)</f>
        <v>387714</v>
      </c>
      <c r="G79" s="39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x14ac:dyDescent="0.2">
      <c r="A80" s="1"/>
      <c r="B80" s="45"/>
      <c r="C80" s="45"/>
      <c r="D80" s="45"/>
      <c r="E80" s="45"/>
      <c r="F80" s="45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ht="15.75" x14ac:dyDescent="0.25">
      <c r="A81" s="189" t="s">
        <v>97</v>
      </c>
      <c r="B81" s="138"/>
      <c r="C81" s="138"/>
      <c r="D81" s="138"/>
      <c r="E81" s="138"/>
      <c r="F81" s="138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1:22" x14ac:dyDescent="0.2">
      <c r="A82" s="72" t="s">
        <v>98</v>
      </c>
      <c r="B82" s="71"/>
      <c r="C82" s="71"/>
      <c r="D82" s="71"/>
      <c r="E82" s="71"/>
      <c r="F82" s="71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2" x14ac:dyDescent="0.2">
      <c r="A83" s="72" t="s">
        <v>99</v>
      </c>
      <c r="B83" s="71"/>
      <c r="C83" s="71"/>
      <c r="D83" s="71"/>
      <c r="E83" s="71"/>
      <c r="F83" s="71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1:22" x14ac:dyDescent="0.2">
      <c r="A84" s="72" t="s">
        <v>1404</v>
      </c>
      <c r="B84" s="68">
        <f>B85+B86+B87+B88+B89</f>
        <v>0</v>
      </c>
      <c r="C84" s="68">
        <f>C85+C86+C87+C88+C89</f>
        <v>22</v>
      </c>
      <c r="D84" s="68">
        <f>D85+D86+D87+D88+D89</f>
        <v>0</v>
      </c>
      <c r="E84" s="68">
        <f>E85+E86+E87+E88+E89</f>
        <v>0</v>
      </c>
      <c r="F84" s="68">
        <f>F85+F86+F87+F88+F89</f>
        <v>475</v>
      </c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1:22" x14ac:dyDescent="0.2">
      <c r="A85" s="72" t="s">
        <v>1405</v>
      </c>
      <c r="B85" s="68"/>
      <c r="C85" s="68"/>
      <c r="D85" s="68"/>
      <c r="E85" s="68"/>
      <c r="F85" s="68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1:22" x14ac:dyDescent="0.2">
      <c r="A86" s="72" t="s">
        <v>1406</v>
      </c>
      <c r="B86" s="71"/>
      <c r="C86" s="71">
        <v>22</v>
      </c>
      <c r="D86" s="71"/>
      <c r="E86" s="71"/>
      <c r="F86" s="71">
        <v>475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2" x14ac:dyDescent="0.2">
      <c r="A87" s="72" t="s">
        <v>1407</v>
      </c>
      <c r="B87" s="68"/>
      <c r="C87" s="68"/>
      <c r="D87" s="68"/>
      <c r="E87" s="68"/>
      <c r="F87" s="68"/>
    </row>
    <row r="88" spans="1:22" x14ac:dyDescent="0.2">
      <c r="A88" s="71" t="s">
        <v>1408</v>
      </c>
      <c r="B88" s="71"/>
      <c r="C88" s="71"/>
      <c r="D88" s="71"/>
      <c r="E88" s="71"/>
      <c r="F88" s="71"/>
    </row>
    <row r="89" spans="1:22" x14ac:dyDescent="0.2">
      <c r="A89" s="71" t="s">
        <v>1409</v>
      </c>
      <c r="B89" s="71"/>
      <c r="C89" s="71"/>
      <c r="D89" s="71"/>
      <c r="E89" s="71"/>
      <c r="F89" s="71"/>
    </row>
    <row r="90" spans="1:22" ht="13.5" customHeight="1" x14ac:dyDescent="0.2">
      <c r="A90" s="930" t="s">
        <v>1410</v>
      </c>
      <c r="B90" s="71"/>
      <c r="C90" s="71"/>
      <c r="D90" s="71"/>
      <c r="E90" s="71"/>
      <c r="F90" s="71"/>
    </row>
    <row r="91" spans="1:22" x14ac:dyDescent="0.2">
      <c r="A91" s="71" t="s">
        <v>100</v>
      </c>
      <c r="B91" s="71"/>
      <c r="C91" s="71"/>
      <c r="D91" s="71"/>
      <c r="E91" s="71"/>
      <c r="F91" s="71"/>
    </row>
  </sheetData>
  <mergeCells count="7">
    <mergeCell ref="B27:B36"/>
    <mergeCell ref="F27:F36"/>
    <mergeCell ref="A4:F4"/>
    <mergeCell ref="A5:F5"/>
    <mergeCell ref="C27:C36"/>
    <mergeCell ref="D27:D36"/>
    <mergeCell ref="E27:E36"/>
  </mergeCells>
  <pageMargins left="0.51181102362204722" right="0.19685039370078741" top="0.35433070866141736" bottom="0.39370078740157483" header="0.31496062992125984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"/>
  <sheetViews>
    <sheetView zoomScaleNormal="100" workbookViewId="0">
      <selection activeCell="P42" sqref="P42"/>
    </sheetView>
  </sheetViews>
  <sheetFormatPr defaultRowHeight="12.75" x14ac:dyDescent="0.2"/>
  <cols>
    <col min="1" max="1" width="51" style="243" customWidth="1"/>
    <col min="2" max="2" width="10" style="762" customWidth="1"/>
    <col min="3" max="3" width="12" style="762" customWidth="1"/>
    <col min="4" max="4" width="10.7109375" style="762" customWidth="1"/>
    <col min="5" max="6" width="10.42578125" style="762" customWidth="1"/>
    <col min="7" max="7" width="11.42578125" style="763" customWidth="1"/>
    <col min="8" max="8" width="9.85546875" style="762" customWidth="1"/>
    <col min="9" max="9" width="12" style="762" customWidth="1"/>
    <col min="10" max="10" width="11.42578125" style="762" customWidth="1"/>
    <col min="11" max="11" width="11.140625" style="762" customWidth="1"/>
    <col min="12" max="13" width="12.28515625" style="762" customWidth="1"/>
    <col min="14" max="16384" width="9.140625" style="243"/>
  </cols>
  <sheetData>
    <row r="1" spans="1:25" x14ac:dyDescent="0.2">
      <c r="A1" s="950" t="s">
        <v>258</v>
      </c>
      <c r="B1" s="950"/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</row>
    <row r="2" spans="1:25" x14ac:dyDescent="0.2">
      <c r="A2" s="923"/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754" t="str">
        <f>'1.Bev-kiad.'!F2</f>
        <v>a 7/2022.(V.27.) önkormányzati rendelethez</v>
      </c>
      <c r="N2" s="760"/>
      <c r="O2" s="760"/>
      <c r="P2" s="760"/>
      <c r="Q2" s="760"/>
      <c r="R2" s="760"/>
      <c r="S2" s="760"/>
      <c r="T2" s="760"/>
      <c r="U2" s="760"/>
      <c r="V2" s="760"/>
      <c r="W2" s="760"/>
      <c r="X2" s="760"/>
      <c r="Y2" s="760"/>
    </row>
    <row r="3" spans="1:25" x14ac:dyDescent="0.2">
      <c r="A3" s="761"/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212" t="s">
        <v>1314</v>
      </c>
      <c r="N3" s="760"/>
      <c r="O3" s="760"/>
      <c r="P3" s="760"/>
      <c r="Q3" s="760"/>
      <c r="R3" s="760"/>
      <c r="S3" s="760"/>
      <c r="T3" s="760"/>
      <c r="U3" s="760"/>
      <c r="V3" s="760"/>
      <c r="W3" s="760"/>
      <c r="X3" s="760"/>
      <c r="Y3" s="760"/>
    </row>
    <row r="4" spans="1:25" ht="15" customHeight="1" x14ac:dyDescent="0.2">
      <c r="A4" s="951" t="s">
        <v>1016</v>
      </c>
      <c r="B4" s="951"/>
      <c r="C4" s="951"/>
      <c r="D4" s="951"/>
      <c r="E4" s="951"/>
      <c r="F4" s="951"/>
      <c r="G4" s="951"/>
      <c r="H4" s="951"/>
      <c r="I4" s="951"/>
      <c r="J4" s="951"/>
      <c r="K4" s="951"/>
      <c r="L4" s="951"/>
      <c r="M4" s="951"/>
      <c r="N4" s="760"/>
      <c r="O4" s="760"/>
      <c r="P4" s="760"/>
      <c r="Q4" s="760"/>
      <c r="R4" s="760"/>
      <c r="S4" s="760"/>
      <c r="T4" s="760"/>
      <c r="U4" s="760"/>
      <c r="V4" s="760"/>
      <c r="W4" s="760"/>
      <c r="X4" s="760"/>
      <c r="Y4" s="760"/>
    </row>
    <row r="5" spans="1:25" ht="12.95" customHeight="1" thickBot="1" x14ac:dyDescent="0.25">
      <c r="M5" s="754" t="s">
        <v>0</v>
      </c>
    </row>
    <row r="6" spans="1:25" ht="16.5" customHeight="1" x14ac:dyDescent="0.2">
      <c r="A6" s="952"/>
      <c r="B6" s="954" t="s">
        <v>63</v>
      </c>
      <c r="C6" s="954"/>
      <c r="D6" s="954"/>
      <c r="E6" s="954"/>
      <c r="F6" s="954"/>
      <c r="G6" s="954"/>
      <c r="H6" s="954" t="s">
        <v>390</v>
      </c>
      <c r="I6" s="954"/>
      <c r="J6" s="954"/>
      <c r="K6" s="954"/>
      <c r="L6" s="954"/>
      <c r="M6" s="955" t="s">
        <v>64</v>
      </c>
    </row>
    <row r="7" spans="1:25" ht="27.75" customHeight="1" x14ac:dyDescent="0.2">
      <c r="A7" s="953"/>
      <c r="B7" s="949" t="s">
        <v>385</v>
      </c>
      <c r="C7" s="949" t="s">
        <v>432</v>
      </c>
      <c r="D7" s="949"/>
      <c r="E7" s="957" t="s">
        <v>503</v>
      </c>
      <c r="F7" s="949" t="s">
        <v>442</v>
      </c>
      <c r="G7" s="949" t="s">
        <v>6</v>
      </c>
      <c r="H7" s="949" t="s">
        <v>404</v>
      </c>
      <c r="I7" s="949" t="s">
        <v>386</v>
      </c>
      <c r="J7" s="949" t="s">
        <v>445</v>
      </c>
      <c r="K7" s="959" t="s">
        <v>507</v>
      </c>
      <c r="L7" s="949" t="s">
        <v>11</v>
      </c>
      <c r="M7" s="956"/>
    </row>
    <row r="8" spans="1:25" ht="42.75" customHeight="1" thickBot="1" x14ac:dyDescent="0.25">
      <c r="A8" s="953"/>
      <c r="B8" s="949"/>
      <c r="C8" s="76" t="s">
        <v>501</v>
      </c>
      <c r="D8" s="76" t="s">
        <v>502</v>
      </c>
      <c r="E8" s="958"/>
      <c r="F8" s="949"/>
      <c r="G8" s="949"/>
      <c r="H8" s="949"/>
      <c r="I8" s="949"/>
      <c r="J8" s="949"/>
      <c r="K8" s="960"/>
      <c r="L8" s="949"/>
      <c r="M8" s="956"/>
    </row>
    <row r="9" spans="1:25" ht="16.5" customHeight="1" thickBot="1" x14ac:dyDescent="0.25">
      <c r="A9" s="143" t="s">
        <v>1017</v>
      </c>
      <c r="B9" s="151">
        <f t="shared" ref="B9:L9" si="0">B15+B22+B28</f>
        <v>771691</v>
      </c>
      <c r="C9" s="151">
        <f t="shared" si="0"/>
        <v>0</v>
      </c>
      <c r="D9" s="151">
        <f t="shared" si="0"/>
        <v>17000</v>
      </c>
      <c r="E9" s="151">
        <f t="shared" si="0"/>
        <v>0</v>
      </c>
      <c r="F9" s="151">
        <f t="shared" si="0"/>
        <v>252154</v>
      </c>
      <c r="G9" s="151">
        <f t="shared" si="0"/>
        <v>1040845</v>
      </c>
      <c r="H9" s="151">
        <f t="shared" si="0"/>
        <v>23534</v>
      </c>
      <c r="I9" s="151">
        <f t="shared" si="0"/>
        <v>50300</v>
      </c>
      <c r="J9" s="151">
        <f t="shared" si="0"/>
        <v>729865</v>
      </c>
      <c r="K9" s="151">
        <f t="shared" si="0"/>
        <v>0</v>
      </c>
      <c r="L9" s="151">
        <f t="shared" si="0"/>
        <v>803699</v>
      </c>
      <c r="M9" s="145">
        <f t="shared" ref="M9:M28" si="1">SUM(L9,G9)</f>
        <v>1844544</v>
      </c>
    </row>
    <row r="10" spans="1:25" ht="16.5" hidden="1" customHeight="1" thickBot="1" x14ac:dyDescent="0.25">
      <c r="A10" s="143" t="s">
        <v>1230</v>
      </c>
      <c r="B10" s="151">
        <f t="shared" ref="B10:L10" si="2">B16+B23</f>
        <v>783731</v>
      </c>
      <c r="C10" s="151">
        <f t="shared" si="2"/>
        <v>0</v>
      </c>
      <c r="D10" s="151">
        <f t="shared" si="2"/>
        <v>22120</v>
      </c>
      <c r="E10" s="151">
        <f t="shared" si="2"/>
        <v>0</v>
      </c>
      <c r="F10" s="151">
        <f t="shared" si="2"/>
        <v>252154</v>
      </c>
      <c r="G10" s="151">
        <f t="shared" si="2"/>
        <v>1058005</v>
      </c>
      <c r="H10" s="151">
        <f t="shared" si="2"/>
        <v>144238</v>
      </c>
      <c r="I10" s="151">
        <f t="shared" si="2"/>
        <v>50300</v>
      </c>
      <c r="J10" s="151">
        <f t="shared" si="2"/>
        <v>729865</v>
      </c>
      <c r="K10" s="151">
        <f t="shared" si="2"/>
        <v>0</v>
      </c>
      <c r="L10" s="151">
        <f t="shared" si="2"/>
        <v>924403</v>
      </c>
      <c r="M10" s="145">
        <f t="shared" si="1"/>
        <v>1982408</v>
      </c>
    </row>
    <row r="11" spans="1:25" ht="16.5" customHeight="1" thickBot="1" x14ac:dyDescent="0.25">
      <c r="A11" s="143" t="s">
        <v>1293</v>
      </c>
      <c r="B11" s="151">
        <f t="shared" ref="B11:L11" si="3">B17+B24</f>
        <v>890645</v>
      </c>
      <c r="C11" s="151">
        <f t="shared" si="3"/>
        <v>0</v>
      </c>
      <c r="D11" s="151">
        <f t="shared" si="3"/>
        <v>17000</v>
      </c>
      <c r="E11" s="151">
        <f t="shared" si="3"/>
        <v>0</v>
      </c>
      <c r="F11" s="151">
        <f t="shared" si="3"/>
        <v>252154</v>
      </c>
      <c r="G11" s="151">
        <f t="shared" si="3"/>
        <v>1159799</v>
      </c>
      <c r="H11" s="151">
        <f t="shared" si="3"/>
        <v>159070</v>
      </c>
      <c r="I11" s="151">
        <f t="shared" si="3"/>
        <v>56875</v>
      </c>
      <c r="J11" s="151">
        <f t="shared" si="3"/>
        <v>729865</v>
      </c>
      <c r="K11" s="151">
        <f t="shared" si="3"/>
        <v>342000</v>
      </c>
      <c r="L11" s="151">
        <f t="shared" si="3"/>
        <v>1287810</v>
      </c>
      <c r="M11" s="145">
        <f>SUM(L11,G11)</f>
        <v>2447609</v>
      </c>
    </row>
    <row r="12" spans="1:25" ht="16.5" customHeight="1" thickBot="1" x14ac:dyDescent="0.25">
      <c r="A12" s="143" t="s">
        <v>1391</v>
      </c>
      <c r="B12" s="151">
        <f t="shared" ref="B12:L12" si="4">B18+B25</f>
        <v>945085</v>
      </c>
      <c r="C12" s="151">
        <f t="shared" si="4"/>
        <v>0</v>
      </c>
      <c r="D12" s="151">
        <f t="shared" si="4"/>
        <v>20137</v>
      </c>
      <c r="E12" s="151">
        <f t="shared" si="4"/>
        <v>15916</v>
      </c>
      <c r="F12" s="151">
        <f t="shared" si="4"/>
        <v>252154</v>
      </c>
      <c r="G12" s="151">
        <f t="shared" si="4"/>
        <v>1233292</v>
      </c>
      <c r="H12" s="151">
        <f t="shared" si="4"/>
        <v>159070</v>
      </c>
      <c r="I12" s="151">
        <f t="shared" si="4"/>
        <v>56940</v>
      </c>
      <c r="J12" s="151">
        <f t="shared" si="4"/>
        <v>729865</v>
      </c>
      <c r="K12" s="151">
        <f t="shared" si="4"/>
        <v>342000</v>
      </c>
      <c r="L12" s="151">
        <f t="shared" si="4"/>
        <v>1287875</v>
      </c>
      <c r="M12" s="145">
        <f>SUM(L12,G12)</f>
        <v>2521167</v>
      </c>
    </row>
    <row r="13" spans="1:25" ht="16.5" hidden="1" customHeight="1" thickBot="1" x14ac:dyDescent="0.25">
      <c r="A13" s="143"/>
      <c r="B13" s="151">
        <f t="shared" ref="B13:L13" si="5">B19+B26</f>
        <v>0</v>
      </c>
      <c r="C13" s="151">
        <f t="shared" si="5"/>
        <v>0</v>
      </c>
      <c r="D13" s="151">
        <f t="shared" si="5"/>
        <v>0</v>
      </c>
      <c r="E13" s="151">
        <f t="shared" si="5"/>
        <v>0</v>
      </c>
      <c r="F13" s="151">
        <f t="shared" si="5"/>
        <v>0</v>
      </c>
      <c r="G13" s="151">
        <f t="shared" si="5"/>
        <v>0</v>
      </c>
      <c r="H13" s="151">
        <f t="shared" si="5"/>
        <v>0</v>
      </c>
      <c r="I13" s="151">
        <f t="shared" si="5"/>
        <v>0</v>
      </c>
      <c r="J13" s="151">
        <f t="shared" si="5"/>
        <v>0</v>
      </c>
      <c r="K13" s="151">
        <f t="shared" si="5"/>
        <v>0</v>
      </c>
      <c r="L13" s="151">
        <f t="shared" si="5"/>
        <v>0</v>
      </c>
      <c r="M13" s="145">
        <f>SUM(L13,G13)</f>
        <v>0</v>
      </c>
    </row>
    <row r="14" spans="1:25" ht="16.5" hidden="1" customHeight="1" thickBot="1" x14ac:dyDescent="0.25">
      <c r="A14" s="143" t="s">
        <v>1024</v>
      </c>
      <c r="B14" s="151">
        <f t="shared" ref="B14:L14" si="6">B20+B27</f>
        <v>912714</v>
      </c>
      <c r="C14" s="151">
        <f t="shared" si="6"/>
        <v>0</v>
      </c>
      <c r="D14" s="151">
        <f t="shared" si="6"/>
        <v>20137</v>
      </c>
      <c r="E14" s="151">
        <f t="shared" si="6"/>
        <v>15916</v>
      </c>
      <c r="F14" s="151">
        <f t="shared" si="6"/>
        <v>252154</v>
      </c>
      <c r="G14" s="151">
        <f t="shared" si="6"/>
        <v>1200921</v>
      </c>
      <c r="H14" s="151">
        <f t="shared" si="6"/>
        <v>38365</v>
      </c>
      <c r="I14" s="151">
        <f t="shared" si="6"/>
        <v>56931</v>
      </c>
      <c r="J14" s="151">
        <f t="shared" si="6"/>
        <v>729865</v>
      </c>
      <c r="K14" s="151">
        <f t="shared" si="6"/>
        <v>0</v>
      </c>
      <c r="L14" s="151">
        <f t="shared" si="6"/>
        <v>825161</v>
      </c>
      <c r="M14" s="145">
        <f>SUM(L14,G14)</f>
        <v>2026082</v>
      </c>
    </row>
    <row r="15" spans="1:25" ht="16.5" customHeight="1" x14ac:dyDescent="0.2">
      <c r="A15" s="764" t="s">
        <v>1018</v>
      </c>
      <c r="B15" s="326">
        <f>SUM('7.finanszírozás.'!C10-'2.működés'!C95)</f>
        <v>771691</v>
      </c>
      <c r="C15" s="356"/>
      <c r="D15" s="326">
        <f>SUM('2.működés'!C95)</f>
        <v>17000</v>
      </c>
      <c r="E15" s="326">
        <f>'2.működés'!C109</f>
        <v>0</v>
      </c>
      <c r="F15" s="326">
        <f>SUM('2.működés'!C104-'7.finanszírozás.'!D34)</f>
        <v>252154</v>
      </c>
      <c r="G15" s="326">
        <f>SUM(B15:F15)</f>
        <v>1040845</v>
      </c>
      <c r="H15" s="326"/>
      <c r="I15" s="326"/>
      <c r="J15" s="326">
        <f>'1.Bev-kiad.'!C58</f>
        <v>729865</v>
      </c>
      <c r="K15" s="326"/>
      <c r="L15" s="326">
        <f>SUM(H15:K15)</f>
        <v>729865</v>
      </c>
      <c r="M15" s="370">
        <f>SUM(L15,G15)</f>
        <v>1770710</v>
      </c>
    </row>
    <row r="16" spans="1:25" ht="16.5" hidden="1" customHeight="1" x14ac:dyDescent="0.2">
      <c r="A16" s="764" t="s">
        <v>1231</v>
      </c>
      <c r="B16" s="326">
        <f>SUM('7.finanszírozás.'!C11-'2.működés'!D95)</f>
        <v>783731</v>
      </c>
      <c r="C16" s="766"/>
      <c r="D16" s="326">
        <f>SUM('2.működés'!D95)</f>
        <v>22120</v>
      </c>
      <c r="E16" s="326">
        <f>'2.működés'!D109</f>
        <v>0</v>
      </c>
      <c r="F16" s="326">
        <f>SUM('2.működés'!D104-'7.finanszírozás.'!D35)</f>
        <v>252154</v>
      </c>
      <c r="G16" s="765">
        <f t="shared" ref="G16:G28" si="7">SUM(B16:F16)</f>
        <v>1058005</v>
      </c>
      <c r="H16" s="765"/>
      <c r="I16" s="765"/>
      <c r="J16" s="326">
        <f>'1.Bev-kiad.'!D58</f>
        <v>729865</v>
      </c>
      <c r="K16" s="765"/>
      <c r="L16" s="765">
        <f t="shared" ref="L16:L28" si="8">SUM(H16:K16)</f>
        <v>729865</v>
      </c>
      <c r="M16" s="767">
        <f t="shared" si="1"/>
        <v>1787870</v>
      </c>
    </row>
    <row r="17" spans="1:13" ht="16.5" customHeight="1" x14ac:dyDescent="0.2">
      <c r="A17" s="764" t="s">
        <v>1294</v>
      </c>
      <c r="B17" s="326">
        <f>SUM('7.finanszírozás.'!C12-'2.működés'!E99)</f>
        <v>890645</v>
      </c>
      <c r="C17" s="766"/>
      <c r="D17" s="326">
        <f>SUM('2.működés'!E99)</f>
        <v>17000</v>
      </c>
      <c r="E17" s="326">
        <f>'2.működés'!E109</f>
        <v>0</v>
      </c>
      <c r="F17" s="326">
        <f>SUM('2.működés'!E104-'7.finanszírozás.'!D36)</f>
        <v>252154</v>
      </c>
      <c r="G17" s="765">
        <f t="shared" si="7"/>
        <v>1159799</v>
      </c>
      <c r="H17" s="765"/>
      <c r="I17" s="765"/>
      <c r="J17" s="326">
        <f>'1.Bev-kiad.'!E58</f>
        <v>729865</v>
      </c>
      <c r="K17" s="765"/>
      <c r="L17" s="765">
        <f t="shared" si="8"/>
        <v>729865</v>
      </c>
      <c r="M17" s="767">
        <f t="shared" si="1"/>
        <v>1889664</v>
      </c>
    </row>
    <row r="18" spans="1:13" ht="16.5" customHeight="1" x14ac:dyDescent="0.2">
      <c r="A18" s="764" t="s">
        <v>1392</v>
      </c>
      <c r="B18" s="326">
        <f>SUM('7.finanszírozás.'!C13-'2.működés'!F99)</f>
        <v>945085</v>
      </c>
      <c r="C18" s="766"/>
      <c r="D18" s="326">
        <f>SUM('2.működés'!F99)</f>
        <v>20137</v>
      </c>
      <c r="E18" s="326">
        <f>'2.működés'!F109</f>
        <v>15916</v>
      </c>
      <c r="F18" s="326">
        <f>SUM('2.működés'!F104-'7.finanszírozás.'!D37)</f>
        <v>252154</v>
      </c>
      <c r="G18" s="765">
        <f t="shared" si="7"/>
        <v>1233292</v>
      </c>
      <c r="H18" s="765"/>
      <c r="I18" s="765"/>
      <c r="J18" s="326">
        <f>'1.Bev-kiad.'!F58</f>
        <v>729865</v>
      </c>
      <c r="K18" s="765"/>
      <c r="L18" s="765">
        <f t="shared" si="8"/>
        <v>729865</v>
      </c>
      <c r="M18" s="767">
        <f t="shared" si="1"/>
        <v>1963157</v>
      </c>
    </row>
    <row r="19" spans="1:13" ht="16.5" hidden="1" customHeight="1" x14ac:dyDescent="0.2">
      <c r="A19" s="764"/>
      <c r="B19" s="326"/>
      <c r="C19" s="766"/>
      <c r="D19" s="326"/>
      <c r="E19" s="326"/>
      <c r="F19" s="326"/>
      <c r="G19" s="765">
        <f t="shared" si="7"/>
        <v>0</v>
      </c>
      <c r="H19" s="765"/>
      <c r="I19" s="765"/>
      <c r="J19" s="326"/>
      <c r="K19" s="765"/>
      <c r="L19" s="765">
        <f t="shared" si="8"/>
        <v>0</v>
      </c>
      <c r="M19" s="767">
        <f>SUM(L19,G19)</f>
        <v>0</v>
      </c>
    </row>
    <row r="20" spans="1:13" ht="16.5" hidden="1" customHeight="1" x14ac:dyDescent="0.2">
      <c r="A20" s="764" t="s">
        <v>1023</v>
      </c>
      <c r="B20" s="326">
        <f>SUM('7.finanszírozás.'!C15-'2.működés'!G99)</f>
        <v>912714</v>
      </c>
      <c r="C20" s="766"/>
      <c r="D20" s="326">
        <f>SUM('2.működés'!G99)</f>
        <v>20137</v>
      </c>
      <c r="E20" s="326">
        <f>'2.működés'!G109</f>
        <v>15916</v>
      </c>
      <c r="F20" s="326">
        <f>SUM('2.működés'!G104-'7.finanszírozás.'!D39)</f>
        <v>252154</v>
      </c>
      <c r="G20" s="765">
        <f>SUM(B20:F20)</f>
        <v>1200921</v>
      </c>
      <c r="H20" s="765"/>
      <c r="I20" s="765"/>
      <c r="J20" s="326">
        <f>'1.Bev-kiad.'!G58</f>
        <v>729865</v>
      </c>
      <c r="K20" s="765"/>
      <c r="L20" s="765">
        <f>SUM(H20:K20)</f>
        <v>729865</v>
      </c>
      <c r="M20" s="767">
        <f>SUM(L20,G20)</f>
        <v>1930786</v>
      </c>
    </row>
    <row r="21" spans="1:13" ht="16.5" hidden="1" customHeight="1" x14ac:dyDescent="0.2">
      <c r="B21" s="326"/>
      <c r="C21" s="766"/>
      <c r="D21" s="326"/>
      <c r="E21" s="326"/>
      <c r="F21" s="765"/>
      <c r="G21" s="765">
        <f t="shared" si="7"/>
        <v>0</v>
      </c>
      <c r="H21" s="765"/>
      <c r="I21" s="765"/>
      <c r="J21" s="765"/>
      <c r="K21" s="765"/>
      <c r="L21" s="765">
        <f t="shared" si="8"/>
        <v>0</v>
      </c>
      <c r="M21" s="767">
        <f>SUM(L21,G21)</f>
        <v>0</v>
      </c>
    </row>
    <row r="22" spans="1:13" ht="16.5" customHeight="1" x14ac:dyDescent="0.2">
      <c r="A22" s="764" t="s">
        <v>1019</v>
      </c>
      <c r="B22" s="297"/>
      <c r="C22" s="297"/>
      <c r="D22" s="297"/>
      <c r="E22" s="297"/>
      <c r="F22" s="297"/>
      <c r="G22" s="297">
        <f>SUM(B22:F22)</f>
        <v>0</v>
      </c>
      <c r="H22" s="285">
        <f>'3.felh'!C13</f>
        <v>23534</v>
      </c>
      <c r="I22" s="285">
        <f>'3.felh'!C20+'3.felh'!C26</f>
        <v>50300</v>
      </c>
      <c r="J22" s="97"/>
      <c r="K22" s="96">
        <f>SUM('3.felh'!C35)</f>
        <v>0</v>
      </c>
      <c r="L22" s="297">
        <f t="shared" si="8"/>
        <v>73834</v>
      </c>
      <c r="M22" s="769">
        <f t="shared" si="1"/>
        <v>73834</v>
      </c>
    </row>
    <row r="23" spans="1:13" ht="16.5" hidden="1" customHeight="1" x14ac:dyDescent="0.2">
      <c r="A23" s="764" t="s">
        <v>1232</v>
      </c>
      <c r="B23" s="770"/>
      <c r="C23" s="770"/>
      <c r="D23" s="770"/>
      <c r="E23" s="770"/>
      <c r="F23" s="770"/>
      <c r="G23" s="297">
        <f>SUM(B23:F23)</f>
        <v>0</v>
      </c>
      <c r="H23" s="285">
        <f>'3.felh'!D13</f>
        <v>144238</v>
      </c>
      <c r="I23" s="285">
        <f>'3.felh'!D20+'3.felh'!D26</f>
        <v>50300</v>
      </c>
      <c r="J23" s="97"/>
      <c r="K23" s="96">
        <f>SUM('3.felh'!D35)</f>
        <v>0</v>
      </c>
      <c r="L23" s="297">
        <f t="shared" si="8"/>
        <v>194538</v>
      </c>
      <c r="M23" s="769">
        <f t="shared" si="1"/>
        <v>194538</v>
      </c>
    </row>
    <row r="24" spans="1:13" ht="16.5" customHeight="1" x14ac:dyDescent="0.2">
      <c r="A24" s="764" t="s">
        <v>1295</v>
      </c>
      <c r="B24" s="770"/>
      <c r="C24" s="770"/>
      <c r="D24" s="770"/>
      <c r="E24" s="770"/>
      <c r="F24" s="770"/>
      <c r="G24" s="297">
        <f>SUM(B24:F24)</f>
        <v>0</v>
      </c>
      <c r="H24" s="285">
        <f>'3.felh'!E13</f>
        <v>159070</v>
      </c>
      <c r="I24" s="285">
        <f>'3.felh'!E20+'3.felh'!E26</f>
        <v>56875</v>
      </c>
      <c r="J24" s="97"/>
      <c r="K24" s="96">
        <f>SUM('3.felh'!E35)</f>
        <v>342000</v>
      </c>
      <c r="L24" s="297">
        <f t="shared" si="8"/>
        <v>557945</v>
      </c>
      <c r="M24" s="769">
        <f t="shared" si="1"/>
        <v>557945</v>
      </c>
    </row>
    <row r="25" spans="1:13" ht="16.5" customHeight="1" x14ac:dyDescent="0.2">
      <c r="A25" s="764" t="s">
        <v>1393</v>
      </c>
      <c r="B25" s="770"/>
      <c r="C25" s="770"/>
      <c r="D25" s="770"/>
      <c r="E25" s="770"/>
      <c r="F25" s="770"/>
      <c r="G25" s="297">
        <f t="shared" si="7"/>
        <v>0</v>
      </c>
      <c r="H25" s="285">
        <f>'3.felh'!F13</f>
        <v>159070</v>
      </c>
      <c r="I25" s="285">
        <f>'3.felh'!F20+'3.felh'!F26</f>
        <v>56940</v>
      </c>
      <c r="J25" s="97"/>
      <c r="K25" s="96">
        <f>SUM('3.felh'!F35)</f>
        <v>342000</v>
      </c>
      <c r="L25" s="297">
        <f t="shared" si="8"/>
        <v>558010</v>
      </c>
      <c r="M25" s="769">
        <f t="shared" si="1"/>
        <v>558010</v>
      </c>
    </row>
    <row r="26" spans="1:13" ht="16.5" hidden="1" customHeight="1" x14ac:dyDescent="0.2">
      <c r="A26" s="764"/>
      <c r="B26" s="770"/>
      <c r="C26" s="770"/>
      <c r="D26" s="770"/>
      <c r="E26" s="770"/>
      <c r="F26" s="770"/>
      <c r="G26" s="297">
        <f t="shared" si="7"/>
        <v>0</v>
      </c>
      <c r="H26" s="285"/>
      <c r="I26" s="285"/>
      <c r="J26" s="97"/>
      <c r="K26" s="96"/>
      <c r="L26" s="297">
        <f t="shared" si="8"/>
        <v>0</v>
      </c>
      <c r="M26" s="769">
        <f>SUM(L26,G26)</f>
        <v>0</v>
      </c>
    </row>
    <row r="27" spans="1:13" ht="16.5" hidden="1" customHeight="1" x14ac:dyDescent="0.2">
      <c r="A27" s="764" t="str">
        <f>A20</f>
        <v xml:space="preserve">       Teljesítés 2021.12.31.</v>
      </c>
      <c r="B27" s="770"/>
      <c r="C27" s="770"/>
      <c r="D27" s="770"/>
      <c r="E27" s="770"/>
      <c r="F27" s="770"/>
      <c r="G27" s="297">
        <f t="shared" si="7"/>
        <v>0</v>
      </c>
      <c r="H27" s="285">
        <f>'3.felh'!G13</f>
        <v>38365</v>
      </c>
      <c r="I27" s="285">
        <f>'3.felh'!G20+'3.felh'!G26</f>
        <v>56931</v>
      </c>
      <c r="J27" s="97"/>
      <c r="K27" s="96">
        <f>SUM('3.felh'!G35)</f>
        <v>0</v>
      </c>
      <c r="L27" s="297">
        <f t="shared" si="8"/>
        <v>95296</v>
      </c>
      <c r="M27" s="769">
        <f>SUM(L27,G26)</f>
        <v>95296</v>
      </c>
    </row>
    <row r="28" spans="1:13" ht="13.5" thickBot="1" x14ac:dyDescent="0.25">
      <c r="A28" s="771" t="s">
        <v>102</v>
      </c>
      <c r="B28" s="772"/>
      <c r="C28" s="772"/>
      <c r="D28" s="772"/>
      <c r="E28" s="772"/>
      <c r="F28" s="772"/>
      <c r="G28" s="297">
        <f t="shared" si="7"/>
        <v>0</v>
      </c>
      <c r="H28" s="772"/>
      <c r="I28" s="772"/>
      <c r="J28" s="772"/>
      <c r="K28" s="772"/>
      <c r="L28" s="297">
        <f t="shared" si="8"/>
        <v>0</v>
      </c>
      <c r="M28" s="769">
        <f t="shared" si="1"/>
        <v>0</v>
      </c>
    </row>
    <row r="29" spans="1:13" ht="15.75" customHeight="1" thickBot="1" x14ac:dyDescent="0.25">
      <c r="A29" s="143" t="s">
        <v>1020</v>
      </c>
      <c r="B29" s="151">
        <f t="shared" ref="B29:G33" si="9">SUM(B35)</f>
        <v>35925</v>
      </c>
      <c r="C29" s="151">
        <f t="shared" si="9"/>
        <v>131680</v>
      </c>
      <c r="D29" s="151">
        <f t="shared" si="9"/>
        <v>0</v>
      </c>
      <c r="E29" s="151">
        <f t="shared" si="9"/>
        <v>41464</v>
      </c>
      <c r="F29" s="151">
        <f t="shared" si="9"/>
        <v>17881</v>
      </c>
      <c r="G29" s="151">
        <f t="shared" si="9"/>
        <v>226950</v>
      </c>
      <c r="H29" s="151"/>
      <c r="I29" s="151"/>
      <c r="J29" s="151"/>
      <c r="K29" s="151"/>
      <c r="L29" s="151"/>
      <c r="M29" s="145">
        <f t="shared" ref="M29:M40" si="10">SUM(G29)</f>
        <v>226950</v>
      </c>
    </row>
    <row r="30" spans="1:13" ht="15.75" hidden="1" customHeight="1" thickBot="1" x14ac:dyDescent="0.25">
      <c r="A30" s="143" t="s">
        <v>1233</v>
      </c>
      <c r="B30" s="151">
        <f t="shared" si="9"/>
        <v>36097</v>
      </c>
      <c r="C30" s="151">
        <f t="shared" si="9"/>
        <v>132089</v>
      </c>
      <c r="D30" s="151">
        <f t="shared" si="9"/>
        <v>0</v>
      </c>
      <c r="E30" s="151">
        <f t="shared" si="9"/>
        <v>48029</v>
      </c>
      <c r="F30" s="151">
        <f t="shared" si="9"/>
        <v>17881</v>
      </c>
      <c r="G30" s="151">
        <f t="shared" si="9"/>
        <v>234096</v>
      </c>
      <c r="H30" s="151"/>
      <c r="I30" s="151"/>
      <c r="J30" s="151"/>
      <c r="K30" s="151"/>
      <c r="L30" s="151"/>
      <c r="M30" s="145">
        <f t="shared" si="10"/>
        <v>234096</v>
      </c>
    </row>
    <row r="31" spans="1:13" ht="15.75" customHeight="1" thickBot="1" x14ac:dyDescent="0.25">
      <c r="A31" s="143" t="s">
        <v>1296</v>
      </c>
      <c r="B31" s="151">
        <f t="shared" si="9"/>
        <v>36097</v>
      </c>
      <c r="C31" s="151">
        <f t="shared" si="9"/>
        <v>132089</v>
      </c>
      <c r="D31" s="151">
        <f t="shared" si="9"/>
        <v>0</v>
      </c>
      <c r="E31" s="151">
        <f t="shared" si="9"/>
        <v>48029</v>
      </c>
      <c r="F31" s="151">
        <f t="shared" si="9"/>
        <v>17881</v>
      </c>
      <c r="G31" s="151">
        <f t="shared" si="9"/>
        <v>234096</v>
      </c>
      <c r="H31" s="151"/>
      <c r="I31" s="151"/>
      <c r="J31" s="151"/>
      <c r="K31" s="151"/>
      <c r="L31" s="151"/>
      <c r="M31" s="145">
        <f t="shared" si="10"/>
        <v>234096</v>
      </c>
    </row>
    <row r="32" spans="1:13" ht="15.75" customHeight="1" thickBot="1" x14ac:dyDescent="0.25">
      <c r="A32" s="143" t="s">
        <v>1394</v>
      </c>
      <c r="B32" s="151">
        <f t="shared" si="9"/>
        <v>36643</v>
      </c>
      <c r="C32" s="151">
        <f t="shared" si="9"/>
        <v>132089</v>
      </c>
      <c r="D32" s="151">
        <f t="shared" si="9"/>
        <v>0</v>
      </c>
      <c r="E32" s="151">
        <f t="shared" si="9"/>
        <v>50487</v>
      </c>
      <c r="F32" s="151">
        <f t="shared" si="9"/>
        <v>17881</v>
      </c>
      <c r="G32" s="151">
        <f t="shared" si="9"/>
        <v>237100</v>
      </c>
      <c r="H32" s="151"/>
      <c r="I32" s="151"/>
      <c r="J32" s="151"/>
      <c r="K32" s="151"/>
      <c r="L32" s="151"/>
      <c r="M32" s="145">
        <f t="shared" si="10"/>
        <v>237100</v>
      </c>
    </row>
    <row r="33" spans="1:13" ht="15.75" hidden="1" customHeight="1" thickBot="1" x14ac:dyDescent="0.25">
      <c r="A33" s="143"/>
      <c r="B33" s="151">
        <f t="shared" si="9"/>
        <v>0</v>
      </c>
      <c r="C33" s="151">
        <f t="shared" si="9"/>
        <v>0</v>
      </c>
      <c r="D33" s="151">
        <f t="shared" si="9"/>
        <v>0</v>
      </c>
      <c r="E33" s="151">
        <f t="shared" si="9"/>
        <v>0</v>
      </c>
      <c r="F33" s="151">
        <f t="shared" si="9"/>
        <v>0</v>
      </c>
      <c r="G33" s="151">
        <f t="shared" si="9"/>
        <v>0</v>
      </c>
      <c r="H33" s="151"/>
      <c r="I33" s="151"/>
      <c r="J33" s="151"/>
      <c r="K33" s="151"/>
      <c r="L33" s="151"/>
      <c r="M33" s="145">
        <f t="shared" si="10"/>
        <v>0</v>
      </c>
    </row>
    <row r="34" spans="1:13" ht="15.75" hidden="1" customHeight="1" thickBot="1" x14ac:dyDescent="0.25">
      <c r="A34" s="143" t="s">
        <v>1025</v>
      </c>
      <c r="B34" s="151">
        <f t="shared" ref="B34:G34" si="11">SUM(B40)</f>
        <v>34216</v>
      </c>
      <c r="C34" s="151">
        <f t="shared" si="11"/>
        <v>132089</v>
      </c>
      <c r="D34" s="151">
        <f t="shared" si="11"/>
        <v>0</v>
      </c>
      <c r="E34" s="151">
        <f t="shared" si="11"/>
        <v>50487</v>
      </c>
      <c r="F34" s="151">
        <f t="shared" si="11"/>
        <v>17881</v>
      </c>
      <c r="G34" s="151">
        <f t="shared" si="11"/>
        <v>234673</v>
      </c>
      <c r="H34" s="151"/>
      <c r="I34" s="151"/>
      <c r="J34" s="151"/>
      <c r="K34" s="151"/>
      <c r="L34" s="151"/>
      <c r="M34" s="145">
        <f t="shared" si="10"/>
        <v>234673</v>
      </c>
    </row>
    <row r="35" spans="1:13" ht="15.75" customHeight="1" x14ac:dyDescent="0.2">
      <c r="A35" s="773" t="str">
        <f>A15</f>
        <v xml:space="preserve">       Kötelező (eredeti előirányzat 2021. év)</v>
      </c>
      <c r="B35" s="96">
        <f>SUM('7.finanszírozás.'!D10)</f>
        <v>35925</v>
      </c>
      <c r="C35" s="96">
        <f>SUM('7.finanszírozás.'!D46)</f>
        <v>131680</v>
      </c>
      <c r="D35" s="96"/>
      <c r="E35" s="96">
        <f>SUM('7.finanszírozás.'!D54)</f>
        <v>41464</v>
      </c>
      <c r="F35" s="96">
        <f>SUM('7.finanszírozás.'!D34)</f>
        <v>17881</v>
      </c>
      <c r="G35" s="96">
        <f t="shared" ref="G35:G40" si="12">SUM(B35:F35)</f>
        <v>226950</v>
      </c>
      <c r="H35" s="149"/>
      <c r="I35" s="149"/>
      <c r="J35" s="149"/>
      <c r="K35" s="149"/>
      <c r="L35" s="149"/>
      <c r="M35" s="372">
        <f t="shared" si="10"/>
        <v>226950</v>
      </c>
    </row>
    <row r="36" spans="1:13" ht="15.75" hidden="1" customHeight="1" x14ac:dyDescent="0.2">
      <c r="A36" s="773" t="str">
        <f>A16</f>
        <v xml:space="preserve">       Kötelező (módosított előirányzat 2021.07. havi)</v>
      </c>
      <c r="B36" s="96">
        <f>SUM('7.finanszírozás.'!D11)</f>
        <v>36097</v>
      </c>
      <c r="C36" s="96">
        <f>SUM('7.finanszírozás.'!D47)</f>
        <v>132089</v>
      </c>
      <c r="D36" s="96"/>
      <c r="E36" s="96">
        <f>SUM('7.finanszírozás.'!D55)</f>
        <v>48029</v>
      </c>
      <c r="F36" s="96">
        <f>SUM('7.finanszírozás.'!D35)</f>
        <v>17881</v>
      </c>
      <c r="G36" s="297">
        <f t="shared" si="12"/>
        <v>234096</v>
      </c>
      <c r="H36" s="774"/>
      <c r="I36" s="774"/>
      <c r="J36" s="774"/>
      <c r="K36" s="774"/>
      <c r="L36" s="774"/>
      <c r="M36" s="769">
        <f t="shared" si="10"/>
        <v>234096</v>
      </c>
    </row>
    <row r="37" spans="1:13" ht="15.75" customHeight="1" x14ac:dyDescent="0.2">
      <c r="A37" s="773" t="str">
        <f>A17</f>
        <v xml:space="preserve">       Kötelező (módosított előirányzat 2021.10. havi)</v>
      </c>
      <c r="B37" s="96">
        <f>SUM('7.finanszírozás.'!D12)</f>
        <v>36097</v>
      </c>
      <c r="C37" s="96">
        <f>SUM('7.finanszírozás.'!D48)</f>
        <v>132089</v>
      </c>
      <c r="D37" s="96"/>
      <c r="E37" s="96">
        <f>SUM('7.finanszírozás.'!D56)</f>
        <v>48029</v>
      </c>
      <c r="F37" s="96">
        <f>SUM('7.finanszírozás.'!D36)</f>
        <v>17881</v>
      </c>
      <c r="G37" s="297">
        <f t="shared" si="12"/>
        <v>234096</v>
      </c>
      <c r="H37" s="774"/>
      <c r="I37" s="774"/>
      <c r="J37" s="774"/>
      <c r="K37" s="774"/>
      <c r="L37" s="774"/>
      <c r="M37" s="769">
        <f t="shared" si="10"/>
        <v>234096</v>
      </c>
    </row>
    <row r="38" spans="1:13" ht="15.75" customHeight="1" x14ac:dyDescent="0.2">
      <c r="A38" s="773" t="str">
        <f>A18</f>
        <v xml:space="preserve">       Kötelező (módosított előirányzat 2021.12.31.havi)</v>
      </c>
      <c r="B38" s="96">
        <f>SUM('7.finanszírozás.'!D13)</f>
        <v>36643</v>
      </c>
      <c r="C38" s="96">
        <f>SUM('7.finanszírozás.'!D49)</f>
        <v>132089</v>
      </c>
      <c r="D38" s="96"/>
      <c r="E38" s="96">
        <f>SUM('7.finanszírozás.'!D57)</f>
        <v>50487</v>
      </c>
      <c r="F38" s="96">
        <f>SUM('7.finanszírozás.'!D37)</f>
        <v>17881</v>
      </c>
      <c r="G38" s="297">
        <f t="shared" si="12"/>
        <v>237100</v>
      </c>
      <c r="H38" s="774"/>
      <c r="I38" s="774"/>
      <c r="J38" s="774"/>
      <c r="K38" s="774"/>
      <c r="L38" s="774"/>
      <c r="M38" s="769">
        <f t="shared" si="10"/>
        <v>237100</v>
      </c>
    </row>
    <row r="39" spans="1:13" ht="15.75" hidden="1" customHeight="1" x14ac:dyDescent="0.2">
      <c r="A39" s="773"/>
      <c r="B39" s="96">
        <f>SUM('7.finanszírozás.'!D14)</f>
        <v>0</v>
      </c>
      <c r="C39" s="96">
        <f>SUM('7.finanszírozás.'!D50)</f>
        <v>0</v>
      </c>
      <c r="D39" s="96"/>
      <c r="E39" s="96">
        <f>SUM('7.finanszírozás.'!D58)</f>
        <v>0</v>
      </c>
      <c r="F39" s="96">
        <f>SUM('7.finanszírozás.'!D38)</f>
        <v>0</v>
      </c>
      <c r="G39" s="297">
        <f t="shared" si="12"/>
        <v>0</v>
      </c>
      <c r="H39" s="774"/>
      <c r="I39" s="774"/>
      <c r="J39" s="774"/>
      <c r="K39" s="774"/>
      <c r="L39" s="774"/>
      <c r="M39" s="769">
        <f t="shared" si="10"/>
        <v>0</v>
      </c>
    </row>
    <row r="40" spans="1:13" ht="15.75" hidden="1" customHeight="1" x14ac:dyDescent="0.2">
      <c r="A40" s="773" t="str">
        <f>A20</f>
        <v xml:space="preserve">       Teljesítés 2021.12.31.</v>
      </c>
      <c r="B40" s="96">
        <f>SUM('7.finanszírozás.'!D15)</f>
        <v>34216</v>
      </c>
      <c r="C40" s="96">
        <f>SUM('7.finanszírozás.'!D51)</f>
        <v>132089</v>
      </c>
      <c r="D40" s="96"/>
      <c r="E40" s="96">
        <f>SUM('7.finanszírozás.'!D59)</f>
        <v>50487</v>
      </c>
      <c r="F40" s="96">
        <f>SUM('7.finanszírozás.'!D39)</f>
        <v>17881</v>
      </c>
      <c r="G40" s="297">
        <f t="shared" si="12"/>
        <v>234673</v>
      </c>
      <c r="H40" s="774"/>
      <c r="I40" s="774"/>
      <c r="J40" s="774"/>
      <c r="K40" s="774"/>
      <c r="L40" s="774"/>
      <c r="M40" s="769">
        <f t="shared" si="10"/>
        <v>234673</v>
      </c>
    </row>
    <row r="41" spans="1:13" ht="15" customHeight="1" x14ac:dyDescent="0.2">
      <c r="A41" s="764" t="str">
        <f>A22</f>
        <v xml:space="preserve">       Nem kötelező (eredeti előirányzat 2021. év)</v>
      </c>
      <c r="B41" s="297"/>
      <c r="C41" s="297"/>
      <c r="D41" s="297"/>
      <c r="E41" s="297"/>
      <c r="F41" s="297"/>
      <c r="G41" s="768"/>
      <c r="H41" s="297"/>
      <c r="I41" s="297"/>
      <c r="J41" s="297"/>
      <c r="K41" s="297"/>
      <c r="L41" s="297"/>
      <c r="M41" s="775"/>
    </row>
    <row r="42" spans="1:13" ht="15.75" customHeight="1" thickBot="1" x14ac:dyDescent="0.25">
      <c r="A42" s="771" t="s">
        <v>102</v>
      </c>
      <c r="B42" s="297"/>
      <c r="C42" s="297"/>
      <c r="D42" s="297"/>
      <c r="E42" s="297"/>
      <c r="F42" s="297"/>
      <c r="G42" s="768"/>
      <c r="H42" s="297"/>
      <c r="I42" s="297"/>
      <c r="J42" s="297"/>
      <c r="K42" s="297"/>
      <c r="L42" s="297"/>
      <c r="M42" s="775"/>
    </row>
    <row r="43" spans="1:13" ht="16.5" thickBot="1" x14ac:dyDescent="0.25">
      <c r="A43" s="776" t="s">
        <v>1021</v>
      </c>
      <c r="B43" s="153">
        <f t="shared" ref="B43:L43" si="13">SUM(B9+B29)</f>
        <v>807616</v>
      </c>
      <c r="C43" s="153">
        <f t="shared" si="13"/>
        <v>131680</v>
      </c>
      <c r="D43" s="153">
        <f t="shared" si="13"/>
        <v>17000</v>
      </c>
      <c r="E43" s="153">
        <f t="shared" si="13"/>
        <v>41464</v>
      </c>
      <c r="F43" s="153">
        <f t="shared" si="13"/>
        <v>270035</v>
      </c>
      <c r="G43" s="153">
        <f t="shared" si="13"/>
        <v>1267795</v>
      </c>
      <c r="H43" s="153">
        <f t="shared" si="13"/>
        <v>23534</v>
      </c>
      <c r="I43" s="153">
        <f t="shared" si="13"/>
        <v>50300</v>
      </c>
      <c r="J43" s="153">
        <f t="shared" si="13"/>
        <v>729865</v>
      </c>
      <c r="K43" s="153">
        <f t="shared" si="13"/>
        <v>0</v>
      </c>
      <c r="L43" s="153">
        <f t="shared" si="13"/>
        <v>803699</v>
      </c>
      <c r="M43" s="154">
        <f t="shared" ref="M43:M48" si="14">SUM(L43,G43)</f>
        <v>2071494</v>
      </c>
    </row>
    <row r="44" spans="1:13" ht="16.5" hidden="1" thickBot="1" x14ac:dyDescent="0.25">
      <c r="A44" s="776" t="s">
        <v>1234</v>
      </c>
      <c r="B44" s="153">
        <f t="shared" ref="B44:L44" si="15">SUM(B10+B30)</f>
        <v>819828</v>
      </c>
      <c r="C44" s="153">
        <f t="shared" si="15"/>
        <v>132089</v>
      </c>
      <c r="D44" s="153">
        <f t="shared" si="15"/>
        <v>22120</v>
      </c>
      <c r="E44" s="153">
        <f t="shared" si="15"/>
        <v>48029</v>
      </c>
      <c r="F44" s="153">
        <f t="shared" si="15"/>
        <v>270035</v>
      </c>
      <c r="G44" s="153">
        <f t="shared" si="15"/>
        <v>1292101</v>
      </c>
      <c r="H44" s="153">
        <f t="shared" si="15"/>
        <v>144238</v>
      </c>
      <c r="I44" s="153">
        <f t="shared" si="15"/>
        <v>50300</v>
      </c>
      <c r="J44" s="153">
        <f t="shared" si="15"/>
        <v>729865</v>
      </c>
      <c r="K44" s="153">
        <f t="shared" si="15"/>
        <v>0</v>
      </c>
      <c r="L44" s="153">
        <f t="shared" si="15"/>
        <v>924403</v>
      </c>
      <c r="M44" s="154">
        <f t="shared" si="14"/>
        <v>2216504</v>
      </c>
    </row>
    <row r="45" spans="1:13" ht="16.5" thickBot="1" x14ac:dyDescent="0.25">
      <c r="A45" s="776" t="s">
        <v>1297</v>
      </c>
      <c r="B45" s="153">
        <f t="shared" ref="B45:L45" si="16">SUM(B11+B31)</f>
        <v>926742</v>
      </c>
      <c r="C45" s="153">
        <f t="shared" si="16"/>
        <v>132089</v>
      </c>
      <c r="D45" s="153">
        <f t="shared" si="16"/>
        <v>17000</v>
      </c>
      <c r="E45" s="153">
        <f t="shared" si="16"/>
        <v>48029</v>
      </c>
      <c r="F45" s="153">
        <f t="shared" si="16"/>
        <v>270035</v>
      </c>
      <c r="G45" s="153">
        <f t="shared" si="16"/>
        <v>1393895</v>
      </c>
      <c r="H45" s="153">
        <f t="shared" si="16"/>
        <v>159070</v>
      </c>
      <c r="I45" s="153">
        <f t="shared" si="16"/>
        <v>56875</v>
      </c>
      <c r="J45" s="153">
        <f t="shared" si="16"/>
        <v>729865</v>
      </c>
      <c r="K45" s="153">
        <f t="shared" si="16"/>
        <v>342000</v>
      </c>
      <c r="L45" s="153">
        <f t="shared" si="16"/>
        <v>1287810</v>
      </c>
      <c r="M45" s="154">
        <f t="shared" si="14"/>
        <v>2681705</v>
      </c>
    </row>
    <row r="46" spans="1:13" ht="16.5" thickBot="1" x14ac:dyDescent="0.25">
      <c r="A46" s="776" t="s">
        <v>1395</v>
      </c>
      <c r="B46" s="153">
        <f t="shared" ref="B46:L46" si="17">SUM(B12+B32)</f>
        <v>981728</v>
      </c>
      <c r="C46" s="153">
        <f t="shared" si="17"/>
        <v>132089</v>
      </c>
      <c r="D46" s="153">
        <f t="shared" si="17"/>
        <v>20137</v>
      </c>
      <c r="E46" s="153">
        <f t="shared" si="17"/>
        <v>66403</v>
      </c>
      <c r="F46" s="153">
        <f t="shared" si="17"/>
        <v>270035</v>
      </c>
      <c r="G46" s="153">
        <f t="shared" si="17"/>
        <v>1470392</v>
      </c>
      <c r="H46" s="153">
        <f t="shared" si="17"/>
        <v>159070</v>
      </c>
      <c r="I46" s="153">
        <f t="shared" si="17"/>
        <v>56940</v>
      </c>
      <c r="J46" s="153">
        <f t="shared" si="17"/>
        <v>729865</v>
      </c>
      <c r="K46" s="153">
        <f t="shared" si="17"/>
        <v>342000</v>
      </c>
      <c r="L46" s="153">
        <f t="shared" si="17"/>
        <v>1287875</v>
      </c>
      <c r="M46" s="154">
        <f t="shared" si="14"/>
        <v>2758267</v>
      </c>
    </row>
    <row r="47" spans="1:13" ht="16.5" hidden="1" thickBot="1" x14ac:dyDescent="0.25">
      <c r="A47" s="776"/>
      <c r="B47" s="153">
        <f t="shared" ref="B47:L47" si="18">SUM(B13+B33)</f>
        <v>0</v>
      </c>
      <c r="C47" s="153">
        <f t="shared" si="18"/>
        <v>0</v>
      </c>
      <c r="D47" s="153">
        <f t="shared" si="18"/>
        <v>0</v>
      </c>
      <c r="E47" s="153">
        <f t="shared" si="18"/>
        <v>0</v>
      </c>
      <c r="F47" s="153">
        <f t="shared" si="18"/>
        <v>0</v>
      </c>
      <c r="G47" s="153">
        <f t="shared" si="18"/>
        <v>0</v>
      </c>
      <c r="H47" s="153">
        <f t="shared" si="18"/>
        <v>0</v>
      </c>
      <c r="I47" s="153">
        <f t="shared" si="18"/>
        <v>0</v>
      </c>
      <c r="J47" s="153">
        <f t="shared" si="18"/>
        <v>0</v>
      </c>
      <c r="K47" s="153">
        <f t="shared" si="18"/>
        <v>0</v>
      </c>
      <c r="L47" s="153">
        <f t="shared" si="18"/>
        <v>0</v>
      </c>
      <c r="M47" s="154">
        <f t="shared" si="14"/>
        <v>0</v>
      </c>
    </row>
    <row r="48" spans="1:13" ht="16.5" hidden="1" thickBot="1" x14ac:dyDescent="0.25">
      <c r="A48" s="776" t="s">
        <v>1022</v>
      </c>
      <c r="B48" s="153">
        <f t="shared" ref="B48:L48" si="19">SUM(B14+B34)</f>
        <v>946930</v>
      </c>
      <c r="C48" s="153">
        <f t="shared" si="19"/>
        <v>132089</v>
      </c>
      <c r="D48" s="153">
        <f t="shared" si="19"/>
        <v>20137</v>
      </c>
      <c r="E48" s="153">
        <f t="shared" si="19"/>
        <v>66403</v>
      </c>
      <c r="F48" s="153">
        <f t="shared" si="19"/>
        <v>270035</v>
      </c>
      <c r="G48" s="153">
        <f t="shared" si="19"/>
        <v>1435594</v>
      </c>
      <c r="H48" s="153">
        <f t="shared" si="19"/>
        <v>38365</v>
      </c>
      <c r="I48" s="153">
        <f t="shared" si="19"/>
        <v>56931</v>
      </c>
      <c r="J48" s="153">
        <f t="shared" si="19"/>
        <v>729865</v>
      </c>
      <c r="K48" s="153">
        <f t="shared" si="19"/>
        <v>0</v>
      </c>
      <c r="L48" s="153">
        <f t="shared" si="19"/>
        <v>825161</v>
      </c>
      <c r="M48" s="154">
        <f t="shared" si="14"/>
        <v>2260755</v>
      </c>
    </row>
    <row r="49" spans="1:13" ht="12.95" customHeight="1" x14ac:dyDescent="0.2">
      <c r="A49" s="243" t="s">
        <v>431</v>
      </c>
      <c r="M49" s="762">
        <f>'7.finanszírozás.'!F79</f>
        <v>-182576</v>
      </c>
    </row>
    <row r="50" spans="1:13" ht="12.95" customHeight="1" x14ac:dyDescent="0.2">
      <c r="A50" s="243" t="s">
        <v>435</v>
      </c>
      <c r="M50" s="763">
        <f>SUM(M46+M49)</f>
        <v>2575691</v>
      </c>
    </row>
  </sheetData>
  <mergeCells count="16">
    <mergeCell ref="L7:L8"/>
    <mergeCell ref="A1:M1"/>
    <mergeCell ref="A4:M4"/>
    <mergeCell ref="A6:A8"/>
    <mergeCell ref="B6:G6"/>
    <mergeCell ref="H6:L6"/>
    <mergeCell ref="M6:M8"/>
    <mergeCell ref="B7:B8"/>
    <mergeCell ref="C7:D7"/>
    <mergeCell ref="E7:E8"/>
    <mergeCell ref="F7:F8"/>
    <mergeCell ref="G7:G8"/>
    <mergeCell ref="H7:H8"/>
    <mergeCell ref="I7:I8"/>
    <mergeCell ref="J7:J8"/>
    <mergeCell ref="K7:K8"/>
  </mergeCells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topLeftCell="A7" zoomScaleNormal="100" workbookViewId="0">
      <selection activeCell="O45" sqref="O45"/>
    </sheetView>
  </sheetViews>
  <sheetFormatPr defaultRowHeight="12.75" x14ac:dyDescent="0.2"/>
  <cols>
    <col min="1" max="1" width="44.7109375" style="81" customWidth="1"/>
    <col min="2" max="2" width="10" style="75" bestFit="1" customWidth="1"/>
    <col min="3" max="3" width="9.42578125" style="75" bestFit="1" customWidth="1"/>
    <col min="4" max="4" width="10" style="75" bestFit="1" customWidth="1"/>
    <col min="5" max="6" width="9.42578125" style="75" bestFit="1" customWidth="1"/>
    <col min="7" max="7" width="11.28515625" style="75" customWidth="1"/>
    <col min="8" max="8" width="12" style="75" customWidth="1"/>
    <col min="9" max="9" width="10.28515625" style="75" customWidth="1"/>
    <col min="10" max="10" width="9.85546875" style="75" customWidth="1"/>
    <col min="11" max="11" width="10" style="75" customWidth="1"/>
    <col min="12" max="12" width="9.28515625" style="75" customWidth="1"/>
    <col min="13" max="13" width="9.42578125" style="75" bestFit="1" customWidth="1"/>
    <col min="14" max="14" width="11.5703125" style="75" customWidth="1"/>
    <col min="15" max="15" width="12.140625" style="75" customWidth="1"/>
    <col min="16" max="16" width="7" style="74" bestFit="1" customWidth="1"/>
    <col min="17" max="16384" width="9.140625" style="74"/>
  </cols>
  <sheetData>
    <row r="1" spans="1:19" ht="1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 t="s">
        <v>259</v>
      </c>
      <c r="P1" s="73"/>
      <c r="Q1" s="73"/>
      <c r="R1" s="73"/>
      <c r="S1" s="73"/>
    </row>
    <row r="2" spans="1:19" ht="15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755" t="str">
        <f>'1.Bev-kiad.'!F2</f>
        <v>a 7/2022.(V.27.) önkormányzati rendelethez</v>
      </c>
      <c r="P2" s="73"/>
      <c r="Q2" s="73"/>
      <c r="R2" s="73"/>
      <c r="S2" s="73"/>
    </row>
    <row r="3" spans="1:19" ht="15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212" t="s">
        <v>1315</v>
      </c>
      <c r="P3" s="73"/>
      <c r="Q3" s="73"/>
      <c r="R3" s="73"/>
      <c r="S3" s="73"/>
    </row>
    <row r="4" spans="1:19" ht="38.25" customHeight="1" x14ac:dyDescent="0.2">
      <c r="A4" s="967" t="s">
        <v>1026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  <c r="P4" s="73"/>
      <c r="Q4" s="73"/>
      <c r="R4" s="73"/>
      <c r="S4" s="73"/>
    </row>
    <row r="5" spans="1:19" ht="13.5" thickBot="1" x14ac:dyDescent="0.25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375" t="s">
        <v>511</v>
      </c>
      <c r="P5" s="77"/>
    </row>
    <row r="6" spans="1:19" s="243" customFormat="1" ht="14.25" customHeight="1" x14ac:dyDescent="0.2">
      <c r="A6" s="952"/>
      <c r="B6" s="970" t="s">
        <v>35</v>
      </c>
      <c r="C6" s="971"/>
      <c r="D6" s="971"/>
      <c r="E6" s="971"/>
      <c r="F6" s="971"/>
      <c r="G6" s="971"/>
      <c r="H6" s="971"/>
      <c r="I6" s="972"/>
      <c r="J6" s="954" t="s">
        <v>36</v>
      </c>
      <c r="K6" s="954" t="s">
        <v>37</v>
      </c>
      <c r="L6" s="954"/>
      <c r="M6" s="954"/>
      <c r="N6" s="954"/>
      <c r="O6" s="955" t="s">
        <v>7</v>
      </c>
      <c r="P6" s="961"/>
    </row>
    <row r="7" spans="1:19" s="243" customFormat="1" ht="63.75" customHeight="1" x14ac:dyDescent="0.2">
      <c r="A7" s="953"/>
      <c r="B7" s="959" t="s">
        <v>38</v>
      </c>
      <c r="C7" s="959" t="s">
        <v>103</v>
      </c>
      <c r="D7" s="959" t="s">
        <v>39</v>
      </c>
      <c r="E7" s="959" t="s">
        <v>462</v>
      </c>
      <c r="F7" s="959" t="s">
        <v>40</v>
      </c>
      <c r="G7" s="965" t="s">
        <v>57</v>
      </c>
      <c r="H7" s="966"/>
      <c r="I7" s="959" t="s">
        <v>387</v>
      </c>
      <c r="J7" s="949"/>
      <c r="K7" s="959" t="s">
        <v>41</v>
      </c>
      <c r="L7" s="959" t="s">
        <v>42</v>
      </c>
      <c r="M7" s="959" t="s">
        <v>43</v>
      </c>
      <c r="N7" s="949" t="s">
        <v>12</v>
      </c>
      <c r="O7" s="956"/>
      <c r="P7" s="961"/>
    </row>
    <row r="8" spans="1:19" ht="35.25" customHeight="1" thickBot="1" x14ac:dyDescent="0.25">
      <c r="A8" s="969"/>
      <c r="B8" s="964"/>
      <c r="C8" s="964"/>
      <c r="D8" s="964"/>
      <c r="E8" s="964"/>
      <c r="F8" s="964"/>
      <c r="G8" s="271" t="s">
        <v>443</v>
      </c>
      <c r="H8" s="271" t="s">
        <v>444</v>
      </c>
      <c r="I8" s="964"/>
      <c r="J8" s="963"/>
      <c r="K8" s="964"/>
      <c r="L8" s="964"/>
      <c r="M8" s="964"/>
      <c r="N8" s="963"/>
      <c r="O8" s="962"/>
      <c r="P8" s="961"/>
    </row>
    <row r="9" spans="1:19" s="77" customFormat="1" ht="21.75" customHeight="1" thickBot="1" x14ac:dyDescent="0.25">
      <c r="A9" s="369" t="str">
        <f>'5.Bev.össz'!A9</f>
        <v>Önkormányzat (eredeti előirányzat 2021. év)</v>
      </c>
      <c r="B9" s="146">
        <f>B15+B21</f>
        <v>39528</v>
      </c>
      <c r="C9" s="146">
        <f t="shared" ref="C9:I9" si="0">C15+C21</f>
        <v>6357</v>
      </c>
      <c r="D9" s="146">
        <f t="shared" si="0"/>
        <v>303726</v>
      </c>
      <c r="E9" s="146">
        <f t="shared" si="0"/>
        <v>9300</v>
      </c>
      <c r="F9" s="146">
        <f t="shared" si="0"/>
        <v>385336</v>
      </c>
      <c r="G9" s="146">
        <f t="shared" si="0"/>
        <v>173144</v>
      </c>
      <c r="H9" s="146">
        <f t="shared" si="0"/>
        <v>35152</v>
      </c>
      <c r="I9" s="146">
        <f t="shared" si="0"/>
        <v>29963</v>
      </c>
      <c r="J9" s="146">
        <f t="shared" ref="J9:J14" si="1">B9+C9+D9+E9+F9+G9+H9+I9</f>
        <v>982506</v>
      </c>
      <c r="K9" s="146">
        <f t="shared" ref="K9:M14" si="2">K15+K21</f>
        <v>220251</v>
      </c>
      <c r="L9" s="146">
        <f t="shared" si="2"/>
        <v>587652</v>
      </c>
      <c r="M9" s="146">
        <f t="shared" si="2"/>
        <v>54135</v>
      </c>
      <c r="N9" s="146">
        <f t="shared" ref="N9:N14" si="3">K9+L9+M9</f>
        <v>862038</v>
      </c>
      <c r="O9" s="147">
        <f t="shared" ref="O9:O14" si="4">J9+N9</f>
        <v>1844544</v>
      </c>
      <c r="P9" s="374">
        <f t="shared" ref="P9:P14" si="5">P15</f>
        <v>8</v>
      </c>
    </row>
    <row r="10" spans="1:19" s="77" customFormat="1" ht="21.75" hidden="1" customHeight="1" thickBot="1" x14ac:dyDescent="0.25">
      <c r="A10" s="369" t="str">
        <f>'5.Bev.össz'!A10</f>
        <v>Önkormányzat (módosított előirányzat 2021.07.havi)</v>
      </c>
      <c r="B10" s="146">
        <f t="shared" ref="B10:I10" si="6">B16+B22</f>
        <v>40264</v>
      </c>
      <c r="C10" s="146">
        <f t="shared" si="6"/>
        <v>6452</v>
      </c>
      <c r="D10" s="146">
        <f t="shared" si="6"/>
        <v>327886</v>
      </c>
      <c r="E10" s="146">
        <f t="shared" si="6"/>
        <v>9300</v>
      </c>
      <c r="F10" s="146">
        <f t="shared" si="6"/>
        <v>388888</v>
      </c>
      <c r="G10" s="146">
        <f t="shared" si="6"/>
        <v>180118</v>
      </c>
      <c r="H10" s="146">
        <f t="shared" si="6"/>
        <v>35152</v>
      </c>
      <c r="I10" s="146">
        <f t="shared" si="6"/>
        <v>11606</v>
      </c>
      <c r="J10" s="146">
        <f t="shared" si="1"/>
        <v>999666</v>
      </c>
      <c r="K10" s="146">
        <f t="shared" si="2"/>
        <v>194969</v>
      </c>
      <c r="L10" s="146">
        <f t="shared" si="2"/>
        <v>615464</v>
      </c>
      <c r="M10" s="146">
        <f t="shared" si="2"/>
        <v>172309</v>
      </c>
      <c r="N10" s="146">
        <f t="shared" si="3"/>
        <v>982742</v>
      </c>
      <c r="O10" s="147">
        <f t="shared" si="4"/>
        <v>1982408</v>
      </c>
      <c r="P10" s="374">
        <f t="shared" si="5"/>
        <v>8</v>
      </c>
    </row>
    <row r="11" spans="1:19" s="77" customFormat="1" ht="21.75" customHeight="1" thickBot="1" x14ac:dyDescent="0.25">
      <c r="A11" s="369" t="str">
        <f>'5.Bev.össz'!A11</f>
        <v>Önkormányzat (módosított előirányzat 2021.10.havi)</v>
      </c>
      <c r="B11" s="146">
        <f t="shared" ref="B11:I11" si="7">B17+B23</f>
        <v>40353</v>
      </c>
      <c r="C11" s="146">
        <f t="shared" si="7"/>
        <v>6520</v>
      </c>
      <c r="D11" s="146">
        <f t="shared" si="7"/>
        <v>354315</v>
      </c>
      <c r="E11" s="146">
        <f t="shared" si="7"/>
        <v>9300</v>
      </c>
      <c r="F11" s="146">
        <f t="shared" si="7"/>
        <v>408819</v>
      </c>
      <c r="G11" s="146">
        <f t="shared" si="7"/>
        <v>180118</v>
      </c>
      <c r="H11" s="146">
        <f t="shared" si="7"/>
        <v>35152</v>
      </c>
      <c r="I11" s="146">
        <f t="shared" si="7"/>
        <v>67246</v>
      </c>
      <c r="J11" s="146">
        <f t="shared" si="1"/>
        <v>1101823</v>
      </c>
      <c r="K11" s="146">
        <f t="shared" si="2"/>
        <v>575743</v>
      </c>
      <c r="L11" s="146">
        <f t="shared" si="2"/>
        <v>679037</v>
      </c>
      <c r="M11" s="146">
        <f t="shared" si="2"/>
        <v>91006</v>
      </c>
      <c r="N11" s="146">
        <f t="shared" si="3"/>
        <v>1345786</v>
      </c>
      <c r="O11" s="147">
        <f t="shared" si="4"/>
        <v>2447609</v>
      </c>
      <c r="P11" s="374">
        <f t="shared" si="5"/>
        <v>8</v>
      </c>
    </row>
    <row r="12" spans="1:19" s="77" customFormat="1" ht="21.75" customHeight="1" thickBot="1" x14ac:dyDescent="0.25">
      <c r="A12" s="369" t="str">
        <f>'5.Bev.össz'!A12</f>
        <v>Önkormányzat (módosított előirányzat 2021.12.31.havi)</v>
      </c>
      <c r="B12" s="146">
        <f t="shared" ref="B12:I12" si="8">B18+B24</f>
        <v>40353</v>
      </c>
      <c r="C12" s="146">
        <f t="shared" si="8"/>
        <v>6520</v>
      </c>
      <c r="D12" s="146">
        <f t="shared" si="8"/>
        <v>364586</v>
      </c>
      <c r="E12" s="146">
        <f t="shared" si="8"/>
        <v>10305</v>
      </c>
      <c r="F12" s="146">
        <f t="shared" si="8"/>
        <v>411002</v>
      </c>
      <c r="G12" s="146">
        <f t="shared" si="8"/>
        <v>182576</v>
      </c>
      <c r="H12" s="146">
        <f t="shared" si="8"/>
        <v>35152</v>
      </c>
      <c r="I12" s="146">
        <f t="shared" si="8"/>
        <v>124822</v>
      </c>
      <c r="J12" s="146">
        <f t="shared" si="1"/>
        <v>1175316</v>
      </c>
      <c r="K12" s="146">
        <f t="shared" si="2"/>
        <v>576781</v>
      </c>
      <c r="L12" s="146">
        <f t="shared" si="2"/>
        <v>679427</v>
      </c>
      <c r="M12" s="146">
        <f t="shared" si="2"/>
        <v>89643</v>
      </c>
      <c r="N12" s="146">
        <f t="shared" si="3"/>
        <v>1345851</v>
      </c>
      <c r="O12" s="147">
        <f t="shared" si="4"/>
        <v>2521167</v>
      </c>
      <c r="P12" s="374">
        <f t="shared" si="5"/>
        <v>8</v>
      </c>
    </row>
    <row r="13" spans="1:19" s="77" customFormat="1" ht="21.75" hidden="1" customHeight="1" thickBot="1" x14ac:dyDescent="0.25">
      <c r="A13" s="369">
        <f>'5.Bev.össz'!A13</f>
        <v>0</v>
      </c>
      <c r="B13" s="146">
        <f t="shared" ref="B13:I13" si="9">B19+B25</f>
        <v>0</v>
      </c>
      <c r="C13" s="146">
        <f t="shared" si="9"/>
        <v>0</v>
      </c>
      <c r="D13" s="146">
        <f t="shared" si="9"/>
        <v>0</v>
      </c>
      <c r="E13" s="146">
        <f t="shared" si="9"/>
        <v>0</v>
      </c>
      <c r="F13" s="146">
        <f t="shared" si="9"/>
        <v>0</v>
      </c>
      <c r="G13" s="146">
        <f t="shared" si="9"/>
        <v>0</v>
      </c>
      <c r="H13" s="146">
        <f t="shared" si="9"/>
        <v>0</v>
      </c>
      <c r="I13" s="146">
        <f t="shared" si="9"/>
        <v>0</v>
      </c>
      <c r="J13" s="146">
        <f t="shared" si="1"/>
        <v>0</v>
      </c>
      <c r="K13" s="146">
        <f t="shared" si="2"/>
        <v>0</v>
      </c>
      <c r="L13" s="146">
        <f t="shared" si="2"/>
        <v>0</v>
      </c>
      <c r="M13" s="146">
        <f t="shared" si="2"/>
        <v>0</v>
      </c>
      <c r="N13" s="146">
        <f t="shared" si="3"/>
        <v>0</v>
      </c>
      <c r="O13" s="147">
        <f t="shared" si="4"/>
        <v>0</v>
      </c>
      <c r="P13" s="374">
        <f t="shared" si="5"/>
        <v>0</v>
      </c>
    </row>
    <row r="14" spans="1:19" s="77" customFormat="1" ht="13.5" hidden="1" thickBot="1" x14ac:dyDescent="0.25">
      <c r="A14" s="369" t="str">
        <f>'5.Bev.össz'!A14</f>
        <v>Önkormányzat: Teljesítés 2021.12.31.</v>
      </c>
      <c r="B14" s="146">
        <f t="shared" ref="B14:I14" si="10">B20+B26</f>
        <v>38426</v>
      </c>
      <c r="C14" s="146">
        <f t="shared" si="10"/>
        <v>5855</v>
      </c>
      <c r="D14" s="146">
        <f t="shared" si="10"/>
        <v>184442</v>
      </c>
      <c r="E14" s="146">
        <f t="shared" si="10"/>
        <v>10004</v>
      </c>
      <c r="F14" s="146">
        <f t="shared" si="10"/>
        <v>387714</v>
      </c>
      <c r="G14" s="146">
        <f t="shared" si="10"/>
        <v>182576</v>
      </c>
      <c r="H14" s="146">
        <f t="shared" si="10"/>
        <v>35153</v>
      </c>
      <c r="I14" s="146">
        <f t="shared" si="10"/>
        <v>0</v>
      </c>
      <c r="J14" s="146">
        <f t="shared" si="1"/>
        <v>844170</v>
      </c>
      <c r="K14" s="146">
        <f t="shared" si="2"/>
        <v>132860</v>
      </c>
      <c r="L14" s="146">
        <f t="shared" si="2"/>
        <v>251856</v>
      </c>
      <c r="M14" s="146">
        <f t="shared" si="2"/>
        <v>5020</v>
      </c>
      <c r="N14" s="146">
        <f t="shared" si="3"/>
        <v>389736</v>
      </c>
      <c r="O14" s="147">
        <f t="shared" si="4"/>
        <v>1233906</v>
      </c>
      <c r="P14" s="374">
        <f t="shared" si="5"/>
        <v>8</v>
      </c>
    </row>
    <row r="15" spans="1:19" s="77" customFormat="1" x14ac:dyDescent="0.2">
      <c r="A15" s="379" t="str">
        <f>'5.Bev.össz'!A15</f>
        <v xml:space="preserve">       Kötelező (eredeti előirányzat 2021. év)</v>
      </c>
      <c r="B15" s="148">
        <f>SUM('7.finanszírozás.'!C98)</f>
        <v>39528</v>
      </c>
      <c r="C15" s="148">
        <f>SUM('7.finanszírozás.'!C105)</f>
        <v>6357</v>
      </c>
      <c r="D15" s="148">
        <f>SUM('7.finanszírozás.'!C112)</f>
        <v>303726</v>
      </c>
      <c r="E15" s="148">
        <f>SUM('7.finanszírozás.'!C126)</f>
        <v>9300</v>
      </c>
      <c r="F15" s="148">
        <f>SUM('4. Átadott p.eszk.'!B9)</f>
        <v>249111</v>
      </c>
      <c r="G15" s="148">
        <f>SUM('7.finanszírozás.'!E46+'7.finanszírozás.'!E54)</f>
        <v>173144</v>
      </c>
      <c r="H15" s="148">
        <f>SUM('1.Bev-kiad.'!C78)</f>
        <v>35152</v>
      </c>
      <c r="I15" s="148">
        <f>SUM('2.működés'!C126)</f>
        <v>29963</v>
      </c>
      <c r="J15" s="156">
        <f t="shared" ref="J15:J26" si="11">SUM(B15:I15)</f>
        <v>846281</v>
      </c>
      <c r="K15" s="148"/>
      <c r="L15" s="148"/>
      <c r="M15" s="148"/>
      <c r="N15" s="156">
        <f t="shared" ref="N15:N26" si="12">SUM(K15:M15)</f>
        <v>0</v>
      </c>
      <c r="O15" s="380">
        <f t="shared" ref="O15:O26" si="13">SUM(J15+N15)</f>
        <v>846281</v>
      </c>
      <c r="P15" s="373">
        <v>8</v>
      </c>
    </row>
    <row r="16" spans="1:19" s="77" customFormat="1" hidden="1" x14ac:dyDescent="0.2">
      <c r="A16" s="379" t="str">
        <f>'5.Bev.össz'!A16</f>
        <v xml:space="preserve">       Kötelező (módosított előirányzat 2021.07. havi)</v>
      </c>
      <c r="B16" s="148">
        <f>SUM('7.finanszírozás.'!C99)</f>
        <v>40264</v>
      </c>
      <c r="C16" s="148">
        <f>SUM('7.finanszírozás.'!C106)</f>
        <v>6452</v>
      </c>
      <c r="D16" s="148">
        <f>SUM('7.finanszírozás.'!C113)</f>
        <v>327886</v>
      </c>
      <c r="E16" s="148">
        <f>SUM('7.finanszírozás.'!C127)</f>
        <v>9300</v>
      </c>
      <c r="F16" s="148">
        <f>SUM('4. Átadott p.eszk.'!C9)</f>
        <v>251987</v>
      </c>
      <c r="G16" s="148">
        <f>SUM('7.finanszírozás.'!E47+'7.finanszírozás.'!E55)</f>
        <v>180118</v>
      </c>
      <c r="H16" s="148">
        <f>SUM('1.Bev-kiad.'!D78)</f>
        <v>35152</v>
      </c>
      <c r="I16" s="148">
        <f>SUM('2.működés'!D126)</f>
        <v>11606</v>
      </c>
      <c r="J16" s="156">
        <f>SUM(B16:I16)</f>
        <v>862765</v>
      </c>
      <c r="K16" s="148"/>
      <c r="L16" s="148"/>
      <c r="M16" s="148"/>
      <c r="N16" s="156">
        <f t="shared" si="12"/>
        <v>0</v>
      </c>
      <c r="O16" s="380">
        <f t="shared" si="13"/>
        <v>862765</v>
      </c>
      <c r="P16" s="373">
        <v>8</v>
      </c>
    </row>
    <row r="17" spans="1:16" s="77" customFormat="1" x14ac:dyDescent="0.2">
      <c r="A17" s="379" t="str">
        <f>'5.Bev.össz'!A17</f>
        <v xml:space="preserve">       Kötelező (módosított előirányzat 2021.10. havi)</v>
      </c>
      <c r="B17" s="148">
        <f>SUM('7.finanszírozás.'!C100)</f>
        <v>40353</v>
      </c>
      <c r="C17" s="148">
        <f>SUM('7.finanszírozás.'!C107)</f>
        <v>6520</v>
      </c>
      <c r="D17" s="148">
        <f>SUM('7.finanszírozás.'!C114)</f>
        <v>354315</v>
      </c>
      <c r="E17" s="148">
        <f>SUM('7.finanszírozás.'!C128)</f>
        <v>9300</v>
      </c>
      <c r="F17" s="148">
        <f>SUM('4. Átadott p.eszk.'!D9)</f>
        <v>256122</v>
      </c>
      <c r="G17" s="148">
        <f>SUM('7.finanszírozás.'!E48+'7.finanszírozás.'!E56)</f>
        <v>180118</v>
      </c>
      <c r="H17" s="148">
        <f>SUM('1.Bev-kiad.'!E78)</f>
        <v>35152</v>
      </c>
      <c r="I17" s="148">
        <f>SUM('2.működés'!E126)</f>
        <v>67246</v>
      </c>
      <c r="J17" s="156">
        <f>SUM(B17:I17)</f>
        <v>949126</v>
      </c>
      <c r="K17" s="148"/>
      <c r="L17" s="148"/>
      <c r="M17" s="148"/>
      <c r="N17" s="156">
        <f t="shared" si="12"/>
        <v>0</v>
      </c>
      <c r="O17" s="380">
        <f t="shared" si="13"/>
        <v>949126</v>
      </c>
      <c r="P17" s="373">
        <v>8</v>
      </c>
    </row>
    <row r="18" spans="1:16" s="77" customFormat="1" x14ac:dyDescent="0.2">
      <c r="A18" s="379" t="str">
        <f>'5.Bev.össz'!A18</f>
        <v xml:space="preserve">       Kötelező (módosított előirányzat 2021.12.31.havi)</v>
      </c>
      <c r="B18" s="148">
        <f>SUM('7.finanszírozás.'!C101)</f>
        <v>40353</v>
      </c>
      <c r="C18" s="148">
        <f>SUM('7.finanszírozás.'!C108)</f>
        <v>6520</v>
      </c>
      <c r="D18" s="148">
        <f>SUM('7.finanszírozás.'!C115)</f>
        <v>364586</v>
      </c>
      <c r="E18" s="148">
        <f>SUM('7.finanszírozás.'!C129)</f>
        <v>10305</v>
      </c>
      <c r="F18" s="148">
        <f>SUM('4. Átadott p.eszk.'!E9)</f>
        <v>254330</v>
      </c>
      <c r="G18" s="148">
        <f>SUM('7.finanszírozás.'!E49+'7.finanszírozás.'!E57)</f>
        <v>182576</v>
      </c>
      <c r="H18" s="148">
        <f>SUM('1.Bev-kiad.'!F78)</f>
        <v>35152</v>
      </c>
      <c r="I18" s="148">
        <f>SUM('2.működés'!F126)</f>
        <v>124822</v>
      </c>
      <c r="J18" s="156">
        <f>SUM(B18:I18)</f>
        <v>1018644</v>
      </c>
      <c r="K18" s="148"/>
      <c r="L18" s="148"/>
      <c r="M18" s="148"/>
      <c r="N18" s="156">
        <f t="shared" si="12"/>
        <v>0</v>
      </c>
      <c r="O18" s="380">
        <f t="shared" si="13"/>
        <v>1018644</v>
      </c>
      <c r="P18" s="373">
        <v>8</v>
      </c>
    </row>
    <row r="19" spans="1:16" s="77" customFormat="1" hidden="1" x14ac:dyDescent="0.2">
      <c r="A19" s="379">
        <f>'5.Bev.össz'!A19</f>
        <v>0</v>
      </c>
      <c r="B19" s="148"/>
      <c r="C19" s="148"/>
      <c r="D19" s="148"/>
      <c r="E19" s="148"/>
      <c r="F19" s="148">
        <v>0</v>
      </c>
      <c r="G19" s="148"/>
      <c r="H19" s="148"/>
      <c r="I19" s="148"/>
      <c r="J19" s="156">
        <f>SUM(B19:I19)</f>
        <v>0</v>
      </c>
      <c r="K19" s="148"/>
      <c r="L19" s="148"/>
      <c r="M19" s="148"/>
      <c r="N19" s="156">
        <f t="shared" si="12"/>
        <v>0</v>
      </c>
      <c r="O19" s="380">
        <f t="shared" si="13"/>
        <v>0</v>
      </c>
      <c r="P19" s="373"/>
    </row>
    <row r="20" spans="1:16" s="77" customFormat="1" hidden="1" x14ac:dyDescent="0.2">
      <c r="A20" s="379" t="str">
        <f>'5.Bev.össz'!A20</f>
        <v xml:space="preserve">       Teljesítés 2021.12.31.</v>
      </c>
      <c r="B20" s="148">
        <f>SUM('7.finanszírozás.'!C103)</f>
        <v>38426</v>
      </c>
      <c r="C20" s="148">
        <f>SUM('7.finanszírozás.'!C110)</f>
        <v>5855</v>
      </c>
      <c r="D20" s="148">
        <f>SUM('7.finanszírozás.'!C117)</f>
        <v>184442</v>
      </c>
      <c r="E20" s="148">
        <f>SUM('7.finanszírozás.'!C131)</f>
        <v>10004</v>
      </c>
      <c r="F20" s="148">
        <f>SUM('4. Átadott p.eszk.'!F9)</f>
        <v>232524</v>
      </c>
      <c r="G20" s="148">
        <f>SUM('7.finanszírozás.'!E51+'7.finanszírozás.'!E59)</f>
        <v>182576</v>
      </c>
      <c r="H20" s="148">
        <f>SUM('1.Bev-kiad.'!G78)</f>
        <v>35153</v>
      </c>
      <c r="I20" s="148">
        <f>SUM('2.működés'!G126)</f>
        <v>0</v>
      </c>
      <c r="J20" s="156">
        <f t="shared" si="11"/>
        <v>688980</v>
      </c>
      <c r="K20" s="148"/>
      <c r="L20" s="148"/>
      <c r="M20" s="148"/>
      <c r="N20" s="156">
        <f t="shared" si="12"/>
        <v>0</v>
      </c>
      <c r="O20" s="380">
        <f t="shared" si="13"/>
        <v>688980</v>
      </c>
      <c r="P20" s="373">
        <v>8</v>
      </c>
    </row>
    <row r="21" spans="1:16" s="77" customFormat="1" x14ac:dyDescent="0.2">
      <c r="A21" s="379" t="str">
        <f>'5.Bev.össz'!A22</f>
        <v xml:space="preserve">       Nem kötelező (eredeti előirányzat 2021. év)</v>
      </c>
      <c r="B21" s="78"/>
      <c r="C21" s="78"/>
      <c r="D21" s="78"/>
      <c r="E21" s="78"/>
      <c r="F21" s="78">
        <f>SUM('4. Átadott p.eszk.'!B45+'4. Átadott p.eszk.'!B73)</f>
        <v>136225</v>
      </c>
      <c r="G21" s="78"/>
      <c r="H21" s="78"/>
      <c r="I21" s="78"/>
      <c r="J21" s="156">
        <f t="shared" si="11"/>
        <v>136225</v>
      </c>
      <c r="K21" s="148">
        <f>SUM('3.felh'!C40)</f>
        <v>220251</v>
      </c>
      <c r="L21" s="148">
        <f>SUM('3.felh'!C63)</f>
        <v>587652</v>
      </c>
      <c r="M21" s="148">
        <f>SUM('3.felh'!C80)</f>
        <v>54135</v>
      </c>
      <c r="N21" s="156">
        <f t="shared" si="12"/>
        <v>862038</v>
      </c>
      <c r="O21" s="380">
        <f t="shared" si="13"/>
        <v>998263</v>
      </c>
      <c r="P21" s="377"/>
    </row>
    <row r="22" spans="1:16" s="77" customFormat="1" hidden="1" x14ac:dyDescent="0.2">
      <c r="A22" s="379" t="str">
        <f>'5.Bev.össz'!A23</f>
        <v xml:space="preserve">       Nem kötelező (módosított előirányzat 2021.07. havi)</v>
      </c>
      <c r="B22" s="78"/>
      <c r="C22" s="78"/>
      <c r="D22" s="78"/>
      <c r="E22" s="78"/>
      <c r="F22" s="78">
        <f>SUM('4. Átadott p.eszk.'!C45+'4. Átadott p.eszk.'!C73)</f>
        <v>136901</v>
      </c>
      <c r="G22" s="78"/>
      <c r="H22" s="78"/>
      <c r="I22" s="78"/>
      <c r="J22" s="156">
        <f t="shared" si="11"/>
        <v>136901</v>
      </c>
      <c r="K22" s="148">
        <f>SUM('3.felh'!D40)</f>
        <v>194969</v>
      </c>
      <c r="L22" s="148">
        <f>SUM('3.felh'!D63)</f>
        <v>615464</v>
      </c>
      <c r="M22" s="148">
        <f>'3.felh'!D80</f>
        <v>172309</v>
      </c>
      <c r="N22" s="156">
        <f t="shared" si="12"/>
        <v>982742</v>
      </c>
      <c r="O22" s="380">
        <f t="shared" si="13"/>
        <v>1119643</v>
      </c>
      <c r="P22" s="377"/>
    </row>
    <row r="23" spans="1:16" s="77" customFormat="1" x14ac:dyDescent="0.2">
      <c r="A23" s="379" t="str">
        <f>'5.Bev.össz'!A24</f>
        <v xml:space="preserve">       Nem kötelező (módosított előirányzat 2021.10. havi)</v>
      </c>
      <c r="B23" s="80"/>
      <c r="C23" s="80"/>
      <c r="D23" s="80"/>
      <c r="E23" s="80"/>
      <c r="F23" s="78">
        <f>SUM('4. Átadott p.eszk.'!D45+'4. Átadott p.eszk.'!D73)</f>
        <v>152697</v>
      </c>
      <c r="G23" s="78"/>
      <c r="H23" s="78"/>
      <c r="I23" s="78"/>
      <c r="J23" s="156">
        <f t="shared" si="11"/>
        <v>152697</v>
      </c>
      <c r="K23" s="148">
        <f>SUM('3.felh'!E40)</f>
        <v>575743</v>
      </c>
      <c r="L23" s="148">
        <f>SUM('3.felh'!E63)</f>
        <v>679037</v>
      </c>
      <c r="M23" s="148">
        <f>'3.felh'!E80</f>
        <v>91006</v>
      </c>
      <c r="N23" s="156">
        <f t="shared" si="12"/>
        <v>1345786</v>
      </c>
      <c r="O23" s="380">
        <f t="shared" si="13"/>
        <v>1498483</v>
      </c>
      <c r="P23" s="377"/>
    </row>
    <row r="24" spans="1:16" s="77" customFormat="1" ht="13.5" customHeight="1" x14ac:dyDescent="0.2">
      <c r="A24" s="379" t="str">
        <f>'5.Bev.össz'!A25</f>
        <v xml:space="preserve">       Nem kötelező (módosított előirányzat 2021.12.31. havi)</v>
      </c>
      <c r="B24" s="80"/>
      <c r="C24" s="80"/>
      <c r="D24" s="80"/>
      <c r="E24" s="80"/>
      <c r="F24" s="78">
        <f>SUM('4. Átadott p.eszk.'!E45+'4. Átadott p.eszk.'!E73)</f>
        <v>156672</v>
      </c>
      <c r="G24" s="78"/>
      <c r="H24" s="78"/>
      <c r="I24" s="78"/>
      <c r="J24" s="156">
        <f t="shared" si="11"/>
        <v>156672</v>
      </c>
      <c r="K24" s="148">
        <f>SUM('3.felh'!F40)</f>
        <v>576781</v>
      </c>
      <c r="L24" s="148">
        <f>SUM('3.felh'!F63)</f>
        <v>679427</v>
      </c>
      <c r="M24" s="148">
        <f>'3.felh'!F80</f>
        <v>89643</v>
      </c>
      <c r="N24" s="156">
        <f t="shared" si="12"/>
        <v>1345851</v>
      </c>
      <c r="O24" s="380">
        <f t="shared" si="13"/>
        <v>1502523</v>
      </c>
      <c r="P24" s="377"/>
    </row>
    <row r="25" spans="1:16" s="77" customFormat="1" hidden="1" x14ac:dyDescent="0.2">
      <c r="A25" s="379">
        <f>'5.Bev.össz'!A26</f>
        <v>0</v>
      </c>
      <c r="B25" s="80"/>
      <c r="C25" s="80"/>
      <c r="D25" s="80"/>
      <c r="E25" s="80"/>
      <c r="F25" s="78"/>
      <c r="G25" s="78"/>
      <c r="H25" s="78"/>
      <c r="I25" s="78"/>
      <c r="J25" s="156">
        <f t="shared" si="11"/>
        <v>0</v>
      </c>
      <c r="K25" s="148"/>
      <c r="L25" s="148"/>
      <c r="M25" s="148"/>
      <c r="N25" s="156">
        <f t="shared" si="12"/>
        <v>0</v>
      </c>
      <c r="O25" s="380">
        <f t="shared" si="13"/>
        <v>0</v>
      </c>
      <c r="P25" s="377"/>
    </row>
    <row r="26" spans="1:16" s="77" customFormat="1" hidden="1" x14ac:dyDescent="0.2">
      <c r="A26" s="379" t="str">
        <f>'5.Bev.össz'!A27</f>
        <v xml:space="preserve">       Teljesítés 2021.12.31.</v>
      </c>
      <c r="B26" s="80"/>
      <c r="C26" s="80"/>
      <c r="D26" s="80"/>
      <c r="E26" s="80"/>
      <c r="F26" s="78">
        <f>SUM('4. Átadott p.eszk.'!F45+'4. Átadott p.eszk.'!F73)</f>
        <v>155190</v>
      </c>
      <c r="G26" s="80"/>
      <c r="H26" s="80"/>
      <c r="I26" s="80"/>
      <c r="J26" s="156">
        <f t="shared" si="11"/>
        <v>155190</v>
      </c>
      <c r="K26" s="740">
        <f>SUM('3.felh'!G40)</f>
        <v>132860</v>
      </c>
      <c r="L26" s="740">
        <f>SUM('3.felh'!G63)</f>
        <v>251856</v>
      </c>
      <c r="M26" s="740">
        <f>SUM('3.felh'!G80)</f>
        <v>5020</v>
      </c>
      <c r="N26" s="156">
        <f t="shared" si="12"/>
        <v>389736</v>
      </c>
      <c r="O26" s="380">
        <f t="shared" si="13"/>
        <v>544926</v>
      </c>
      <c r="P26" s="377"/>
    </row>
    <row r="27" spans="1:16" s="77" customFormat="1" ht="13.5" thickBot="1" x14ac:dyDescent="0.25">
      <c r="A27" s="381" t="str">
        <f>'5.Bev.össz'!A28</f>
        <v xml:space="preserve">       Államigazgatási feladatok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380"/>
      <c r="P27" s="377"/>
    </row>
    <row r="28" spans="1:16" s="79" customFormat="1" ht="21" customHeight="1" thickBot="1" x14ac:dyDescent="0.25">
      <c r="A28" s="369" t="str">
        <f>'5.Bev.össz'!A29</f>
        <v>KÖH (eredeti előirányzat 2021. év)</v>
      </c>
      <c r="B28" s="151">
        <f>SUM(B34)</f>
        <v>175307</v>
      </c>
      <c r="C28" s="151">
        <f t="shared" ref="C28:I28" si="14">SUM(C34)</f>
        <v>26841</v>
      </c>
      <c r="D28" s="151">
        <f t="shared" si="14"/>
        <v>23802</v>
      </c>
      <c r="E28" s="151">
        <f t="shared" si="14"/>
        <v>0</v>
      </c>
      <c r="F28" s="151">
        <f t="shared" si="14"/>
        <v>0</v>
      </c>
      <c r="G28" s="151">
        <f t="shared" si="14"/>
        <v>0</v>
      </c>
      <c r="H28" s="151">
        <f t="shared" si="14"/>
        <v>0</v>
      </c>
      <c r="I28" s="151">
        <f t="shared" si="14"/>
        <v>0</v>
      </c>
      <c r="J28" s="144">
        <f>SUM(J34)</f>
        <v>225950</v>
      </c>
      <c r="K28" s="144">
        <f t="shared" ref="K28:M33" si="15">K34</f>
        <v>1000</v>
      </c>
      <c r="L28" s="144">
        <f t="shared" si="15"/>
        <v>0</v>
      </c>
      <c r="M28" s="144">
        <f t="shared" si="15"/>
        <v>0</v>
      </c>
      <c r="N28" s="144">
        <f t="shared" ref="N28:N33" si="16">K28+L28+M28</f>
        <v>1000</v>
      </c>
      <c r="O28" s="157">
        <f t="shared" ref="O28:O33" si="17">(N28+J28)</f>
        <v>226950</v>
      </c>
      <c r="P28" s="376">
        <f t="shared" ref="P28:P33" si="18">P34</f>
        <v>40</v>
      </c>
    </row>
    <row r="29" spans="1:16" s="79" customFormat="1" ht="21" hidden="1" customHeight="1" thickBot="1" x14ac:dyDescent="0.25">
      <c r="A29" s="369" t="str">
        <f>'5.Bev.össz'!A30</f>
        <v>KÖH (módosított előirányzat 2021.07. havi)</v>
      </c>
      <c r="B29" s="151">
        <f t="shared" ref="B29:J29" si="19">SUM(B35)</f>
        <v>180863</v>
      </c>
      <c r="C29" s="151">
        <f t="shared" si="19"/>
        <v>27636</v>
      </c>
      <c r="D29" s="151">
        <f t="shared" si="19"/>
        <v>24597</v>
      </c>
      <c r="E29" s="151">
        <f t="shared" si="19"/>
        <v>0</v>
      </c>
      <c r="F29" s="151">
        <f t="shared" si="19"/>
        <v>0</v>
      </c>
      <c r="G29" s="151">
        <f t="shared" si="19"/>
        <v>0</v>
      </c>
      <c r="H29" s="151">
        <f t="shared" si="19"/>
        <v>0</v>
      </c>
      <c r="I29" s="151">
        <f t="shared" si="19"/>
        <v>0</v>
      </c>
      <c r="J29" s="144">
        <f t="shared" si="19"/>
        <v>233096</v>
      </c>
      <c r="K29" s="144">
        <f t="shared" si="15"/>
        <v>1000</v>
      </c>
      <c r="L29" s="144">
        <f t="shared" si="15"/>
        <v>0</v>
      </c>
      <c r="M29" s="144">
        <f t="shared" si="15"/>
        <v>0</v>
      </c>
      <c r="N29" s="144">
        <f t="shared" si="16"/>
        <v>1000</v>
      </c>
      <c r="O29" s="157">
        <f t="shared" si="17"/>
        <v>234096</v>
      </c>
      <c r="P29" s="376">
        <f t="shared" si="18"/>
        <v>40</v>
      </c>
    </row>
    <row r="30" spans="1:16" s="79" customFormat="1" ht="21" customHeight="1" thickBot="1" x14ac:dyDescent="0.25">
      <c r="A30" s="369" t="str">
        <f>'5.Bev.össz'!A31</f>
        <v>KÖH (módosított előirányzat 2021.10. havi)</v>
      </c>
      <c r="B30" s="151">
        <f t="shared" ref="B30:J30" si="20">SUM(B36)</f>
        <v>180863</v>
      </c>
      <c r="C30" s="151">
        <f t="shared" si="20"/>
        <v>27636</v>
      </c>
      <c r="D30" s="151">
        <f t="shared" si="20"/>
        <v>24597</v>
      </c>
      <c r="E30" s="151">
        <f t="shared" si="20"/>
        <v>0</v>
      </c>
      <c r="F30" s="151">
        <f t="shared" si="20"/>
        <v>0</v>
      </c>
      <c r="G30" s="151">
        <f t="shared" si="20"/>
        <v>0</v>
      </c>
      <c r="H30" s="151">
        <f t="shared" si="20"/>
        <v>0</v>
      </c>
      <c r="I30" s="151">
        <f t="shared" si="20"/>
        <v>0</v>
      </c>
      <c r="J30" s="144">
        <f t="shared" si="20"/>
        <v>233096</v>
      </c>
      <c r="K30" s="144">
        <f t="shared" si="15"/>
        <v>1000</v>
      </c>
      <c r="L30" s="144">
        <f t="shared" si="15"/>
        <v>0</v>
      </c>
      <c r="M30" s="144">
        <f t="shared" si="15"/>
        <v>0</v>
      </c>
      <c r="N30" s="144">
        <f t="shared" si="16"/>
        <v>1000</v>
      </c>
      <c r="O30" s="157">
        <f t="shared" si="17"/>
        <v>234096</v>
      </c>
      <c r="P30" s="376">
        <f t="shared" si="18"/>
        <v>40</v>
      </c>
    </row>
    <row r="31" spans="1:16" s="79" customFormat="1" ht="21" customHeight="1" thickBot="1" x14ac:dyDescent="0.25">
      <c r="A31" s="369" t="str">
        <f>'5.Bev.össz'!A32</f>
        <v>KÖH (módosított előirányzat 2021.12.31.havi)</v>
      </c>
      <c r="B31" s="151">
        <f t="shared" ref="B31:J31" si="21">SUM(B37)</f>
        <v>181779</v>
      </c>
      <c r="C31" s="151">
        <f t="shared" si="21"/>
        <v>27636</v>
      </c>
      <c r="D31" s="151">
        <f t="shared" si="21"/>
        <v>26681</v>
      </c>
      <c r="E31" s="151">
        <f t="shared" si="21"/>
        <v>0</v>
      </c>
      <c r="F31" s="151">
        <f t="shared" si="21"/>
        <v>0</v>
      </c>
      <c r="G31" s="151">
        <f t="shared" si="21"/>
        <v>0</v>
      </c>
      <c r="H31" s="151">
        <f t="shared" si="21"/>
        <v>0</v>
      </c>
      <c r="I31" s="151">
        <f t="shared" si="21"/>
        <v>0</v>
      </c>
      <c r="J31" s="144">
        <f t="shared" si="21"/>
        <v>236096</v>
      </c>
      <c r="K31" s="144">
        <f t="shared" si="15"/>
        <v>1004</v>
      </c>
      <c r="L31" s="144">
        <f t="shared" si="15"/>
        <v>0</v>
      </c>
      <c r="M31" s="144">
        <f t="shared" si="15"/>
        <v>0</v>
      </c>
      <c r="N31" s="144">
        <f t="shared" si="16"/>
        <v>1004</v>
      </c>
      <c r="O31" s="157">
        <f t="shared" si="17"/>
        <v>237100</v>
      </c>
      <c r="P31" s="376">
        <f t="shared" si="18"/>
        <v>40</v>
      </c>
    </row>
    <row r="32" spans="1:16" s="79" customFormat="1" ht="13.5" hidden="1" thickBot="1" x14ac:dyDescent="0.25">
      <c r="A32" s="369">
        <f>'5.Bev.össz'!A33</f>
        <v>0</v>
      </c>
      <c r="B32" s="151">
        <f t="shared" ref="B32:J32" si="22">SUM(B38)</f>
        <v>0</v>
      </c>
      <c r="C32" s="151">
        <f t="shared" si="22"/>
        <v>0</v>
      </c>
      <c r="D32" s="151">
        <f t="shared" si="22"/>
        <v>0</v>
      </c>
      <c r="E32" s="151">
        <f t="shared" si="22"/>
        <v>0</v>
      </c>
      <c r="F32" s="151">
        <f t="shared" si="22"/>
        <v>0</v>
      </c>
      <c r="G32" s="151">
        <f t="shared" si="22"/>
        <v>0</v>
      </c>
      <c r="H32" s="151">
        <f t="shared" si="22"/>
        <v>0</v>
      </c>
      <c r="I32" s="151">
        <f t="shared" si="22"/>
        <v>0</v>
      </c>
      <c r="J32" s="144">
        <f t="shared" si="22"/>
        <v>0</v>
      </c>
      <c r="K32" s="144">
        <f t="shared" si="15"/>
        <v>0</v>
      </c>
      <c r="L32" s="144">
        <f t="shared" si="15"/>
        <v>0</v>
      </c>
      <c r="M32" s="144">
        <f t="shared" si="15"/>
        <v>0</v>
      </c>
      <c r="N32" s="144">
        <f t="shared" si="16"/>
        <v>0</v>
      </c>
      <c r="O32" s="157">
        <f t="shared" si="17"/>
        <v>0</v>
      </c>
      <c r="P32" s="376">
        <f t="shared" si="18"/>
        <v>0</v>
      </c>
    </row>
    <row r="33" spans="1:17" s="79" customFormat="1" ht="13.5" hidden="1" thickBot="1" x14ac:dyDescent="0.25">
      <c r="A33" s="369" t="str">
        <f>'5.Bev.össz'!A34</f>
        <v>KÖH: Teljesítés 2021.12.31.</v>
      </c>
      <c r="B33" s="151">
        <f t="shared" ref="B33:J33" si="23">SUM(B39)</f>
        <v>180381</v>
      </c>
      <c r="C33" s="151">
        <f t="shared" si="23"/>
        <v>27513</v>
      </c>
      <c r="D33" s="151">
        <f t="shared" si="23"/>
        <v>22376</v>
      </c>
      <c r="E33" s="151">
        <f t="shared" si="23"/>
        <v>0</v>
      </c>
      <c r="F33" s="151">
        <f t="shared" si="23"/>
        <v>0</v>
      </c>
      <c r="G33" s="151">
        <f t="shared" si="23"/>
        <v>0</v>
      </c>
      <c r="H33" s="151">
        <f t="shared" si="23"/>
        <v>0</v>
      </c>
      <c r="I33" s="151">
        <f t="shared" si="23"/>
        <v>0</v>
      </c>
      <c r="J33" s="144">
        <f t="shared" si="23"/>
        <v>230270</v>
      </c>
      <c r="K33" s="144">
        <f t="shared" si="15"/>
        <v>1003</v>
      </c>
      <c r="L33" s="144">
        <f t="shared" si="15"/>
        <v>0</v>
      </c>
      <c r="M33" s="144">
        <f t="shared" si="15"/>
        <v>0</v>
      </c>
      <c r="N33" s="144">
        <f t="shared" si="16"/>
        <v>1003</v>
      </c>
      <c r="O33" s="157">
        <f t="shared" si="17"/>
        <v>231273</v>
      </c>
      <c r="P33" s="376">
        <f t="shared" si="18"/>
        <v>40</v>
      </c>
    </row>
    <row r="34" spans="1:17" s="79" customFormat="1" x14ac:dyDescent="0.2">
      <c r="A34" s="371" t="str">
        <f>'5.Bev.össz'!A35</f>
        <v xml:space="preserve">       Kötelező (eredeti előirányzat 2021. év)</v>
      </c>
      <c r="B34" s="78">
        <f>SUM('7.finanszírozás.'!D98)</f>
        <v>175307</v>
      </c>
      <c r="C34" s="78">
        <f>SUM('7.finanszírozás.'!D105)</f>
        <v>26841</v>
      </c>
      <c r="D34" s="78">
        <f>SUM('7.finanszírozás.'!D112)</f>
        <v>23802</v>
      </c>
      <c r="E34" s="78"/>
      <c r="F34" s="78">
        <f>'7.finanszírozás.'!D133</f>
        <v>0</v>
      </c>
      <c r="G34" s="78"/>
      <c r="H34" s="78"/>
      <c r="I34" s="78"/>
      <c r="J34" s="155">
        <f t="shared" ref="J34:J39" si="24">SUM(B34:I34)</f>
        <v>225950</v>
      </c>
      <c r="K34" s="78">
        <f>'7.finanszírozás.'!D119</f>
        <v>1000</v>
      </c>
      <c r="L34" s="78"/>
      <c r="M34" s="78"/>
      <c r="N34" s="156">
        <f t="shared" ref="N34:N39" si="25">SUM(K34:M34)</f>
        <v>1000</v>
      </c>
      <c r="O34" s="372">
        <f t="shared" ref="O34:O39" si="26">SUM(J34+N34)</f>
        <v>226950</v>
      </c>
      <c r="P34" s="373">
        <v>40</v>
      </c>
    </row>
    <row r="35" spans="1:17" s="79" customFormat="1" hidden="1" x14ac:dyDescent="0.2">
      <c r="A35" s="371" t="str">
        <f>'5.Bev.össz'!A36</f>
        <v xml:space="preserve">       Kötelező (módosított előirányzat 2021.07. havi)</v>
      </c>
      <c r="B35" s="78">
        <f>SUM('7.finanszírozás.'!D99)</f>
        <v>180863</v>
      </c>
      <c r="C35" s="78">
        <f>SUM('7.finanszírozás.'!D106)</f>
        <v>27636</v>
      </c>
      <c r="D35" s="78">
        <f>SUM('7.finanszírozás.'!D113)</f>
        <v>24597</v>
      </c>
      <c r="E35" s="78"/>
      <c r="F35" s="78">
        <f>'7.finanszírozás.'!D134</f>
        <v>0</v>
      </c>
      <c r="G35" s="78"/>
      <c r="H35" s="78"/>
      <c r="I35" s="78"/>
      <c r="J35" s="155">
        <f t="shared" si="24"/>
        <v>233096</v>
      </c>
      <c r="K35" s="78">
        <f>'7.finanszírozás.'!D120</f>
        <v>1000</v>
      </c>
      <c r="L35" s="78"/>
      <c r="M35" s="78"/>
      <c r="N35" s="156">
        <f t="shared" si="25"/>
        <v>1000</v>
      </c>
      <c r="O35" s="372">
        <f t="shared" si="26"/>
        <v>234096</v>
      </c>
      <c r="P35" s="373">
        <v>40</v>
      </c>
    </row>
    <row r="36" spans="1:17" s="79" customFormat="1" x14ac:dyDescent="0.2">
      <c r="A36" s="371" t="str">
        <f>'5.Bev.össz'!A37</f>
        <v xml:space="preserve">       Kötelező (módosított előirányzat 2021.10. havi)</v>
      </c>
      <c r="B36" s="78">
        <f>SUM('7.finanszírozás.'!D100)</f>
        <v>180863</v>
      </c>
      <c r="C36" s="78">
        <f>SUM('7.finanszírozás.'!D107)</f>
        <v>27636</v>
      </c>
      <c r="D36" s="78">
        <f>SUM('7.finanszírozás.'!D114)</f>
        <v>24597</v>
      </c>
      <c r="E36" s="78"/>
      <c r="F36" s="78">
        <f>'7.finanszírozás.'!D135</f>
        <v>0</v>
      </c>
      <c r="G36" s="78"/>
      <c r="H36" s="78"/>
      <c r="I36" s="78"/>
      <c r="J36" s="155">
        <f t="shared" si="24"/>
        <v>233096</v>
      </c>
      <c r="K36" s="78">
        <f>'7.finanszírozás.'!D121</f>
        <v>1000</v>
      </c>
      <c r="L36" s="78"/>
      <c r="M36" s="78"/>
      <c r="N36" s="156">
        <f t="shared" si="25"/>
        <v>1000</v>
      </c>
      <c r="O36" s="372">
        <f t="shared" si="26"/>
        <v>234096</v>
      </c>
      <c r="P36" s="373">
        <v>40</v>
      </c>
    </row>
    <row r="37" spans="1:17" s="79" customFormat="1" x14ac:dyDescent="0.2">
      <c r="A37" s="371" t="str">
        <f>'5.Bev.össz'!A38</f>
        <v xml:space="preserve">       Kötelező (módosított előirányzat 2021.12.31.havi)</v>
      </c>
      <c r="B37" s="78">
        <f>SUM('7.finanszírozás.'!D101)</f>
        <v>181779</v>
      </c>
      <c r="C37" s="78">
        <f>SUM('7.finanszírozás.'!D108)</f>
        <v>27636</v>
      </c>
      <c r="D37" s="78">
        <f>SUM('7.finanszírozás.'!D115)</f>
        <v>26681</v>
      </c>
      <c r="E37" s="78"/>
      <c r="F37" s="78">
        <f>'7.finanszírozás.'!D136</f>
        <v>0</v>
      </c>
      <c r="G37" s="78"/>
      <c r="H37" s="78"/>
      <c r="I37" s="78"/>
      <c r="J37" s="155">
        <f t="shared" si="24"/>
        <v>236096</v>
      </c>
      <c r="K37" s="78">
        <f>'7.finanszírozás.'!D122</f>
        <v>1004</v>
      </c>
      <c r="L37" s="78"/>
      <c r="M37" s="78"/>
      <c r="N37" s="156">
        <f t="shared" si="25"/>
        <v>1004</v>
      </c>
      <c r="O37" s="372">
        <f t="shared" si="26"/>
        <v>237100</v>
      </c>
      <c r="P37" s="373">
        <v>40</v>
      </c>
    </row>
    <row r="38" spans="1:17" s="79" customFormat="1" hidden="1" x14ac:dyDescent="0.2">
      <c r="A38" s="371">
        <f>'5.Bev.össz'!A39</f>
        <v>0</v>
      </c>
      <c r="B38" s="78">
        <f>SUM('7.finanszírozás.'!D102)</f>
        <v>0</v>
      </c>
      <c r="C38" s="78">
        <f>SUM('7.finanszírozás.'!D109)</f>
        <v>0</v>
      </c>
      <c r="D38" s="78">
        <f>SUM('7.finanszírozás.'!D116)</f>
        <v>0</v>
      </c>
      <c r="E38" s="78"/>
      <c r="F38" s="78">
        <f>'7.finanszírozás.'!D137</f>
        <v>0</v>
      </c>
      <c r="G38" s="78"/>
      <c r="H38" s="78"/>
      <c r="I38" s="78"/>
      <c r="J38" s="155">
        <f t="shared" si="24"/>
        <v>0</v>
      </c>
      <c r="K38" s="78">
        <f>'7.finanszírozás.'!D123</f>
        <v>0</v>
      </c>
      <c r="L38" s="78"/>
      <c r="M38" s="78"/>
      <c r="N38" s="156">
        <f t="shared" si="25"/>
        <v>0</v>
      </c>
      <c r="O38" s="372">
        <f t="shared" si="26"/>
        <v>0</v>
      </c>
      <c r="P38" s="373"/>
    </row>
    <row r="39" spans="1:17" s="79" customFormat="1" hidden="1" x14ac:dyDescent="0.2">
      <c r="A39" s="371" t="str">
        <f>'5.Bev.össz'!A40</f>
        <v xml:space="preserve">       Teljesítés 2021.12.31.</v>
      </c>
      <c r="B39" s="78">
        <f>SUM('7.finanszírozás.'!D103)</f>
        <v>180381</v>
      </c>
      <c r="C39" s="78">
        <f>SUM('7.finanszírozás.'!D110)</f>
        <v>27513</v>
      </c>
      <c r="D39" s="78">
        <f>SUM('7.finanszírozás.'!D117)</f>
        <v>22376</v>
      </c>
      <c r="E39" s="78"/>
      <c r="F39" s="78">
        <f>'7.finanszírozás.'!D138</f>
        <v>0</v>
      </c>
      <c r="G39" s="78"/>
      <c r="H39" s="78"/>
      <c r="I39" s="78"/>
      <c r="J39" s="155">
        <f t="shared" si="24"/>
        <v>230270</v>
      </c>
      <c r="K39" s="78">
        <f>'7.finanszírozás.'!D124</f>
        <v>1003</v>
      </c>
      <c r="L39" s="78"/>
      <c r="M39" s="78"/>
      <c r="N39" s="156">
        <f t="shared" si="25"/>
        <v>1003</v>
      </c>
      <c r="O39" s="372">
        <f t="shared" si="26"/>
        <v>231273</v>
      </c>
      <c r="P39" s="373">
        <v>40</v>
      </c>
    </row>
    <row r="40" spans="1:17" s="79" customFormat="1" x14ac:dyDescent="0.2">
      <c r="A40" s="371" t="str">
        <f>'5.Bev.össz'!A41</f>
        <v xml:space="preserve">       Nem kötelező (eredeti előirányzat 2021. év)</v>
      </c>
      <c r="B40" s="78"/>
      <c r="C40" s="78"/>
      <c r="D40" s="78"/>
      <c r="E40" s="78"/>
      <c r="F40" s="78"/>
      <c r="G40" s="78"/>
      <c r="H40" s="78"/>
      <c r="I40" s="78"/>
      <c r="J40" s="155"/>
      <c r="K40" s="78"/>
      <c r="L40" s="78"/>
      <c r="M40" s="78"/>
      <c r="N40" s="156"/>
      <c r="O40" s="372"/>
      <c r="P40" s="373"/>
    </row>
    <row r="41" spans="1:17" s="79" customFormat="1" ht="13.5" thickBot="1" x14ac:dyDescent="0.25">
      <c r="A41" s="371" t="str">
        <f>'5.Bev.össz'!A42</f>
        <v xml:space="preserve">       Államigazgatási feladatok</v>
      </c>
      <c r="B41" s="740"/>
      <c r="C41" s="740"/>
      <c r="D41" s="740"/>
      <c r="E41" s="740"/>
      <c r="F41" s="740"/>
      <c r="G41" s="740"/>
      <c r="H41" s="740"/>
      <c r="I41" s="740"/>
      <c r="J41" s="739"/>
      <c r="K41" s="740"/>
      <c r="L41" s="740"/>
      <c r="M41" s="740"/>
      <c r="N41" s="739"/>
      <c r="O41" s="738"/>
      <c r="P41" s="373"/>
    </row>
    <row r="42" spans="1:17" s="79" customFormat="1" ht="35.25" customHeight="1" thickBot="1" x14ac:dyDescent="0.25">
      <c r="A42" s="152" t="str">
        <f>'5.Bev.össz'!A43</f>
        <v>Önk.mindösszesen (eredeti előirányzat 2021. év)</v>
      </c>
      <c r="B42" s="153">
        <f>SUM(B9+B28)</f>
        <v>214835</v>
      </c>
      <c r="C42" s="153">
        <f t="shared" ref="C42:N42" si="27">SUM(C9+C28)</f>
        <v>33198</v>
      </c>
      <c r="D42" s="153">
        <f t="shared" si="27"/>
        <v>327528</v>
      </c>
      <c r="E42" s="153">
        <f t="shared" si="27"/>
        <v>9300</v>
      </c>
      <c r="F42" s="153">
        <f t="shared" si="27"/>
        <v>385336</v>
      </c>
      <c r="G42" s="153">
        <f t="shared" si="27"/>
        <v>173144</v>
      </c>
      <c r="H42" s="153">
        <f t="shared" si="27"/>
        <v>35152</v>
      </c>
      <c r="I42" s="153">
        <f t="shared" si="27"/>
        <v>29963</v>
      </c>
      <c r="J42" s="153">
        <f t="shared" si="27"/>
        <v>1208456</v>
      </c>
      <c r="K42" s="153">
        <f t="shared" si="27"/>
        <v>221251</v>
      </c>
      <c r="L42" s="153">
        <f t="shared" si="27"/>
        <v>587652</v>
      </c>
      <c r="M42" s="153">
        <f t="shared" si="27"/>
        <v>54135</v>
      </c>
      <c r="N42" s="153">
        <f t="shared" si="27"/>
        <v>863038</v>
      </c>
      <c r="O42" s="154">
        <f>SUM(O9+O28)</f>
        <v>2071494</v>
      </c>
      <c r="P42" s="378">
        <f t="shared" ref="P42:P47" si="28">P9+P28</f>
        <v>48</v>
      </c>
      <c r="Q42" s="272"/>
    </row>
    <row r="43" spans="1:17" s="79" customFormat="1" ht="32.25" hidden="1" thickBot="1" x14ac:dyDescent="0.25">
      <c r="A43" s="152" t="str">
        <f>'5.Bev.össz'!A44</f>
        <v>Önk.mindösszesen (módosított ei. 2021.07. havi)</v>
      </c>
      <c r="B43" s="153">
        <f t="shared" ref="B43:O43" si="29">SUM(B10+B29)</f>
        <v>221127</v>
      </c>
      <c r="C43" s="153">
        <f t="shared" si="29"/>
        <v>34088</v>
      </c>
      <c r="D43" s="153">
        <f t="shared" si="29"/>
        <v>352483</v>
      </c>
      <c r="E43" s="153">
        <f t="shared" si="29"/>
        <v>9300</v>
      </c>
      <c r="F43" s="153">
        <f t="shared" si="29"/>
        <v>388888</v>
      </c>
      <c r="G43" s="153">
        <f t="shared" si="29"/>
        <v>180118</v>
      </c>
      <c r="H43" s="153">
        <f t="shared" si="29"/>
        <v>35152</v>
      </c>
      <c r="I43" s="153">
        <f t="shared" si="29"/>
        <v>11606</v>
      </c>
      <c r="J43" s="153">
        <f t="shared" si="29"/>
        <v>1232762</v>
      </c>
      <c r="K43" s="153">
        <f t="shared" si="29"/>
        <v>195969</v>
      </c>
      <c r="L43" s="153">
        <f t="shared" si="29"/>
        <v>615464</v>
      </c>
      <c r="M43" s="153">
        <f t="shared" si="29"/>
        <v>172309</v>
      </c>
      <c r="N43" s="153">
        <f t="shared" si="29"/>
        <v>983742</v>
      </c>
      <c r="O43" s="154">
        <f t="shared" si="29"/>
        <v>2216504</v>
      </c>
      <c r="P43" s="378">
        <f t="shared" si="28"/>
        <v>48</v>
      </c>
      <c r="Q43" s="272"/>
    </row>
    <row r="44" spans="1:17" s="79" customFormat="1" ht="32.25" thickBot="1" x14ac:dyDescent="0.25">
      <c r="A44" s="152" t="str">
        <f>'5.Bev.össz'!A45</f>
        <v>Önk.mindösszesen (módosított ei. 2021.10. havi)</v>
      </c>
      <c r="B44" s="153">
        <f t="shared" ref="B44:O44" si="30">SUM(B11+B30)</f>
        <v>221216</v>
      </c>
      <c r="C44" s="153">
        <f t="shared" si="30"/>
        <v>34156</v>
      </c>
      <c r="D44" s="153">
        <f t="shared" si="30"/>
        <v>378912</v>
      </c>
      <c r="E44" s="153">
        <f t="shared" si="30"/>
        <v>9300</v>
      </c>
      <c r="F44" s="153">
        <f t="shared" si="30"/>
        <v>408819</v>
      </c>
      <c r="G44" s="153">
        <f t="shared" si="30"/>
        <v>180118</v>
      </c>
      <c r="H44" s="153">
        <f t="shared" si="30"/>
        <v>35152</v>
      </c>
      <c r="I44" s="153">
        <f t="shared" si="30"/>
        <v>67246</v>
      </c>
      <c r="J44" s="153">
        <f t="shared" si="30"/>
        <v>1334919</v>
      </c>
      <c r="K44" s="153">
        <f t="shared" si="30"/>
        <v>576743</v>
      </c>
      <c r="L44" s="153">
        <f t="shared" si="30"/>
        <v>679037</v>
      </c>
      <c r="M44" s="153">
        <f t="shared" si="30"/>
        <v>91006</v>
      </c>
      <c r="N44" s="153">
        <f t="shared" si="30"/>
        <v>1346786</v>
      </c>
      <c r="O44" s="154">
        <f t="shared" si="30"/>
        <v>2681705</v>
      </c>
      <c r="P44" s="378">
        <f t="shared" si="28"/>
        <v>48</v>
      </c>
      <c r="Q44" s="272"/>
    </row>
    <row r="45" spans="1:17" s="79" customFormat="1" ht="37.5" customHeight="1" thickBot="1" x14ac:dyDescent="0.25">
      <c r="A45" s="152" t="str">
        <f>'5.Bev.össz'!A46</f>
        <v>Önk.mindösszesen (módosított ei. 2021.12.31.havi)</v>
      </c>
      <c r="B45" s="153">
        <f t="shared" ref="B45:O45" si="31">SUM(B12+B31)</f>
        <v>222132</v>
      </c>
      <c r="C45" s="153">
        <f t="shared" si="31"/>
        <v>34156</v>
      </c>
      <c r="D45" s="153">
        <f t="shared" si="31"/>
        <v>391267</v>
      </c>
      <c r="E45" s="153">
        <f t="shared" si="31"/>
        <v>10305</v>
      </c>
      <c r="F45" s="153">
        <f t="shared" si="31"/>
        <v>411002</v>
      </c>
      <c r="G45" s="153">
        <f t="shared" si="31"/>
        <v>182576</v>
      </c>
      <c r="H45" s="153">
        <f t="shared" si="31"/>
        <v>35152</v>
      </c>
      <c r="I45" s="153">
        <f t="shared" si="31"/>
        <v>124822</v>
      </c>
      <c r="J45" s="153">
        <f t="shared" si="31"/>
        <v>1411412</v>
      </c>
      <c r="K45" s="153">
        <f t="shared" si="31"/>
        <v>577785</v>
      </c>
      <c r="L45" s="153">
        <f t="shared" si="31"/>
        <v>679427</v>
      </c>
      <c r="M45" s="153">
        <f t="shared" si="31"/>
        <v>89643</v>
      </c>
      <c r="N45" s="153">
        <f t="shared" si="31"/>
        <v>1346855</v>
      </c>
      <c r="O45" s="154">
        <f t="shared" si="31"/>
        <v>2758267</v>
      </c>
      <c r="P45" s="378">
        <f t="shared" si="28"/>
        <v>48</v>
      </c>
      <c r="Q45" s="272"/>
    </row>
    <row r="46" spans="1:17" s="79" customFormat="1" ht="24" hidden="1" customHeight="1" thickBot="1" x14ac:dyDescent="0.25">
      <c r="A46" s="152">
        <f>'5.Bev.össz'!A47</f>
        <v>0</v>
      </c>
      <c r="B46" s="153">
        <f t="shared" ref="B46:O46" si="32">SUM(B13+B32)</f>
        <v>0</v>
      </c>
      <c r="C46" s="153">
        <f t="shared" si="32"/>
        <v>0</v>
      </c>
      <c r="D46" s="153">
        <f t="shared" si="32"/>
        <v>0</v>
      </c>
      <c r="E46" s="153">
        <f t="shared" si="32"/>
        <v>0</v>
      </c>
      <c r="F46" s="153">
        <f t="shared" si="32"/>
        <v>0</v>
      </c>
      <c r="G46" s="153">
        <f t="shared" si="32"/>
        <v>0</v>
      </c>
      <c r="H46" s="153">
        <f t="shared" si="32"/>
        <v>0</v>
      </c>
      <c r="I46" s="153">
        <f t="shared" si="32"/>
        <v>0</v>
      </c>
      <c r="J46" s="153">
        <f t="shared" si="32"/>
        <v>0</v>
      </c>
      <c r="K46" s="153">
        <f t="shared" si="32"/>
        <v>0</v>
      </c>
      <c r="L46" s="153">
        <f t="shared" si="32"/>
        <v>0</v>
      </c>
      <c r="M46" s="153">
        <f t="shared" si="32"/>
        <v>0</v>
      </c>
      <c r="N46" s="153">
        <f t="shared" si="32"/>
        <v>0</v>
      </c>
      <c r="O46" s="154">
        <f t="shared" si="32"/>
        <v>0</v>
      </c>
      <c r="P46" s="378">
        <f t="shared" si="28"/>
        <v>0</v>
      </c>
      <c r="Q46" s="272"/>
    </row>
    <row r="47" spans="1:17" s="79" customFormat="1" ht="15.75" hidden="1" customHeight="1" thickBot="1" x14ac:dyDescent="0.25">
      <c r="A47" s="152" t="str">
        <f>'5.Bev.össz'!A48</f>
        <v>Önk.mindösszesen (Teljesítés 2021.12.31.)</v>
      </c>
      <c r="B47" s="153">
        <f t="shared" ref="B47:O47" si="33">SUM(B14+B33)</f>
        <v>218807</v>
      </c>
      <c r="C47" s="153">
        <f t="shared" si="33"/>
        <v>33368</v>
      </c>
      <c r="D47" s="153">
        <f t="shared" si="33"/>
        <v>206818</v>
      </c>
      <c r="E47" s="153">
        <f t="shared" si="33"/>
        <v>10004</v>
      </c>
      <c r="F47" s="153">
        <f t="shared" si="33"/>
        <v>387714</v>
      </c>
      <c r="G47" s="153">
        <f t="shared" si="33"/>
        <v>182576</v>
      </c>
      <c r="H47" s="153">
        <f t="shared" si="33"/>
        <v>35153</v>
      </c>
      <c r="I47" s="153">
        <f t="shared" si="33"/>
        <v>0</v>
      </c>
      <c r="J47" s="153">
        <f t="shared" si="33"/>
        <v>1074440</v>
      </c>
      <c r="K47" s="153">
        <f t="shared" si="33"/>
        <v>133863</v>
      </c>
      <c r="L47" s="153">
        <f t="shared" si="33"/>
        <v>251856</v>
      </c>
      <c r="M47" s="153">
        <f t="shared" si="33"/>
        <v>5020</v>
      </c>
      <c r="N47" s="153">
        <f t="shared" si="33"/>
        <v>390739</v>
      </c>
      <c r="O47" s="154">
        <f t="shared" si="33"/>
        <v>1465179</v>
      </c>
      <c r="P47" s="378">
        <f t="shared" si="28"/>
        <v>48</v>
      </c>
      <c r="Q47" s="272"/>
    </row>
    <row r="48" spans="1:17" x14ac:dyDescent="0.2">
      <c r="A48" s="81" t="s">
        <v>431</v>
      </c>
      <c r="O48" s="75">
        <f>SUM('7.finanszírozás.'!F93)</f>
        <v>-182576</v>
      </c>
    </row>
    <row r="49" spans="1:15" x14ac:dyDescent="0.2">
      <c r="A49" s="81" t="s">
        <v>436</v>
      </c>
      <c r="O49" s="777">
        <f>SUM(O45+O48)</f>
        <v>2575691</v>
      </c>
    </row>
    <row r="50" spans="1:15" x14ac:dyDescent="0.2">
      <c r="A50" s="527" t="s">
        <v>434</v>
      </c>
      <c r="O50" s="75">
        <v>0</v>
      </c>
    </row>
    <row r="60" spans="1:15" x14ac:dyDescent="0.2">
      <c r="D60" s="75" t="s">
        <v>976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3"/>
  <sheetViews>
    <sheetView zoomScaleNormal="100" zoomScaleSheetLayoutView="70" workbookViewId="0">
      <selection activeCell="B7" sqref="B7:B8"/>
    </sheetView>
  </sheetViews>
  <sheetFormatPr defaultRowHeight="12.75" x14ac:dyDescent="0.2"/>
  <cols>
    <col min="1" max="1" width="2" style="110" customWidth="1"/>
    <col min="2" max="2" width="47.42578125" customWidth="1"/>
    <col min="3" max="5" width="16.140625" customWidth="1"/>
    <col min="6" max="6" width="18.28515625" customWidth="1"/>
    <col min="7" max="7" width="8.7109375" style="10" hidden="1" customWidth="1"/>
    <col min="8" max="8" width="9.140625" hidden="1" customWidth="1"/>
  </cols>
  <sheetData>
    <row r="1" spans="2:8" x14ac:dyDescent="0.2">
      <c r="B1" s="4"/>
      <c r="C1" s="4"/>
      <c r="D1" s="4"/>
      <c r="E1" s="4"/>
      <c r="F1" s="130" t="s">
        <v>260</v>
      </c>
    </row>
    <row r="2" spans="2:8" x14ac:dyDescent="0.2">
      <c r="B2" s="4"/>
      <c r="C2" s="4"/>
      <c r="D2" s="4"/>
      <c r="E2" s="4"/>
      <c r="F2" s="755" t="str">
        <f>'1.Bev-kiad.'!F2</f>
        <v>a 7/2022.(V.27.) önkormányzati rendelethez</v>
      </c>
    </row>
    <row r="3" spans="2:8" x14ac:dyDescent="0.2">
      <c r="B3" s="4"/>
      <c r="C3" s="4"/>
      <c r="D3" s="4"/>
      <c r="E3" s="4"/>
      <c r="F3" s="212" t="s">
        <v>1316</v>
      </c>
    </row>
    <row r="4" spans="2:8" x14ac:dyDescent="0.2">
      <c r="B4" s="4"/>
      <c r="C4" s="4"/>
      <c r="D4" s="4"/>
      <c r="E4" s="4"/>
      <c r="F4" s="212"/>
    </row>
    <row r="5" spans="2:8" ht="42.75" customHeight="1" x14ac:dyDescent="0.2">
      <c r="B5" s="975" t="s">
        <v>1027</v>
      </c>
      <c r="C5" s="976"/>
      <c r="D5" s="976"/>
      <c r="E5" s="976"/>
      <c r="F5" s="976"/>
    </row>
    <row r="6" spans="2:8" ht="11.25" customHeight="1" thickBot="1" x14ac:dyDescent="0.25">
      <c r="B6" s="4"/>
      <c r="C6" s="4"/>
      <c r="D6" s="4"/>
      <c r="E6" s="4"/>
      <c r="F6" s="67" t="s">
        <v>0</v>
      </c>
    </row>
    <row r="7" spans="2:8" ht="12.75" customHeight="1" x14ac:dyDescent="0.2">
      <c r="B7" s="977" t="s">
        <v>46</v>
      </c>
      <c r="C7" s="979" t="s">
        <v>44</v>
      </c>
      <c r="D7" s="357" t="s">
        <v>45</v>
      </c>
      <c r="E7" s="979" t="s">
        <v>101</v>
      </c>
      <c r="F7" s="973" t="s">
        <v>48</v>
      </c>
      <c r="G7" s="36"/>
    </row>
    <row r="8" spans="2:8" ht="30.75" customHeight="1" thickBot="1" x14ac:dyDescent="0.25">
      <c r="B8" s="978"/>
      <c r="C8" s="980"/>
      <c r="D8" s="82" t="s">
        <v>49</v>
      </c>
      <c r="E8" s="980"/>
      <c r="F8" s="974"/>
      <c r="G8" s="36"/>
    </row>
    <row r="9" spans="2:8" ht="13.5" customHeight="1" x14ac:dyDescent="0.2">
      <c r="B9" s="340" t="s">
        <v>433</v>
      </c>
      <c r="C9" s="136"/>
      <c r="D9" s="137"/>
      <c r="E9" s="137"/>
      <c r="F9" s="137"/>
      <c r="G9" s="36"/>
    </row>
    <row r="10" spans="2:8" x14ac:dyDescent="0.2">
      <c r="B10" s="273" t="s">
        <v>760</v>
      </c>
      <c r="C10" s="298">
        <f>SUM('2.működés'!C8)-E10</f>
        <v>788691</v>
      </c>
      <c r="D10" s="298">
        <f>SUM('9.Hivatal'!R82+'9.Hivatal'!R83+'9.Hivatal'!R84)</f>
        <v>35925</v>
      </c>
      <c r="E10" s="299">
        <f t="shared" ref="E10:E15" si="0">SUM(D10:D10)</f>
        <v>35925</v>
      </c>
      <c r="F10" s="299">
        <f t="shared" ref="F10:F15" si="1">SUM(C10+E10)</f>
        <v>824616</v>
      </c>
      <c r="G10" s="36"/>
      <c r="H10" s="86"/>
    </row>
    <row r="11" spans="2:8" hidden="1" x14ac:dyDescent="0.2">
      <c r="B11" s="273" t="s">
        <v>1235</v>
      </c>
      <c r="C11" s="298">
        <f>SUM('2.működés'!D8)-E11</f>
        <v>805851</v>
      </c>
      <c r="D11" s="298">
        <f>SUM('9.Hivatal'!S82+'9.Hivatal'!S83+'9.Hivatal'!S84)</f>
        <v>36097</v>
      </c>
      <c r="E11" s="299">
        <f>SUM(D11:D11)</f>
        <v>36097</v>
      </c>
      <c r="F11" s="299">
        <f>SUM(C11+E11)</f>
        <v>841948</v>
      </c>
      <c r="G11" s="36"/>
      <c r="H11" s="86"/>
    </row>
    <row r="12" spans="2:8" x14ac:dyDescent="0.2">
      <c r="B12" s="273" t="s">
        <v>1303</v>
      </c>
      <c r="C12" s="298">
        <f>SUM('2.működés'!E8)-E12</f>
        <v>907645</v>
      </c>
      <c r="D12" s="298">
        <f>SUM('9.Hivatal'!T82+'9.Hivatal'!T83+'9.Hivatal'!T84)</f>
        <v>36097</v>
      </c>
      <c r="E12" s="299">
        <f t="shared" si="0"/>
        <v>36097</v>
      </c>
      <c r="F12" s="299">
        <f t="shared" si="1"/>
        <v>943742</v>
      </c>
      <c r="G12" s="36"/>
      <c r="H12" s="86"/>
    </row>
    <row r="13" spans="2:8" x14ac:dyDescent="0.2">
      <c r="B13" s="273" t="s">
        <v>1028</v>
      </c>
      <c r="C13" s="298">
        <f>SUM('2.működés'!F8)-E13</f>
        <v>965222</v>
      </c>
      <c r="D13" s="298">
        <f>SUM('9.Hivatal'!U82+'9.Hivatal'!U83+'9.Hivatal'!U84)</f>
        <v>36643</v>
      </c>
      <c r="E13" s="299">
        <f t="shared" si="0"/>
        <v>36643</v>
      </c>
      <c r="F13" s="299">
        <f t="shared" si="1"/>
        <v>1001865</v>
      </c>
      <c r="G13" s="36"/>
      <c r="H13" s="86"/>
    </row>
    <row r="14" spans="2:8" hidden="1" x14ac:dyDescent="0.2">
      <c r="B14" s="273" t="s">
        <v>522</v>
      </c>
      <c r="C14" s="298"/>
      <c r="D14" s="298"/>
      <c r="E14" s="299"/>
      <c r="F14" s="299"/>
      <c r="G14" s="36"/>
      <c r="H14" s="86"/>
    </row>
    <row r="15" spans="2:8" ht="13.5" hidden="1" customHeight="1" x14ac:dyDescent="0.2">
      <c r="B15" s="273" t="s">
        <v>1012</v>
      </c>
      <c r="C15" s="298">
        <f>SUM('2.működés'!G8)-E15</f>
        <v>932851</v>
      </c>
      <c r="D15" s="298">
        <f>SUM('9.Hivatal'!V82+'9.Hivatal'!V83+'9.Hivatal'!V84)</f>
        <v>34216</v>
      </c>
      <c r="E15" s="299">
        <f t="shared" si="0"/>
        <v>34216</v>
      </c>
      <c r="F15" s="299">
        <f t="shared" si="1"/>
        <v>967067</v>
      </c>
      <c r="G15" s="36"/>
      <c r="H15" s="263"/>
    </row>
    <row r="16" spans="2:8" x14ac:dyDescent="0.2">
      <c r="B16" s="273"/>
      <c r="C16" s="298"/>
      <c r="D16" s="298"/>
      <c r="E16" s="299"/>
      <c r="F16" s="299"/>
      <c r="G16" s="36"/>
    </row>
    <row r="17" spans="2:9" ht="13.5" customHeight="1" x14ac:dyDescent="0.2">
      <c r="B17" s="337" t="s">
        <v>390</v>
      </c>
      <c r="C17" s="300"/>
      <c r="D17" s="300"/>
      <c r="E17" s="301"/>
      <c r="F17" s="299"/>
      <c r="G17" s="36"/>
      <c r="H17" s="86"/>
    </row>
    <row r="18" spans="2:9" ht="13.5" customHeight="1" x14ac:dyDescent="0.2">
      <c r="B18" s="273" t="str">
        <f t="shared" ref="B18:B23" si="2">B10</f>
        <v>2021. évi eredeti előirányzat</v>
      </c>
      <c r="C18" s="298">
        <f>'1.Bev-kiad.'!C16+'1.Bev-kiad.'!C40+'1.Bev-kiad.'!C50</f>
        <v>73834</v>
      </c>
      <c r="D18" s="300">
        <v>0</v>
      </c>
      <c r="E18" s="299">
        <v>0</v>
      </c>
      <c r="F18" s="299">
        <f t="shared" ref="F18:F23" si="3">SUM(C18+E18)</f>
        <v>73834</v>
      </c>
      <c r="G18" s="36"/>
      <c r="H18" s="86"/>
    </row>
    <row r="19" spans="2:9" ht="13.5" hidden="1" customHeight="1" x14ac:dyDescent="0.2">
      <c r="B19" s="273" t="str">
        <f t="shared" si="2"/>
        <v>Módosított előirányzat 2021.07.hó</v>
      </c>
      <c r="C19" s="298">
        <f>'1.Bev-kiad.'!D16+'1.Bev-kiad.'!D40+'1.Bev-kiad.'!D50</f>
        <v>194538</v>
      </c>
      <c r="D19" s="300">
        <v>0</v>
      </c>
      <c r="E19" s="299">
        <f>SUM(D19:D19)</f>
        <v>0</v>
      </c>
      <c r="F19" s="299">
        <f t="shared" si="3"/>
        <v>194538</v>
      </c>
      <c r="G19" s="36"/>
      <c r="H19" s="86"/>
    </row>
    <row r="20" spans="2:9" ht="13.5" customHeight="1" x14ac:dyDescent="0.2">
      <c r="B20" s="273" t="str">
        <f t="shared" si="2"/>
        <v>Módosított előirányzat 2021.10.hó</v>
      </c>
      <c r="C20" s="298">
        <f>'1.Bev-kiad.'!E16+'1.Bev-kiad.'!E40+'1.Bev-kiad.'!E50</f>
        <v>215945</v>
      </c>
      <c r="D20" s="300">
        <v>0</v>
      </c>
      <c r="E20" s="299">
        <f>SUM(D20:D20)</f>
        <v>0</v>
      </c>
      <c r="F20" s="299">
        <f t="shared" si="3"/>
        <v>215945</v>
      </c>
      <c r="G20" s="36"/>
      <c r="H20" s="86"/>
    </row>
    <row r="21" spans="2:9" ht="13.5" customHeight="1" x14ac:dyDescent="0.2">
      <c r="B21" s="273" t="str">
        <f t="shared" si="2"/>
        <v>Módosított előirányzat 2021.12.31</v>
      </c>
      <c r="C21" s="298">
        <f>'1.Bev-kiad.'!F16+'1.Bev-kiad.'!F40+'1.Bev-kiad.'!F50</f>
        <v>216010</v>
      </c>
      <c r="D21" s="300">
        <v>0</v>
      </c>
      <c r="E21" s="299">
        <f>SUM(D21:D21)</f>
        <v>0</v>
      </c>
      <c r="F21" s="299">
        <f t="shared" si="3"/>
        <v>216010</v>
      </c>
      <c r="G21" s="36"/>
      <c r="H21" s="86"/>
    </row>
    <row r="22" spans="2:9" ht="13.5" hidden="1" customHeight="1" x14ac:dyDescent="0.2">
      <c r="B22" s="273" t="str">
        <f t="shared" si="2"/>
        <v>Beszámoló előtti ei.mód.</v>
      </c>
      <c r="C22" s="298"/>
      <c r="D22" s="300">
        <v>0</v>
      </c>
      <c r="E22" s="299">
        <f>SUM(D22:D22)</f>
        <v>0</v>
      </c>
      <c r="F22" s="299">
        <f t="shared" si="3"/>
        <v>0</v>
      </c>
      <c r="G22" s="36"/>
      <c r="H22" s="86"/>
    </row>
    <row r="23" spans="2:9" ht="13.5" hidden="1" customHeight="1" x14ac:dyDescent="0.2">
      <c r="B23" s="273" t="str">
        <f t="shared" si="2"/>
        <v>Teljesítés 2021.12.31.</v>
      </c>
      <c r="C23" s="298">
        <f>'1.Bev-kiad.'!G16+'1.Bev-kiad.'!G40+'1.Bev-kiad.'!G50</f>
        <v>95296</v>
      </c>
      <c r="D23" s="300">
        <v>0</v>
      </c>
      <c r="E23" s="299">
        <f>SUM(D23:D23)</f>
        <v>0</v>
      </c>
      <c r="F23" s="299">
        <f t="shared" si="3"/>
        <v>95296</v>
      </c>
      <c r="G23" s="36"/>
      <c r="H23" s="86"/>
    </row>
    <row r="24" spans="2:9" x14ac:dyDescent="0.2">
      <c r="B24" s="273"/>
      <c r="C24" s="298"/>
      <c r="D24" s="300"/>
      <c r="E24" s="301"/>
      <c r="F24" s="299"/>
      <c r="G24" s="36"/>
      <c r="H24" s="86"/>
    </row>
    <row r="25" spans="2:9" ht="15.75" customHeight="1" x14ac:dyDescent="0.2">
      <c r="B25" s="337" t="s">
        <v>50</v>
      </c>
      <c r="C25" s="300"/>
      <c r="D25" s="300"/>
      <c r="E25" s="301"/>
      <c r="F25" s="301"/>
      <c r="G25" s="37"/>
      <c r="I25" s="86"/>
    </row>
    <row r="26" spans="2:9" x14ac:dyDescent="0.2">
      <c r="B26" s="273" t="str">
        <f t="shared" ref="B26:B31" si="4">B18</f>
        <v>2021. évi eredeti előirányzat</v>
      </c>
      <c r="C26" s="298">
        <f>SUM(C34+C62)</f>
        <v>982019</v>
      </c>
      <c r="D26" s="298">
        <f t="shared" ref="D26:D31" si="5">SUM(D46+D54+D34)</f>
        <v>191025</v>
      </c>
      <c r="E26" s="299">
        <f t="shared" ref="E26:E31" si="6">SUM(D26:D26)</f>
        <v>191025</v>
      </c>
      <c r="F26" s="299">
        <f t="shared" ref="F26:F31" si="7">SUM(C26+E26)</f>
        <v>1173044</v>
      </c>
      <c r="G26" s="191"/>
    </row>
    <row r="27" spans="2:9" hidden="1" x14ac:dyDescent="0.2">
      <c r="B27" s="273" t="str">
        <f t="shared" si="4"/>
        <v>Módosított előirányzat 2021.07.hó</v>
      </c>
      <c r="C27" s="298">
        <f>SUM(C35+C63)</f>
        <v>982019</v>
      </c>
      <c r="D27" s="298">
        <f t="shared" si="5"/>
        <v>197999</v>
      </c>
      <c r="E27" s="299">
        <f t="shared" si="6"/>
        <v>197999</v>
      </c>
      <c r="F27" s="299">
        <f t="shared" si="7"/>
        <v>1180018</v>
      </c>
      <c r="G27" s="191"/>
    </row>
    <row r="28" spans="2:9" x14ac:dyDescent="0.2">
      <c r="B28" s="273" t="str">
        <f t="shared" si="4"/>
        <v>Módosított előirányzat 2021.10.hó</v>
      </c>
      <c r="C28" s="298">
        <f>SUM(C36+C64)</f>
        <v>1324019</v>
      </c>
      <c r="D28" s="298">
        <f t="shared" si="5"/>
        <v>197999</v>
      </c>
      <c r="E28" s="299">
        <f t="shared" si="6"/>
        <v>197999</v>
      </c>
      <c r="F28" s="299">
        <f t="shared" si="7"/>
        <v>1522018</v>
      </c>
      <c r="G28" s="36"/>
    </row>
    <row r="29" spans="2:9" x14ac:dyDescent="0.2">
      <c r="B29" s="273" t="str">
        <f t="shared" si="4"/>
        <v>Módosított előirányzat 2021.12.31</v>
      </c>
      <c r="C29" s="298">
        <f>SUM(C37+C65)+C42</f>
        <v>1339935</v>
      </c>
      <c r="D29" s="298">
        <f t="shared" si="5"/>
        <v>200457</v>
      </c>
      <c r="E29" s="299">
        <f t="shared" si="6"/>
        <v>200457</v>
      </c>
      <c r="F29" s="299">
        <f t="shared" si="7"/>
        <v>1540392</v>
      </c>
      <c r="G29" s="36"/>
    </row>
    <row r="30" spans="2:9" hidden="1" x14ac:dyDescent="0.2">
      <c r="B30" s="273" t="str">
        <f t="shared" si="4"/>
        <v>Beszámoló előtti ei.mód.</v>
      </c>
      <c r="C30" s="298">
        <f>SUM(C38+C66)</f>
        <v>0</v>
      </c>
      <c r="D30" s="298">
        <f t="shared" si="5"/>
        <v>0</v>
      </c>
      <c r="E30" s="299">
        <f t="shared" si="6"/>
        <v>0</v>
      </c>
      <c r="F30" s="299">
        <f t="shared" si="7"/>
        <v>0</v>
      </c>
      <c r="G30" s="36"/>
    </row>
    <row r="31" spans="2:9" hidden="1" x14ac:dyDescent="0.2">
      <c r="B31" s="273" t="str">
        <f t="shared" si="4"/>
        <v>Teljesítés 2021.12.31.</v>
      </c>
      <c r="C31" s="298">
        <f>SUM(C39+C67)+C43</f>
        <v>997935</v>
      </c>
      <c r="D31" s="298">
        <f t="shared" si="5"/>
        <v>200457</v>
      </c>
      <c r="E31" s="299">
        <f t="shared" si="6"/>
        <v>200457</v>
      </c>
      <c r="F31" s="299">
        <f t="shared" si="7"/>
        <v>1198392</v>
      </c>
      <c r="G31" s="191"/>
    </row>
    <row r="32" spans="2:9" x14ac:dyDescent="0.2">
      <c r="B32" s="273"/>
      <c r="C32" s="298"/>
      <c r="D32" s="298"/>
      <c r="E32" s="299"/>
      <c r="F32" s="299"/>
      <c r="G32" s="37"/>
    </row>
    <row r="33" spans="2:9" ht="14.25" customHeight="1" x14ac:dyDescent="0.2">
      <c r="B33" s="350" t="s">
        <v>447</v>
      </c>
      <c r="C33" s="300"/>
      <c r="D33" s="298"/>
      <c r="E33" s="299"/>
      <c r="F33" s="299"/>
      <c r="G33" s="37"/>
    </row>
    <row r="34" spans="2:9" ht="14.25" customHeight="1" x14ac:dyDescent="0.2">
      <c r="B34" s="273" t="str">
        <f t="shared" ref="B34:B39" si="8">B26</f>
        <v>2021. évi eredeti előirányzat</v>
      </c>
      <c r="C34" s="300">
        <f>SUM('1.Bev-kiad.'!C56)-D34</f>
        <v>982019</v>
      </c>
      <c r="D34" s="300">
        <f>SUM('9.Hivatal'!R85)</f>
        <v>17881</v>
      </c>
      <c r="E34" s="299">
        <f t="shared" ref="E34:E39" si="9">SUM(D34:D34)</f>
        <v>17881</v>
      </c>
      <c r="F34" s="299">
        <f t="shared" ref="F34:F43" si="10">SUM(C34+E34)</f>
        <v>999900</v>
      </c>
      <c r="G34" s="37"/>
    </row>
    <row r="35" spans="2:9" ht="14.25" hidden="1" customHeight="1" x14ac:dyDescent="0.2">
      <c r="B35" s="273" t="str">
        <f t="shared" si="8"/>
        <v>Módosított előirányzat 2021.07.hó</v>
      </c>
      <c r="C35" s="300">
        <f>SUM('1.Bev-kiad.'!D56)-D35</f>
        <v>982019</v>
      </c>
      <c r="D35" s="300">
        <f>SUM('9.Hivatal'!S85)</f>
        <v>17881</v>
      </c>
      <c r="E35" s="299">
        <f t="shared" si="9"/>
        <v>17881</v>
      </c>
      <c r="F35" s="299">
        <f t="shared" si="10"/>
        <v>999900</v>
      </c>
      <c r="G35" s="37"/>
    </row>
    <row r="36" spans="2:9" ht="14.25" customHeight="1" x14ac:dyDescent="0.2">
      <c r="B36" s="273" t="str">
        <f t="shared" si="8"/>
        <v>Módosított előirányzat 2021.10.hó</v>
      </c>
      <c r="C36" s="300">
        <f>SUM('1.Bev-kiad.'!E56)-D36</f>
        <v>982019</v>
      </c>
      <c r="D36" s="300">
        <f>SUM('9.Hivatal'!T85)</f>
        <v>17881</v>
      </c>
      <c r="E36" s="299">
        <f t="shared" si="9"/>
        <v>17881</v>
      </c>
      <c r="F36" s="299">
        <f t="shared" si="10"/>
        <v>999900</v>
      </c>
      <c r="G36" s="37"/>
    </row>
    <row r="37" spans="2:9" ht="14.25" customHeight="1" x14ac:dyDescent="0.2">
      <c r="B37" s="273" t="str">
        <f t="shared" si="8"/>
        <v>Módosított előirányzat 2021.12.31</v>
      </c>
      <c r="C37" s="300">
        <f>SUM('1.Bev-kiad.'!F56)-D37</f>
        <v>982019</v>
      </c>
      <c r="D37" s="300">
        <f>SUM('9.Hivatal'!U85)</f>
        <v>17881</v>
      </c>
      <c r="E37" s="299">
        <f t="shared" si="9"/>
        <v>17881</v>
      </c>
      <c r="F37" s="299">
        <f t="shared" si="10"/>
        <v>999900</v>
      </c>
      <c r="G37" s="37"/>
    </row>
    <row r="38" spans="2:9" ht="14.25" hidden="1" customHeight="1" x14ac:dyDescent="0.2">
      <c r="B38" s="273" t="str">
        <f t="shared" si="8"/>
        <v>Beszámoló előtti ei.mód.</v>
      </c>
      <c r="C38" s="300"/>
      <c r="D38" s="300"/>
      <c r="E38" s="299">
        <f t="shared" si="9"/>
        <v>0</v>
      </c>
      <c r="F38" s="299">
        <f t="shared" si="10"/>
        <v>0</v>
      </c>
      <c r="G38" s="37"/>
    </row>
    <row r="39" spans="2:9" ht="14.25" hidden="1" customHeight="1" x14ac:dyDescent="0.2">
      <c r="B39" s="273" t="str">
        <f t="shared" si="8"/>
        <v>Teljesítés 2021.12.31.</v>
      </c>
      <c r="C39" s="300">
        <f>SUM('1.Bev-kiad.'!G56)-D39</f>
        <v>982019</v>
      </c>
      <c r="D39" s="300">
        <f>SUM('9.Hivatal'!V85)</f>
        <v>17881</v>
      </c>
      <c r="E39" s="299">
        <f t="shared" si="9"/>
        <v>17881</v>
      </c>
      <c r="F39" s="299">
        <f t="shared" si="10"/>
        <v>999900</v>
      </c>
      <c r="G39" s="37"/>
    </row>
    <row r="40" spans="2:9" ht="14.25" customHeight="1" x14ac:dyDescent="0.2">
      <c r="B40" s="273"/>
      <c r="C40" s="300"/>
      <c r="D40" s="300"/>
      <c r="E40" s="299"/>
      <c r="F40" s="299"/>
      <c r="G40" s="37"/>
    </row>
    <row r="41" spans="2:9" ht="14.25" customHeight="1" x14ac:dyDescent="0.2">
      <c r="B41" s="350" t="s">
        <v>1396</v>
      </c>
      <c r="C41" s="300"/>
      <c r="D41" s="300"/>
      <c r="E41" s="299"/>
      <c r="F41" s="299"/>
      <c r="G41" s="37"/>
    </row>
    <row r="42" spans="2:9" ht="14.25" customHeight="1" x14ac:dyDescent="0.2">
      <c r="B42" s="273" t="str">
        <f>B37</f>
        <v>Módosított előirányzat 2021.12.31</v>
      </c>
      <c r="C42" s="300">
        <f>'1.Bev-kiad.'!F59</f>
        <v>15916</v>
      </c>
      <c r="D42" s="300"/>
      <c r="E42" s="299"/>
      <c r="F42" s="299">
        <f t="shared" si="10"/>
        <v>15916</v>
      </c>
      <c r="G42" s="37"/>
    </row>
    <row r="43" spans="2:9" ht="14.25" hidden="1" customHeight="1" x14ac:dyDescent="0.2">
      <c r="B43" s="273" t="str">
        <f>B51</f>
        <v>Teljesítés 2021.12.31.</v>
      </c>
      <c r="C43" s="300">
        <f>'1.Bev-kiad.'!G59</f>
        <v>15916</v>
      </c>
      <c r="D43" s="300"/>
      <c r="E43" s="299"/>
      <c r="F43" s="299">
        <f t="shared" si="10"/>
        <v>15916</v>
      </c>
      <c r="G43" s="37"/>
    </row>
    <row r="44" spans="2:9" ht="14.25" customHeight="1" x14ac:dyDescent="0.2">
      <c r="B44" s="273"/>
      <c r="C44" s="300"/>
      <c r="D44" s="300"/>
      <c r="E44" s="299"/>
      <c r="F44" s="299"/>
      <c r="G44" s="37"/>
    </row>
    <row r="45" spans="2:9" x14ac:dyDescent="0.2">
      <c r="B45" s="351" t="s">
        <v>923</v>
      </c>
      <c r="C45" s="300"/>
      <c r="D45" s="300"/>
      <c r="E45" s="301"/>
      <c r="F45" s="301"/>
      <c r="G45" s="85"/>
    </row>
    <row r="46" spans="2:9" x14ac:dyDescent="0.2">
      <c r="B46" s="273" t="str">
        <f t="shared" ref="B46:B51" si="11">B34</f>
        <v>2021. évi eredeti előirányzat</v>
      </c>
      <c r="C46" s="300"/>
      <c r="D46" s="300">
        <f>SUM('9.Hivatal'!R81)</f>
        <v>131680</v>
      </c>
      <c r="E46" s="299">
        <f t="shared" ref="E46:E51" si="12">SUM(D46:D46)</f>
        <v>131680</v>
      </c>
      <c r="F46" s="299">
        <f t="shared" ref="F46:F51" si="13">SUM(C46+E46)</f>
        <v>131680</v>
      </c>
      <c r="G46" s="191"/>
      <c r="H46" s="37"/>
      <c r="I46" s="37"/>
    </row>
    <row r="47" spans="2:9" hidden="1" x14ac:dyDescent="0.2">
      <c r="B47" s="273" t="str">
        <f t="shared" si="11"/>
        <v>Módosított előirányzat 2021.07.hó</v>
      </c>
      <c r="C47" s="300"/>
      <c r="D47" s="300">
        <f>SUM('9.Hivatal'!S81)</f>
        <v>132089</v>
      </c>
      <c r="E47" s="299">
        <f t="shared" si="12"/>
        <v>132089</v>
      </c>
      <c r="F47" s="299">
        <f t="shared" si="13"/>
        <v>132089</v>
      </c>
      <c r="G47" s="191"/>
      <c r="H47" s="37"/>
      <c r="I47" s="37"/>
    </row>
    <row r="48" spans="2:9" x14ac:dyDescent="0.2">
      <c r="B48" s="273" t="str">
        <f t="shared" si="11"/>
        <v>Módosított előirányzat 2021.10.hó</v>
      </c>
      <c r="C48" s="300"/>
      <c r="D48" s="300">
        <f>SUM('9.Hivatal'!T81)</f>
        <v>132089</v>
      </c>
      <c r="E48" s="299">
        <f t="shared" si="12"/>
        <v>132089</v>
      </c>
      <c r="F48" s="299">
        <f t="shared" si="13"/>
        <v>132089</v>
      </c>
      <c r="G48" s="191"/>
      <c r="H48" s="37"/>
      <c r="I48" s="37"/>
    </row>
    <row r="49" spans="2:9" x14ac:dyDescent="0.2">
      <c r="B49" s="273" t="str">
        <f t="shared" si="11"/>
        <v>Módosított előirányzat 2021.12.31</v>
      </c>
      <c r="C49" s="300"/>
      <c r="D49" s="300">
        <f>SUM('9.Hivatal'!U81)</f>
        <v>132089</v>
      </c>
      <c r="E49" s="299">
        <f t="shared" si="12"/>
        <v>132089</v>
      </c>
      <c r="F49" s="299">
        <f t="shared" si="13"/>
        <v>132089</v>
      </c>
      <c r="G49" s="191"/>
      <c r="H49" s="37"/>
      <c r="I49" s="37"/>
    </row>
    <row r="50" spans="2:9" hidden="1" x14ac:dyDescent="0.2">
      <c r="B50" s="273" t="str">
        <f t="shared" si="11"/>
        <v>Beszámoló előtti ei.mód.</v>
      </c>
      <c r="C50" s="300"/>
      <c r="D50" s="300">
        <v>0</v>
      </c>
      <c r="E50" s="299">
        <f t="shared" si="12"/>
        <v>0</v>
      </c>
      <c r="F50" s="299">
        <f t="shared" si="13"/>
        <v>0</v>
      </c>
      <c r="G50" s="191"/>
      <c r="H50" s="37"/>
      <c r="I50" s="37"/>
    </row>
    <row r="51" spans="2:9" ht="13.5" hidden="1" customHeight="1" x14ac:dyDescent="0.2">
      <c r="B51" s="273" t="str">
        <f t="shared" si="11"/>
        <v>Teljesítés 2021.12.31.</v>
      </c>
      <c r="C51" s="300"/>
      <c r="D51" s="300">
        <f>SUM('9.Hivatal'!V81)</f>
        <v>132089</v>
      </c>
      <c r="E51" s="299">
        <f t="shared" si="12"/>
        <v>132089</v>
      </c>
      <c r="F51" s="299">
        <f t="shared" si="13"/>
        <v>132089</v>
      </c>
      <c r="G51" s="191"/>
      <c r="H51" s="37"/>
      <c r="I51" s="37"/>
    </row>
    <row r="52" spans="2:9" x14ac:dyDescent="0.2">
      <c r="B52" s="273"/>
      <c r="C52" s="300"/>
      <c r="D52" s="300"/>
      <c r="E52" s="299"/>
      <c r="F52" s="299"/>
      <c r="G52" s="37"/>
      <c r="H52" s="37"/>
      <c r="I52" s="37"/>
    </row>
    <row r="53" spans="2:9" ht="26.25" customHeight="1" x14ac:dyDescent="0.2">
      <c r="B53" s="351" t="s">
        <v>51</v>
      </c>
      <c r="C53" s="300"/>
      <c r="D53" s="300"/>
      <c r="E53" s="301"/>
      <c r="F53" s="301"/>
      <c r="G53" s="36"/>
      <c r="H53" s="36"/>
      <c r="I53" s="36"/>
    </row>
    <row r="54" spans="2:9" x14ac:dyDescent="0.2">
      <c r="B54" s="273" t="str">
        <f t="shared" ref="B54:B59" si="14">B46</f>
        <v>2021. évi eredeti előirányzat</v>
      </c>
      <c r="C54" s="300"/>
      <c r="D54" s="300">
        <f>SUM('9.Hivatal'!R87)</f>
        <v>41464</v>
      </c>
      <c r="E54" s="299">
        <f t="shared" ref="E54:E59" si="15">SUM(D54:D54)</f>
        <v>41464</v>
      </c>
      <c r="F54" s="299">
        <f t="shared" ref="F54:F59" si="16">SUM(E54)</f>
        <v>41464</v>
      </c>
      <c r="G54" s="37">
        <f t="shared" ref="G54:G59" si="17">SUM(E70-E10-E34)</f>
        <v>173144</v>
      </c>
      <c r="H54" s="37"/>
      <c r="I54" s="37"/>
    </row>
    <row r="55" spans="2:9" hidden="1" x14ac:dyDescent="0.2">
      <c r="B55" s="273" t="str">
        <f t="shared" si="14"/>
        <v>Módosított előirányzat 2021.07.hó</v>
      </c>
      <c r="C55" s="300"/>
      <c r="D55" s="300">
        <f>SUM('9.Hivatal'!S87)</f>
        <v>48029</v>
      </c>
      <c r="E55" s="299">
        <f t="shared" si="15"/>
        <v>48029</v>
      </c>
      <c r="F55" s="299">
        <f t="shared" si="16"/>
        <v>48029</v>
      </c>
      <c r="G55" s="37">
        <f t="shared" si="17"/>
        <v>180118</v>
      </c>
      <c r="H55" s="37"/>
      <c r="I55" s="37"/>
    </row>
    <row r="56" spans="2:9" x14ac:dyDescent="0.2">
      <c r="B56" s="273" t="str">
        <f t="shared" si="14"/>
        <v>Módosított előirányzat 2021.10.hó</v>
      </c>
      <c r="C56" s="300"/>
      <c r="D56" s="300">
        <f>SUM('9.Hivatal'!T87)</f>
        <v>48029</v>
      </c>
      <c r="E56" s="299">
        <f t="shared" si="15"/>
        <v>48029</v>
      </c>
      <c r="F56" s="299">
        <f t="shared" si="16"/>
        <v>48029</v>
      </c>
      <c r="G56" s="37">
        <f t="shared" si="17"/>
        <v>180118</v>
      </c>
      <c r="H56" s="37"/>
      <c r="I56" s="37"/>
    </row>
    <row r="57" spans="2:9" x14ac:dyDescent="0.2">
      <c r="B57" s="273" t="str">
        <f t="shared" si="14"/>
        <v>Módosított előirányzat 2021.12.31</v>
      </c>
      <c r="C57" s="300"/>
      <c r="D57" s="300">
        <f>SUM('9.Hivatal'!U87)</f>
        <v>50487</v>
      </c>
      <c r="E57" s="299">
        <f t="shared" si="15"/>
        <v>50487</v>
      </c>
      <c r="F57" s="299">
        <f t="shared" si="16"/>
        <v>50487</v>
      </c>
      <c r="G57" s="37">
        <f t="shared" si="17"/>
        <v>182576</v>
      </c>
      <c r="H57" s="37"/>
      <c r="I57" s="37"/>
    </row>
    <row r="58" spans="2:9" hidden="1" x14ac:dyDescent="0.2">
      <c r="B58" s="273" t="str">
        <f t="shared" si="14"/>
        <v>Beszámoló előtti ei.mód.</v>
      </c>
      <c r="C58" s="300"/>
      <c r="D58" s="300">
        <v>0</v>
      </c>
      <c r="E58" s="299">
        <f t="shared" si="15"/>
        <v>0</v>
      </c>
      <c r="F58" s="299">
        <f t="shared" si="16"/>
        <v>0</v>
      </c>
      <c r="G58" s="37">
        <f t="shared" si="17"/>
        <v>0</v>
      </c>
      <c r="H58" s="37"/>
      <c r="I58" s="37"/>
    </row>
    <row r="59" spans="2:9" ht="13.5" hidden="1" customHeight="1" x14ac:dyDescent="0.2">
      <c r="B59" s="273" t="str">
        <f t="shared" si="14"/>
        <v>Teljesítés 2021.12.31.</v>
      </c>
      <c r="C59" s="300"/>
      <c r="D59" s="300">
        <f>SUM('9.Hivatal'!V87)</f>
        <v>50487</v>
      </c>
      <c r="E59" s="299">
        <f t="shared" si="15"/>
        <v>50487</v>
      </c>
      <c r="F59" s="299">
        <f t="shared" si="16"/>
        <v>50487</v>
      </c>
      <c r="G59" s="37">
        <f t="shared" si="17"/>
        <v>182576</v>
      </c>
      <c r="H59" s="37"/>
      <c r="I59" s="37"/>
    </row>
    <row r="60" spans="2:9" x14ac:dyDescent="0.2">
      <c r="B60" s="273"/>
      <c r="C60" s="300"/>
      <c r="D60" s="300"/>
      <c r="E60" s="299"/>
      <c r="F60" s="299"/>
      <c r="G60" s="37"/>
      <c r="H60" s="37"/>
      <c r="I60" s="37"/>
    </row>
    <row r="61" spans="2:9" ht="13.5" customHeight="1" x14ac:dyDescent="0.2">
      <c r="B61" s="351" t="s">
        <v>510</v>
      </c>
      <c r="C61" s="341"/>
      <c r="D61" s="341"/>
      <c r="E61" s="342"/>
      <c r="F61" s="342"/>
      <c r="G61" s="37"/>
      <c r="H61" s="37"/>
      <c r="I61" s="37"/>
    </row>
    <row r="62" spans="2:9" ht="14.25" customHeight="1" x14ac:dyDescent="0.2">
      <c r="B62" s="367" t="str">
        <f t="shared" ref="B62:B67" si="18">B54</f>
        <v>2021. évi eredeti előirányzat</v>
      </c>
      <c r="C62" s="341">
        <f>SUM('1.Bev-kiad.'!C60)</f>
        <v>0</v>
      </c>
      <c r="D62" s="341"/>
      <c r="E62" s="342"/>
      <c r="F62" s="299">
        <f t="shared" ref="F62:F67" si="19">SUM(C62+E62)</f>
        <v>0</v>
      </c>
      <c r="G62" s="37"/>
      <c r="H62" s="37"/>
      <c r="I62" s="37"/>
    </row>
    <row r="63" spans="2:9" ht="13.5" hidden="1" customHeight="1" x14ac:dyDescent="0.2">
      <c r="B63" s="367" t="str">
        <f t="shared" si="18"/>
        <v>Módosított előirányzat 2021.07.hó</v>
      </c>
      <c r="C63" s="341">
        <f>'1.Bev-kiad.'!D60</f>
        <v>0</v>
      </c>
      <c r="D63" s="341"/>
      <c r="E63" s="342"/>
      <c r="F63" s="84">
        <f t="shared" si="19"/>
        <v>0</v>
      </c>
      <c r="G63" s="37"/>
      <c r="H63" s="37"/>
      <c r="I63" s="37"/>
    </row>
    <row r="64" spans="2:9" ht="13.5" customHeight="1" x14ac:dyDescent="0.2">
      <c r="B64" s="367" t="str">
        <f t="shared" si="18"/>
        <v>Módosított előirányzat 2021.10.hó</v>
      </c>
      <c r="C64" s="341">
        <f>'1.Bev-kiad.'!E60</f>
        <v>342000</v>
      </c>
      <c r="D64" s="341"/>
      <c r="E64" s="342"/>
      <c r="F64" s="84">
        <f t="shared" si="19"/>
        <v>342000</v>
      </c>
      <c r="G64" s="37"/>
      <c r="H64" s="37"/>
      <c r="I64" s="37"/>
    </row>
    <row r="65" spans="2:9" ht="13.5" customHeight="1" x14ac:dyDescent="0.2">
      <c r="B65" s="367" t="str">
        <f t="shared" si="18"/>
        <v>Módosított előirányzat 2021.12.31</v>
      </c>
      <c r="C65" s="341">
        <f>'1.Bev-kiad.'!F60</f>
        <v>342000</v>
      </c>
      <c r="D65" s="341"/>
      <c r="E65" s="342"/>
      <c r="F65" s="84">
        <f t="shared" si="19"/>
        <v>342000</v>
      </c>
      <c r="G65" s="37"/>
      <c r="H65" s="37"/>
      <c r="I65" s="37"/>
    </row>
    <row r="66" spans="2:9" ht="13.5" hidden="1" customHeight="1" x14ac:dyDescent="0.2">
      <c r="B66" s="367" t="str">
        <f t="shared" si="18"/>
        <v>Beszámoló előtti ei.mód.</v>
      </c>
      <c r="C66" s="341">
        <f>'1.Bev-kiad.'!G60</f>
        <v>0</v>
      </c>
      <c r="D66" s="341"/>
      <c r="E66" s="342"/>
      <c r="F66" s="84">
        <f t="shared" si="19"/>
        <v>0</v>
      </c>
      <c r="G66" s="37"/>
      <c r="H66" s="37"/>
      <c r="I66" s="37"/>
    </row>
    <row r="67" spans="2:9" ht="13.5" hidden="1" customHeight="1" x14ac:dyDescent="0.2">
      <c r="B67" s="367" t="str">
        <f t="shared" si="18"/>
        <v>Teljesítés 2021.12.31.</v>
      </c>
      <c r="C67" s="341">
        <f>'1.Bev-kiad.'!H60</f>
        <v>0</v>
      </c>
      <c r="D67" s="341"/>
      <c r="E67" s="342"/>
      <c r="F67" s="84">
        <f t="shared" si="19"/>
        <v>0</v>
      </c>
      <c r="G67" s="37"/>
      <c r="H67" s="37"/>
      <c r="I67" s="37"/>
    </row>
    <row r="68" spans="2:9" ht="13.5" customHeight="1" thickBot="1" x14ac:dyDescent="0.25">
      <c r="B68" s="367"/>
      <c r="C68" s="341"/>
      <c r="D68" s="341"/>
      <c r="E68" s="342"/>
      <c r="F68" s="84"/>
      <c r="G68" s="37"/>
      <c r="H68" s="37"/>
      <c r="I68" s="37"/>
    </row>
    <row r="69" spans="2:9" ht="14.25" customHeight="1" x14ac:dyDescent="0.2">
      <c r="B69" s="131" t="s">
        <v>52</v>
      </c>
      <c r="C69" s="303"/>
      <c r="D69" s="303"/>
      <c r="E69" s="303"/>
      <c r="F69" s="308"/>
      <c r="G69" s="37"/>
      <c r="H69" s="86"/>
    </row>
    <row r="70" spans="2:9" ht="14.25" customHeight="1" x14ac:dyDescent="0.2">
      <c r="B70" s="262" t="str">
        <f t="shared" ref="B70:B75" si="20">B10</f>
        <v>2021. évi eredeti előirányzat</v>
      </c>
      <c r="C70" s="305">
        <f t="shared" ref="C70:C75" si="21">SUM(C10+C26+C18)</f>
        <v>1844544</v>
      </c>
      <c r="D70" s="305">
        <f t="shared" ref="D70:D75" si="22">SUM(D10+D26)</f>
        <v>226950</v>
      </c>
      <c r="E70" s="305">
        <f t="shared" ref="E70:E75" si="23">SUM(D70:D70)</f>
        <v>226950</v>
      </c>
      <c r="F70" s="309">
        <f t="shared" ref="F70:F75" si="24">SUM(C70+E70)</f>
        <v>2071494</v>
      </c>
      <c r="G70" s="191"/>
      <c r="H70" s="263"/>
    </row>
    <row r="71" spans="2:9" ht="14.25" hidden="1" customHeight="1" x14ac:dyDescent="0.2">
      <c r="B71" s="262" t="str">
        <f t="shared" si="20"/>
        <v>Módosított előirányzat 2021.07.hó</v>
      </c>
      <c r="C71" s="305">
        <f t="shared" si="21"/>
        <v>1982408</v>
      </c>
      <c r="D71" s="305">
        <f t="shared" si="22"/>
        <v>234096</v>
      </c>
      <c r="E71" s="305">
        <f t="shared" si="23"/>
        <v>234096</v>
      </c>
      <c r="F71" s="309">
        <f t="shared" si="24"/>
        <v>2216504</v>
      </c>
      <c r="G71" s="191"/>
      <c r="H71" s="263"/>
    </row>
    <row r="72" spans="2:9" ht="14.25" customHeight="1" x14ac:dyDescent="0.2">
      <c r="B72" s="262" t="str">
        <f t="shared" si="20"/>
        <v>Módosított előirányzat 2021.10.hó</v>
      </c>
      <c r="C72" s="305">
        <f t="shared" si="21"/>
        <v>2447609</v>
      </c>
      <c r="D72" s="305">
        <f t="shared" si="22"/>
        <v>234096</v>
      </c>
      <c r="E72" s="305">
        <f t="shared" si="23"/>
        <v>234096</v>
      </c>
      <c r="F72" s="309">
        <f t="shared" si="24"/>
        <v>2681705</v>
      </c>
      <c r="G72" s="191"/>
      <c r="H72" s="263"/>
    </row>
    <row r="73" spans="2:9" ht="14.25" customHeight="1" x14ac:dyDescent="0.2">
      <c r="B73" s="262" t="str">
        <f t="shared" si="20"/>
        <v>Módosított előirányzat 2021.12.31</v>
      </c>
      <c r="C73" s="305">
        <f t="shared" si="21"/>
        <v>2521167</v>
      </c>
      <c r="D73" s="305">
        <f t="shared" si="22"/>
        <v>237100</v>
      </c>
      <c r="E73" s="305">
        <f t="shared" si="23"/>
        <v>237100</v>
      </c>
      <c r="F73" s="309">
        <f t="shared" si="24"/>
        <v>2758267</v>
      </c>
      <c r="G73" s="191"/>
      <c r="H73" s="263"/>
    </row>
    <row r="74" spans="2:9" ht="14.25" hidden="1" customHeight="1" x14ac:dyDescent="0.2">
      <c r="B74" s="262" t="str">
        <f t="shared" si="20"/>
        <v>Beszámoló előtti ei.mód.</v>
      </c>
      <c r="C74" s="305">
        <f t="shared" si="21"/>
        <v>0</v>
      </c>
      <c r="D74" s="305">
        <f t="shared" si="22"/>
        <v>0</v>
      </c>
      <c r="E74" s="305">
        <f t="shared" si="23"/>
        <v>0</v>
      </c>
      <c r="F74" s="309">
        <f t="shared" si="24"/>
        <v>0</v>
      </c>
      <c r="G74" s="191"/>
      <c r="H74" s="263"/>
    </row>
    <row r="75" spans="2:9" hidden="1" x14ac:dyDescent="0.2">
      <c r="B75" s="262" t="str">
        <f t="shared" si="20"/>
        <v>Teljesítés 2021.12.31.</v>
      </c>
      <c r="C75" s="305">
        <f t="shared" si="21"/>
        <v>2026082</v>
      </c>
      <c r="D75" s="305">
        <f t="shared" si="22"/>
        <v>234673</v>
      </c>
      <c r="E75" s="305">
        <f t="shared" si="23"/>
        <v>234673</v>
      </c>
      <c r="F75" s="309">
        <f t="shared" si="24"/>
        <v>2260755</v>
      </c>
      <c r="G75" s="191"/>
      <c r="H75" s="263"/>
    </row>
    <row r="76" spans="2:9" ht="14.25" customHeight="1" x14ac:dyDescent="0.2">
      <c r="B76" s="368" t="s">
        <v>53</v>
      </c>
      <c r="C76" s="305"/>
      <c r="D76" s="305"/>
      <c r="E76" s="305"/>
      <c r="F76" s="309">
        <f t="shared" ref="F76:F81" si="25">-E46-E54</f>
        <v>-173144</v>
      </c>
      <c r="G76" s="36"/>
    </row>
    <row r="77" spans="2:9" ht="12.75" hidden="1" customHeight="1" x14ac:dyDescent="0.2">
      <c r="B77" s="368" t="str">
        <f>B71</f>
        <v>Módosított előirányzat 2021.07.hó</v>
      </c>
      <c r="C77" s="305"/>
      <c r="D77" s="305"/>
      <c r="E77" s="305"/>
      <c r="F77" s="309">
        <f t="shared" si="25"/>
        <v>-180118</v>
      </c>
      <c r="G77" s="36"/>
    </row>
    <row r="78" spans="2:9" ht="12.75" customHeight="1" x14ac:dyDescent="0.2">
      <c r="B78" s="368" t="str">
        <f>B72</f>
        <v>Módosított előirányzat 2021.10.hó</v>
      </c>
      <c r="C78" s="304"/>
      <c r="D78" s="304"/>
      <c r="E78" s="304"/>
      <c r="F78" s="309">
        <f t="shared" si="25"/>
        <v>-180118</v>
      </c>
      <c r="G78" s="36"/>
    </row>
    <row r="79" spans="2:9" ht="15" customHeight="1" thickBot="1" x14ac:dyDescent="0.25">
      <c r="B79" s="368" t="str">
        <f>B73</f>
        <v>Módosított előirányzat 2021.12.31</v>
      </c>
      <c r="C79" s="304"/>
      <c r="D79" s="304"/>
      <c r="E79" s="304"/>
      <c r="F79" s="309">
        <f t="shared" si="25"/>
        <v>-182576</v>
      </c>
      <c r="G79" s="36"/>
    </row>
    <row r="80" spans="2:9" ht="12.75" hidden="1" customHeight="1" x14ac:dyDescent="0.2">
      <c r="B80" s="368" t="str">
        <f>B74</f>
        <v>Beszámoló előtti ei.mód.</v>
      </c>
      <c r="C80" s="304"/>
      <c r="D80" s="304"/>
      <c r="E80" s="304"/>
      <c r="F80" s="309">
        <f t="shared" si="25"/>
        <v>0</v>
      </c>
      <c r="G80" s="36"/>
    </row>
    <row r="81" spans="2:10" ht="13.5" hidden="1" thickBot="1" x14ac:dyDescent="0.25">
      <c r="B81" s="368" t="str">
        <f>B75</f>
        <v>Teljesítés 2021.12.31.</v>
      </c>
      <c r="C81" s="304"/>
      <c r="D81" s="304"/>
      <c r="E81" s="304"/>
      <c r="F81" s="309">
        <f t="shared" si="25"/>
        <v>-182576</v>
      </c>
      <c r="G81" s="36"/>
    </row>
    <row r="82" spans="2:10" ht="13.5" thickBot="1" x14ac:dyDescent="0.25">
      <c r="B82" s="87" t="s">
        <v>54</v>
      </c>
      <c r="C82" s="306"/>
      <c r="D82" s="306"/>
      <c r="E82" s="306"/>
      <c r="F82" s="310">
        <f>SUM(F73+F79)</f>
        <v>2575691</v>
      </c>
      <c r="G82" s="36"/>
    </row>
    <row r="83" spans="2:10" ht="14.25" customHeight="1" x14ac:dyDescent="0.2">
      <c r="B83" s="355" t="s">
        <v>55</v>
      </c>
      <c r="C83" s="307"/>
      <c r="D83" s="307"/>
      <c r="E83" s="307"/>
      <c r="F83" s="311"/>
      <c r="G83" s="37"/>
      <c r="J83" s="86"/>
    </row>
    <row r="84" spans="2:10" x14ac:dyDescent="0.2">
      <c r="B84" s="262" t="str">
        <f t="shared" ref="B84:B95" si="26">B70</f>
        <v>2021. évi eredeti előirányzat</v>
      </c>
      <c r="C84" s="305">
        <f t="shared" ref="C84:C89" si="27">SUM(C98+C105+C112+C119+C126+C133+C140+C147)</f>
        <v>1844544</v>
      </c>
      <c r="D84" s="305">
        <f t="shared" ref="D84:D89" si="28">SUM(D98+D105+D112+D119+D133)</f>
        <v>226950</v>
      </c>
      <c r="E84" s="305">
        <f t="shared" ref="E84:E89" si="29">SUM(D84:D84)</f>
        <v>226950</v>
      </c>
      <c r="F84" s="309">
        <f t="shared" ref="F84:F89" si="30">SUM(C84+E84)</f>
        <v>2071494</v>
      </c>
      <c r="G84" s="191">
        <f t="shared" ref="G84:G89" si="31">SUM(F98+F105+F112+F119+F126+F133+F140+F147)</f>
        <v>2071494</v>
      </c>
      <c r="H84" s="263">
        <f t="shared" ref="H84:H89" si="32">SUM(E98+E105+E112+E119)</f>
        <v>226950</v>
      </c>
    </row>
    <row r="85" spans="2:10" hidden="1" x14ac:dyDescent="0.2">
      <c r="B85" s="262" t="str">
        <f t="shared" si="26"/>
        <v>Módosított előirányzat 2021.07.hó</v>
      </c>
      <c r="C85" s="305">
        <f t="shared" si="27"/>
        <v>1982408</v>
      </c>
      <c r="D85" s="305">
        <f t="shared" si="28"/>
        <v>234096</v>
      </c>
      <c r="E85" s="305">
        <f t="shared" si="29"/>
        <v>234096</v>
      </c>
      <c r="F85" s="309">
        <f t="shared" si="30"/>
        <v>2216504</v>
      </c>
      <c r="G85" s="191">
        <f t="shared" si="31"/>
        <v>2216504</v>
      </c>
      <c r="H85" s="263">
        <f t="shared" si="32"/>
        <v>234096</v>
      </c>
    </row>
    <row r="86" spans="2:10" x14ac:dyDescent="0.2">
      <c r="B86" s="262" t="str">
        <f t="shared" si="26"/>
        <v>Módosított előirányzat 2021.10.hó</v>
      </c>
      <c r="C86" s="305">
        <f t="shared" si="27"/>
        <v>2447609</v>
      </c>
      <c r="D86" s="305">
        <f t="shared" si="28"/>
        <v>234096</v>
      </c>
      <c r="E86" s="305">
        <f t="shared" si="29"/>
        <v>234096</v>
      </c>
      <c r="F86" s="309">
        <f t="shared" si="30"/>
        <v>2681705</v>
      </c>
      <c r="G86" s="191">
        <f t="shared" si="31"/>
        <v>2681705</v>
      </c>
      <c r="H86" s="263">
        <f t="shared" si="32"/>
        <v>234096</v>
      </c>
    </row>
    <row r="87" spans="2:10" x14ac:dyDescent="0.2">
      <c r="B87" s="262" t="str">
        <f t="shared" si="26"/>
        <v>Módosított előirányzat 2021.12.31</v>
      </c>
      <c r="C87" s="305">
        <f t="shared" si="27"/>
        <v>2521167</v>
      </c>
      <c r="D87" s="305">
        <f t="shared" si="28"/>
        <v>237100</v>
      </c>
      <c r="E87" s="305">
        <f t="shared" si="29"/>
        <v>237100</v>
      </c>
      <c r="F87" s="309">
        <f t="shared" si="30"/>
        <v>2758267</v>
      </c>
      <c r="G87" s="191">
        <f t="shared" si="31"/>
        <v>2758267</v>
      </c>
      <c r="H87" s="263">
        <f t="shared" si="32"/>
        <v>237100</v>
      </c>
    </row>
    <row r="88" spans="2:10" hidden="1" x14ac:dyDescent="0.2">
      <c r="B88" s="262" t="str">
        <f t="shared" si="26"/>
        <v>Beszámoló előtti ei.mód.</v>
      </c>
      <c r="C88" s="305">
        <f t="shared" si="27"/>
        <v>0</v>
      </c>
      <c r="D88" s="305">
        <f t="shared" si="28"/>
        <v>0</v>
      </c>
      <c r="E88" s="305">
        <f t="shared" si="29"/>
        <v>0</v>
      </c>
      <c r="F88" s="309">
        <f t="shared" si="30"/>
        <v>0</v>
      </c>
      <c r="G88" s="191">
        <f t="shared" si="31"/>
        <v>0</v>
      </c>
      <c r="H88" s="263">
        <f t="shared" si="32"/>
        <v>0</v>
      </c>
    </row>
    <row r="89" spans="2:10" hidden="1" x14ac:dyDescent="0.2">
      <c r="B89" s="262" t="str">
        <f t="shared" si="26"/>
        <v>Teljesítés 2021.12.31.</v>
      </c>
      <c r="C89" s="305">
        <f t="shared" si="27"/>
        <v>1233906</v>
      </c>
      <c r="D89" s="305">
        <f t="shared" si="28"/>
        <v>231273</v>
      </c>
      <c r="E89" s="305">
        <f t="shared" si="29"/>
        <v>231273</v>
      </c>
      <c r="F89" s="309">
        <f t="shared" si="30"/>
        <v>1465179</v>
      </c>
      <c r="G89" s="191">
        <f t="shared" si="31"/>
        <v>1465179</v>
      </c>
      <c r="H89" s="263">
        <f t="shared" si="32"/>
        <v>231273</v>
      </c>
    </row>
    <row r="90" spans="2:10" x14ac:dyDescent="0.2">
      <c r="B90" s="262" t="str">
        <f t="shared" si="26"/>
        <v xml:space="preserve">Intézményfinanszírozás </v>
      </c>
      <c r="C90" s="305"/>
      <c r="D90" s="305"/>
      <c r="E90" s="305"/>
      <c r="F90" s="309">
        <f t="shared" ref="F90:F95" si="33">F76</f>
        <v>-173144</v>
      </c>
      <c r="G90" s="36"/>
    </row>
    <row r="91" spans="2:10" hidden="1" x14ac:dyDescent="0.2">
      <c r="B91" s="262" t="str">
        <f t="shared" si="26"/>
        <v>Módosított előirányzat 2021.07.hó</v>
      </c>
      <c r="C91" s="304"/>
      <c r="D91" s="304"/>
      <c r="E91" s="304"/>
      <c r="F91" s="309">
        <f t="shared" si="33"/>
        <v>-180118</v>
      </c>
      <c r="G91" s="36"/>
    </row>
    <row r="92" spans="2:10" x14ac:dyDescent="0.2">
      <c r="B92" s="262" t="str">
        <f t="shared" si="26"/>
        <v>Módosított előirányzat 2021.10.hó</v>
      </c>
      <c r="C92" s="304"/>
      <c r="D92" s="304"/>
      <c r="E92" s="304"/>
      <c r="F92" s="309">
        <f t="shared" si="33"/>
        <v>-180118</v>
      </c>
      <c r="G92" s="36"/>
    </row>
    <row r="93" spans="2:10" ht="13.5" thickBot="1" x14ac:dyDescent="0.25">
      <c r="B93" s="262" t="str">
        <f t="shared" si="26"/>
        <v>Módosított előirányzat 2021.12.31</v>
      </c>
      <c r="C93" s="304"/>
      <c r="D93" s="304"/>
      <c r="E93" s="304"/>
      <c r="F93" s="309">
        <f t="shared" si="33"/>
        <v>-182576</v>
      </c>
      <c r="G93" s="36"/>
    </row>
    <row r="94" spans="2:10" hidden="1" x14ac:dyDescent="0.2">
      <c r="B94" s="262" t="str">
        <f t="shared" si="26"/>
        <v>Beszámoló előtti ei.mód.</v>
      </c>
      <c r="C94" s="304"/>
      <c r="D94" s="304"/>
      <c r="E94" s="304"/>
      <c r="F94" s="309">
        <f t="shared" si="33"/>
        <v>0</v>
      </c>
      <c r="G94" s="36"/>
    </row>
    <row r="95" spans="2:10" ht="13.5" hidden="1" thickBot="1" x14ac:dyDescent="0.25">
      <c r="B95" s="262" t="str">
        <f t="shared" si="26"/>
        <v>Teljesítés 2021.12.31.</v>
      </c>
      <c r="C95" s="304"/>
      <c r="D95" s="304"/>
      <c r="E95" s="304"/>
      <c r="F95" s="309">
        <f t="shared" si="33"/>
        <v>-182576</v>
      </c>
      <c r="G95" s="36"/>
    </row>
    <row r="96" spans="2:10" ht="14.25" customHeight="1" thickBot="1" x14ac:dyDescent="0.25">
      <c r="B96" s="87" t="s">
        <v>56</v>
      </c>
      <c r="C96" s="306"/>
      <c r="D96" s="306"/>
      <c r="E96" s="306"/>
      <c r="F96" s="310">
        <f>SUM(F87+F93)</f>
        <v>2575691</v>
      </c>
      <c r="G96" s="37"/>
      <c r="H96" s="86"/>
    </row>
    <row r="97" spans="2:8" ht="13.5" customHeight="1" x14ac:dyDescent="0.2">
      <c r="B97" s="343" t="s">
        <v>34</v>
      </c>
      <c r="C97" s="674"/>
      <c r="D97" s="674"/>
      <c r="E97" s="302"/>
      <c r="F97" s="302"/>
      <c r="G97" s="37"/>
    </row>
    <row r="98" spans="2:8" ht="13.5" customHeight="1" x14ac:dyDescent="0.2">
      <c r="B98" s="353" t="str">
        <f>B10</f>
        <v>2021. évi eredeti előirányzat</v>
      </c>
      <c r="C98" s="300">
        <f>SUM('2.működés'!C115)</f>
        <v>39528</v>
      </c>
      <c r="D98" s="300">
        <f>SUM('9.Hivatal'!R21)</f>
        <v>175307</v>
      </c>
      <c r="E98" s="299">
        <f t="shared" ref="E98:E103" si="34">SUM(D98)</f>
        <v>175307</v>
      </c>
      <c r="F98" s="299">
        <f t="shared" ref="F98:F103" si="35">SUM(C98+E98)</f>
        <v>214835</v>
      </c>
      <c r="G98" s="37"/>
      <c r="H98" s="710"/>
    </row>
    <row r="99" spans="2:8" ht="13.5" hidden="1" customHeight="1" x14ac:dyDescent="0.2">
      <c r="B99" s="353" t="str">
        <f>B71</f>
        <v>Módosított előirányzat 2021.07.hó</v>
      </c>
      <c r="C99" s="300">
        <f>SUM('2.működés'!D115)</f>
        <v>40264</v>
      </c>
      <c r="D99" s="300">
        <f>SUM('9.Hivatal'!S21)</f>
        <v>180863</v>
      </c>
      <c r="E99" s="299">
        <f t="shared" si="34"/>
        <v>180863</v>
      </c>
      <c r="F99" s="299">
        <f t="shared" si="35"/>
        <v>221127</v>
      </c>
      <c r="G99" s="37"/>
    </row>
    <row r="100" spans="2:8" ht="13.5" customHeight="1" x14ac:dyDescent="0.2">
      <c r="B100" s="353" t="str">
        <f>B72</f>
        <v>Módosított előirányzat 2021.10.hó</v>
      </c>
      <c r="C100" s="300">
        <f>SUM('2.működés'!E115)</f>
        <v>40353</v>
      </c>
      <c r="D100" s="300">
        <f>SUM('9.Hivatal'!T21)</f>
        <v>180863</v>
      </c>
      <c r="E100" s="299">
        <f t="shared" si="34"/>
        <v>180863</v>
      </c>
      <c r="F100" s="299">
        <f t="shared" si="35"/>
        <v>221216</v>
      </c>
      <c r="G100" s="37"/>
    </row>
    <row r="101" spans="2:8" ht="13.5" customHeight="1" x14ac:dyDescent="0.2">
      <c r="B101" s="353" t="str">
        <f>B73</f>
        <v>Módosított előirányzat 2021.12.31</v>
      </c>
      <c r="C101" s="300">
        <f>SUM('2.működés'!F115)</f>
        <v>40353</v>
      </c>
      <c r="D101" s="300">
        <f>SUM('9.Hivatal'!U21)</f>
        <v>181779</v>
      </c>
      <c r="E101" s="299">
        <f t="shared" si="34"/>
        <v>181779</v>
      </c>
      <c r="F101" s="299">
        <f t="shared" si="35"/>
        <v>222132</v>
      </c>
      <c r="G101" s="37"/>
    </row>
    <row r="102" spans="2:8" ht="13.5" hidden="1" customHeight="1" x14ac:dyDescent="0.2">
      <c r="B102" s="353" t="str">
        <f>B74</f>
        <v>Beszámoló előtti ei.mód.</v>
      </c>
      <c r="C102" s="300"/>
      <c r="D102" s="300"/>
      <c r="E102" s="299">
        <f t="shared" si="34"/>
        <v>0</v>
      </c>
      <c r="F102" s="299">
        <f t="shared" si="35"/>
        <v>0</v>
      </c>
      <c r="G102" s="37"/>
    </row>
    <row r="103" spans="2:8" hidden="1" x14ac:dyDescent="0.2">
      <c r="B103" s="353" t="str">
        <f>B75</f>
        <v>Teljesítés 2021.12.31.</v>
      </c>
      <c r="C103" s="300">
        <f>SUM('2.működés'!G115)</f>
        <v>38426</v>
      </c>
      <c r="D103" s="300">
        <f>SUM('9.Hivatal'!V21)</f>
        <v>180381</v>
      </c>
      <c r="E103" s="299">
        <f t="shared" si="34"/>
        <v>180381</v>
      </c>
      <c r="F103" s="299">
        <f t="shared" si="35"/>
        <v>218807</v>
      </c>
      <c r="G103" s="37"/>
    </row>
    <row r="104" spans="2:8" ht="14.25" customHeight="1" x14ac:dyDescent="0.2">
      <c r="B104" s="343" t="s">
        <v>458</v>
      </c>
      <c r="C104" s="300"/>
      <c r="D104" s="300"/>
      <c r="E104" s="299"/>
      <c r="F104" s="299"/>
      <c r="G104" s="36"/>
    </row>
    <row r="105" spans="2:8" ht="13.5" customHeight="1" x14ac:dyDescent="0.2">
      <c r="B105" s="353" t="str">
        <f t="shared" ref="B105:B110" si="36">B98</f>
        <v>2021. évi eredeti előirányzat</v>
      </c>
      <c r="C105" s="300">
        <f>SUM('2.működés'!C118)</f>
        <v>6357</v>
      </c>
      <c r="D105" s="300">
        <f>SUM('9.Hivatal'!R24)</f>
        <v>26841</v>
      </c>
      <c r="E105" s="299">
        <f t="shared" ref="E105:E110" si="37">SUM(D105)</f>
        <v>26841</v>
      </c>
      <c r="F105" s="299">
        <f t="shared" ref="F105:F110" si="38">SUM(C105+E105)</f>
        <v>33198</v>
      </c>
      <c r="G105" s="36"/>
    </row>
    <row r="106" spans="2:8" ht="13.5" hidden="1" customHeight="1" x14ac:dyDescent="0.2">
      <c r="B106" s="353" t="str">
        <f t="shared" si="36"/>
        <v>Módosított előirányzat 2021.07.hó</v>
      </c>
      <c r="C106" s="300">
        <f>SUM('2.működés'!D118)</f>
        <v>6452</v>
      </c>
      <c r="D106" s="300">
        <f>SUM('9.Hivatal'!S24)</f>
        <v>27636</v>
      </c>
      <c r="E106" s="299">
        <f t="shared" si="37"/>
        <v>27636</v>
      </c>
      <c r="F106" s="299">
        <f t="shared" si="38"/>
        <v>34088</v>
      </c>
      <c r="G106" s="36"/>
    </row>
    <row r="107" spans="2:8" ht="13.5" customHeight="1" x14ac:dyDescent="0.2">
      <c r="B107" s="353" t="str">
        <f t="shared" si="36"/>
        <v>Módosított előirányzat 2021.10.hó</v>
      </c>
      <c r="C107" s="300">
        <f>SUM('2.működés'!E118)</f>
        <v>6520</v>
      </c>
      <c r="D107" s="300">
        <f>SUM('9.Hivatal'!T24)</f>
        <v>27636</v>
      </c>
      <c r="E107" s="299">
        <f t="shared" si="37"/>
        <v>27636</v>
      </c>
      <c r="F107" s="299">
        <f t="shared" si="38"/>
        <v>34156</v>
      </c>
      <c r="G107" s="36"/>
    </row>
    <row r="108" spans="2:8" ht="13.5" customHeight="1" x14ac:dyDescent="0.2">
      <c r="B108" s="353" t="str">
        <f t="shared" si="36"/>
        <v>Módosított előirányzat 2021.12.31</v>
      </c>
      <c r="C108" s="300">
        <f>SUM('2.működés'!F118)</f>
        <v>6520</v>
      </c>
      <c r="D108" s="300">
        <f>SUM('9.Hivatal'!U24)</f>
        <v>27636</v>
      </c>
      <c r="E108" s="299">
        <f t="shared" si="37"/>
        <v>27636</v>
      </c>
      <c r="F108" s="299">
        <f t="shared" si="38"/>
        <v>34156</v>
      </c>
      <c r="G108" s="36"/>
    </row>
    <row r="109" spans="2:8" ht="13.5" hidden="1" customHeight="1" x14ac:dyDescent="0.2">
      <c r="B109" s="353" t="str">
        <f t="shared" si="36"/>
        <v>Beszámoló előtti ei.mód.</v>
      </c>
      <c r="C109" s="300"/>
      <c r="D109" s="300"/>
      <c r="E109" s="299">
        <f t="shared" si="37"/>
        <v>0</v>
      </c>
      <c r="F109" s="299">
        <f t="shared" si="38"/>
        <v>0</v>
      </c>
      <c r="G109" s="36"/>
    </row>
    <row r="110" spans="2:8" hidden="1" x14ac:dyDescent="0.2">
      <c r="B110" s="353" t="str">
        <f t="shared" si="36"/>
        <v>Teljesítés 2021.12.31.</v>
      </c>
      <c r="C110" s="300">
        <f>SUM('2.működés'!G118)</f>
        <v>5855</v>
      </c>
      <c r="D110" s="300">
        <f>SUM('9.Hivatal'!V24)</f>
        <v>27513</v>
      </c>
      <c r="E110" s="299">
        <f t="shared" si="37"/>
        <v>27513</v>
      </c>
      <c r="F110" s="299">
        <f t="shared" si="38"/>
        <v>33368</v>
      </c>
      <c r="G110" s="36"/>
    </row>
    <row r="111" spans="2:8" ht="13.5" customHeight="1" x14ac:dyDescent="0.2">
      <c r="B111" s="338" t="s">
        <v>39</v>
      </c>
      <c r="C111" s="300"/>
      <c r="D111" s="300"/>
      <c r="E111" s="299"/>
      <c r="F111" s="299"/>
      <c r="G111" s="36"/>
    </row>
    <row r="112" spans="2:8" ht="13.5" customHeight="1" x14ac:dyDescent="0.2">
      <c r="B112" s="353" t="str">
        <f t="shared" ref="B112:B117" si="39">B105</f>
        <v>2021. évi eredeti előirányzat</v>
      </c>
      <c r="C112" s="300">
        <f>SUM('2.működés'!C121)</f>
        <v>303726</v>
      </c>
      <c r="D112" s="300">
        <f>SUM('9.Hivatal'!R72)</f>
        <v>23802</v>
      </c>
      <c r="E112" s="299">
        <f t="shared" ref="E112:E117" si="40">SUM(D112)</f>
        <v>23802</v>
      </c>
      <c r="F112" s="299">
        <f t="shared" ref="F112:F117" si="41">SUM(C112+E112)</f>
        <v>327528</v>
      </c>
      <c r="G112" s="36"/>
    </row>
    <row r="113" spans="2:7" ht="13.5" hidden="1" customHeight="1" x14ac:dyDescent="0.2">
      <c r="B113" s="353" t="str">
        <f t="shared" si="39"/>
        <v>Módosított előirányzat 2021.07.hó</v>
      </c>
      <c r="C113" s="300">
        <f>SUM('2.működés'!D121)</f>
        <v>327886</v>
      </c>
      <c r="D113" s="300">
        <f>SUM('9.Hivatal'!S72)</f>
        <v>24597</v>
      </c>
      <c r="E113" s="299">
        <f t="shared" si="40"/>
        <v>24597</v>
      </c>
      <c r="F113" s="299">
        <f t="shared" si="41"/>
        <v>352483</v>
      </c>
      <c r="G113" s="36"/>
    </row>
    <row r="114" spans="2:7" ht="13.5" customHeight="1" x14ac:dyDescent="0.2">
      <c r="B114" s="353" t="str">
        <f t="shared" si="39"/>
        <v>Módosított előirányzat 2021.10.hó</v>
      </c>
      <c r="C114" s="300">
        <f>SUM('2.működés'!E121)</f>
        <v>354315</v>
      </c>
      <c r="D114" s="300">
        <f>SUM('9.Hivatal'!T72)</f>
        <v>24597</v>
      </c>
      <c r="E114" s="299">
        <f t="shared" si="40"/>
        <v>24597</v>
      </c>
      <c r="F114" s="299">
        <f t="shared" si="41"/>
        <v>378912</v>
      </c>
      <c r="G114" s="36"/>
    </row>
    <row r="115" spans="2:7" ht="13.5" customHeight="1" x14ac:dyDescent="0.2">
      <c r="B115" s="353" t="str">
        <f t="shared" si="39"/>
        <v>Módosított előirányzat 2021.12.31</v>
      </c>
      <c r="C115" s="300">
        <f>SUM('2.működés'!F121)</f>
        <v>364586</v>
      </c>
      <c r="D115" s="300">
        <f>SUM('9.Hivatal'!U72)</f>
        <v>26681</v>
      </c>
      <c r="E115" s="299">
        <f t="shared" si="40"/>
        <v>26681</v>
      </c>
      <c r="F115" s="299">
        <f t="shared" si="41"/>
        <v>391267</v>
      </c>
      <c r="G115" s="36"/>
    </row>
    <row r="116" spans="2:7" ht="13.5" hidden="1" customHeight="1" x14ac:dyDescent="0.2">
      <c r="B116" s="353" t="str">
        <f t="shared" si="39"/>
        <v>Beszámoló előtti ei.mód.</v>
      </c>
      <c r="C116" s="300"/>
      <c r="D116" s="300"/>
      <c r="E116" s="299">
        <f t="shared" si="40"/>
        <v>0</v>
      </c>
      <c r="F116" s="299">
        <f t="shared" si="41"/>
        <v>0</v>
      </c>
      <c r="G116" s="36"/>
    </row>
    <row r="117" spans="2:7" hidden="1" x14ac:dyDescent="0.2">
      <c r="B117" s="353" t="str">
        <f t="shared" si="39"/>
        <v>Teljesítés 2021.12.31.</v>
      </c>
      <c r="C117" s="300">
        <f>SUM('2.működés'!G121)</f>
        <v>184442</v>
      </c>
      <c r="D117" s="300">
        <f>SUM('9.Hivatal'!V72)</f>
        <v>22376</v>
      </c>
      <c r="E117" s="299">
        <f t="shared" si="40"/>
        <v>22376</v>
      </c>
      <c r="F117" s="299">
        <f t="shared" si="41"/>
        <v>206818</v>
      </c>
      <c r="G117" s="36"/>
    </row>
    <row r="118" spans="2:7" ht="25.5" customHeight="1" x14ac:dyDescent="0.2">
      <c r="B118" s="339" t="s">
        <v>373</v>
      </c>
      <c r="C118" s="300"/>
      <c r="D118" s="300"/>
      <c r="E118" s="299"/>
      <c r="F118" s="299"/>
      <c r="G118" s="36"/>
    </row>
    <row r="119" spans="2:7" ht="13.5" customHeight="1" x14ac:dyDescent="0.2">
      <c r="B119" s="353" t="str">
        <f t="shared" ref="B119:B124" si="42">B112</f>
        <v>2021. évi eredeti előirányzat</v>
      </c>
      <c r="C119" s="300">
        <f>SUM('3.felh'!C40+'3.felh'!C63)</f>
        <v>807903</v>
      </c>
      <c r="D119" s="300">
        <f>SUM('9.Hivatal'!R76)</f>
        <v>1000</v>
      </c>
      <c r="E119" s="299">
        <f t="shared" ref="E119:E124" si="43">SUM(D119)</f>
        <v>1000</v>
      </c>
      <c r="F119" s="299">
        <f t="shared" ref="F119:F124" si="44">SUM(C119+E119)</f>
        <v>808903</v>
      </c>
      <c r="G119" s="36"/>
    </row>
    <row r="120" spans="2:7" ht="13.5" hidden="1" customHeight="1" x14ac:dyDescent="0.2">
      <c r="B120" s="353" t="str">
        <f t="shared" si="42"/>
        <v>Módosított előirányzat 2021.07.hó</v>
      </c>
      <c r="C120" s="300">
        <f>SUM('3.felh'!D40+'3.felh'!D63)+'3.felh'!D81</f>
        <v>810434</v>
      </c>
      <c r="D120" s="300">
        <f>SUM('9.Hivatal'!S76)</f>
        <v>1000</v>
      </c>
      <c r="E120" s="299">
        <f t="shared" si="43"/>
        <v>1000</v>
      </c>
      <c r="F120" s="299">
        <f t="shared" si="44"/>
        <v>811434</v>
      </c>
      <c r="G120" s="36"/>
    </row>
    <row r="121" spans="2:7" ht="13.5" customHeight="1" x14ac:dyDescent="0.2">
      <c r="B121" s="353" t="str">
        <f t="shared" si="42"/>
        <v>Módosított előirányzat 2021.10.hó</v>
      </c>
      <c r="C121" s="300">
        <f>SUM('3.felh'!E40+'3.felh'!E63)+'3.felh'!E81+'3.felh'!E82</f>
        <v>1259781</v>
      </c>
      <c r="D121" s="300">
        <f>SUM('9.Hivatal'!T76)</f>
        <v>1000</v>
      </c>
      <c r="E121" s="299">
        <f t="shared" si="43"/>
        <v>1000</v>
      </c>
      <c r="F121" s="299">
        <f t="shared" si="44"/>
        <v>1260781</v>
      </c>
      <c r="G121" s="36"/>
    </row>
    <row r="122" spans="2:7" ht="13.5" customHeight="1" x14ac:dyDescent="0.2">
      <c r="B122" s="353" t="str">
        <f t="shared" si="42"/>
        <v>Módosított előirányzat 2021.12.31</v>
      </c>
      <c r="C122" s="300">
        <f>SUM('3.felh'!F40+'3.felh'!F63)</f>
        <v>1256208</v>
      </c>
      <c r="D122" s="300">
        <f>SUM('9.Hivatal'!U76)</f>
        <v>1004</v>
      </c>
      <c r="E122" s="299">
        <f t="shared" si="43"/>
        <v>1004</v>
      </c>
      <c r="F122" s="299">
        <f t="shared" si="44"/>
        <v>1257212</v>
      </c>
      <c r="G122" s="36"/>
    </row>
    <row r="123" spans="2:7" ht="13.5" hidden="1" customHeight="1" x14ac:dyDescent="0.2">
      <c r="B123" s="353" t="str">
        <f t="shared" si="42"/>
        <v>Beszámoló előtti ei.mód.</v>
      </c>
      <c r="C123" s="300"/>
      <c r="D123" s="300"/>
      <c r="E123" s="299">
        <f t="shared" si="43"/>
        <v>0</v>
      </c>
      <c r="F123" s="299">
        <f t="shared" si="44"/>
        <v>0</v>
      </c>
      <c r="G123" s="36"/>
    </row>
    <row r="124" spans="2:7" hidden="1" x14ac:dyDescent="0.2">
      <c r="B124" s="353" t="str">
        <f t="shared" si="42"/>
        <v>Teljesítés 2021.12.31.</v>
      </c>
      <c r="C124" s="300">
        <f>SUM('3.felh'!G40+'3.felh'!G63)</f>
        <v>384716</v>
      </c>
      <c r="D124" s="300">
        <f>SUM('9.Hivatal'!V76)</f>
        <v>1003</v>
      </c>
      <c r="E124" s="299">
        <f t="shared" si="43"/>
        <v>1003</v>
      </c>
      <c r="F124" s="299">
        <f t="shared" si="44"/>
        <v>385719</v>
      </c>
      <c r="G124" s="36"/>
    </row>
    <row r="125" spans="2:7" ht="13.5" customHeight="1" x14ac:dyDescent="0.2">
      <c r="B125" s="354" t="s">
        <v>462</v>
      </c>
      <c r="C125" s="300"/>
      <c r="D125" s="300"/>
      <c r="E125" s="299"/>
      <c r="F125" s="299"/>
      <c r="G125" s="36"/>
    </row>
    <row r="126" spans="2:7" ht="13.5" customHeight="1" x14ac:dyDescent="0.2">
      <c r="B126" s="353" t="str">
        <f t="shared" ref="B126:B131" si="45">B119</f>
        <v>2021. évi eredeti előirányzat</v>
      </c>
      <c r="C126" s="300">
        <f>SUM('8.Önk.'!BA98)</f>
        <v>9300</v>
      </c>
      <c r="D126" s="300"/>
      <c r="E126" s="299"/>
      <c r="F126" s="299">
        <f t="shared" ref="F126:F131" si="46">SUM(C126)</f>
        <v>9300</v>
      </c>
      <c r="G126" s="36"/>
    </row>
    <row r="127" spans="2:7" ht="13.5" hidden="1" customHeight="1" x14ac:dyDescent="0.2">
      <c r="B127" s="353" t="str">
        <f t="shared" si="45"/>
        <v>Módosított előirányzat 2021.07.hó</v>
      </c>
      <c r="C127" s="300">
        <f>SUM('8.Önk.'!BB98)</f>
        <v>9300</v>
      </c>
      <c r="D127" s="300"/>
      <c r="E127" s="299"/>
      <c r="F127" s="299">
        <f t="shared" si="46"/>
        <v>9300</v>
      </c>
      <c r="G127" s="36"/>
    </row>
    <row r="128" spans="2:7" ht="13.5" customHeight="1" x14ac:dyDescent="0.2">
      <c r="B128" s="353" t="str">
        <f t="shared" si="45"/>
        <v>Módosított előirányzat 2021.10.hó</v>
      </c>
      <c r="C128" s="300">
        <f>SUM('8.Önk.'!BC98)</f>
        <v>9300</v>
      </c>
      <c r="D128" s="300"/>
      <c r="E128" s="299"/>
      <c r="F128" s="299">
        <f t="shared" si="46"/>
        <v>9300</v>
      </c>
      <c r="G128" s="36"/>
    </row>
    <row r="129" spans="2:7" ht="13.5" customHeight="1" x14ac:dyDescent="0.2">
      <c r="B129" s="353" t="str">
        <f t="shared" si="45"/>
        <v>Módosított előirányzat 2021.12.31</v>
      </c>
      <c r="C129" s="300">
        <f>SUM('8.Önk.'!BD98)</f>
        <v>10305</v>
      </c>
      <c r="D129" s="300"/>
      <c r="E129" s="299"/>
      <c r="F129" s="299">
        <f t="shared" si="46"/>
        <v>10305</v>
      </c>
      <c r="G129" s="36"/>
    </row>
    <row r="130" spans="2:7" ht="13.5" hidden="1" customHeight="1" x14ac:dyDescent="0.2">
      <c r="B130" s="353" t="str">
        <f t="shared" si="45"/>
        <v>Beszámoló előtti ei.mód.</v>
      </c>
      <c r="C130" s="300"/>
      <c r="D130" s="300"/>
      <c r="E130" s="299"/>
      <c r="F130" s="299">
        <f t="shared" si="46"/>
        <v>0</v>
      </c>
      <c r="G130" s="36"/>
    </row>
    <row r="131" spans="2:7" hidden="1" x14ac:dyDescent="0.2">
      <c r="B131" s="353" t="str">
        <f t="shared" si="45"/>
        <v>Teljesítés 2021.12.31.</v>
      </c>
      <c r="C131" s="300">
        <f>SUM('8.Önk.'!BE98)</f>
        <v>10004</v>
      </c>
      <c r="D131" s="300"/>
      <c r="E131" s="299"/>
      <c r="F131" s="299">
        <f t="shared" si="46"/>
        <v>10004</v>
      </c>
      <c r="G131" s="36"/>
    </row>
    <row r="132" spans="2:7" ht="13.5" customHeight="1" x14ac:dyDescent="0.2">
      <c r="B132" s="338" t="s">
        <v>40</v>
      </c>
      <c r="C132" s="300"/>
      <c r="D132" s="300"/>
      <c r="E132" s="299"/>
      <c r="F132" s="299"/>
      <c r="G132" s="36"/>
    </row>
    <row r="133" spans="2:7" ht="13.5" customHeight="1" x14ac:dyDescent="0.2">
      <c r="B133" s="353" t="str">
        <f t="shared" ref="B133:B138" si="47">B126</f>
        <v>2021. évi eredeti előirányzat</v>
      </c>
      <c r="C133" s="300">
        <f>SUM('4. Átadott p.eszk.'!B79)</f>
        <v>385336</v>
      </c>
      <c r="D133" s="300">
        <f>'9.Hivatal'!R74</f>
        <v>0</v>
      </c>
      <c r="E133" s="299">
        <f t="shared" ref="E133:E138" si="48">SUM(D133)</f>
        <v>0</v>
      </c>
      <c r="F133" s="299">
        <f t="shared" ref="F133:F138" si="49">SUM(C133+E133)</f>
        <v>385336</v>
      </c>
      <c r="G133" s="36"/>
    </row>
    <row r="134" spans="2:7" ht="13.5" hidden="1" customHeight="1" x14ac:dyDescent="0.2">
      <c r="B134" s="353" t="str">
        <f t="shared" si="47"/>
        <v>Módosított előirányzat 2021.07.hó</v>
      </c>
      <c r="C134" s="300">
        <f>SUM('4. Átadott p.eszk.'!C79)</f>
        <v>388888</v>
      </c>
      <c r="D134" s="300">
        <f>'9.Hivatal'!S74</f>
        <v>0</v>
      </c>
      <c r="E134" s="299">
        <f t="shared" si="48"/>
        <v>0</v>
      </c>
      <c r="F134" s="299">
        <f t="shared" si="49"/>
        <v>388888</v>
      </c>
      <c r="G134" s="36"/>
    </row>
    <row r="135" spans="2:7" ht="13.5" customHeight="1" x14ac:dyDescent="0.2">
      <c r="B135" s="353" t="str">
        <f t="shared" si="47"/>
        <v>Módosított előirányzat 2021.10.hó</v>
      </c>
      <c r="C135" s="300">
        <f>SUM('4. Átadott p.eszk.'!D79)</f>
        <v>408819</v>
      </c>
      <c r="D135" s="300">
        <f>'9.Hivatal'!T74</f>
        <v>0</v>
      </c>
      <c r="E135" s="299">
        <f t="shared" si="48"/>
        <v>0</v>
      </c>
      <c r="F135" s="299">
        <f t="shared" si="49"/>
        <v>408819</v>
      </c>
      <c r="G135" s="36"/>
    </row>
    <row r="136" spans="2:7" ht="13.5" customHeight="1" x14ac:dyDescent="0.2">
      <c r="B136" s="353" t="str">
        <f t="shared" si="47"/>
        <v>Módosított előirányzat 2021.12.31</v>
      </c>
      <c r="C136" s="300">
        <f>SUM('4. Átadott p.eszk.'!E79)</f>
        <v>411002</v>
      </c>
      <c r="D136" s="300">
        <f>'9.Hivatal'!U74</f>
        <v>0</v>
      </c>
      <c r="E136" s="299">
        <f t="shared" si="48"/>
        <v>0</v>
      </c>
      <c r="F136" s="299">
        <f t="shared" si="49"/>
        <v>411002</v>
      </c>
      <c r="G136" s="36"/>
    </row>
    <row r="137" spans="2:7" ht="13.5" hidden="1" customHeight="1" x14ac:dyDescent="0.2">
      <c r="B137" s="353" t="str">
        <f t="shared" si="47"/>
        <v>Beszámoló előtti ei.mód.</v>
      </c>
      <c r="C137" s="300"/>
      <c r="D137" s="300"/>
      <c r="E137" s="299">
        <f t="shared" si="48"/>
        <v>0</v>
      </c>
      <c r="F137" s="299">
        <f t="shared" si="49"/>
        <v>0</v>
      </c>
      <c r="G137" s="36"/>
    </row>
    <row r="138" spans="2:7" hidden="1" x14ac:dyDescent="0.2">
      <c r="B138" s="353" t="str">
        <f t="shared" si="47"/>
        <v>Teljesítés 2021.12.31.</v>
      </c>
      <c r="C138" s="300">
        <f>SUM('4. Átadott p.eszk.'!F79)</f>
        <v>387714</v>
      </c>
      <c r="D138" s="300">
        <f>'9.Hivatal'!V74</f>
        <v>0</v>
      </c>
      <c r="E138" s="299">
        <f t="shared" si="48"/>
        <v>0</v>
      </c>
      <c r="F138" s="299">
        <f t="shared" si="49"/>
        <v>387714</v>
      </c>
      <c r="G138" s="36"/>
    </row>
    <row r="139" spans="2:7" ht="13.5" customHeight="1" x14ac:dyDescent="0.2">
      <c r="B139" s="338" t="s">
        <v>57</v>
      </c>
      <c r="C139" s="300"/>
      <c r="D139" s="300"/>
      <c r="E139" s="299"/>
      <c r="F139" s="299"/>
      <c r="G139" s="36"/>
    </row>
    <row r="140" spans="2:7" ht="13.5" customHeight="1" x14ac:dyDescent="0.2">
      <c r="B140" s="353" t="str">
        <f t="shared" ref="B140:B145" si="50">B133</f>
        <v>2021. évi eredeti előirányzat</v>
      </c>
      <c r="C140" s="300">
        <f>SUM('1.Bev-kiad.'!C78+-'7.finanszírozás.'!F76)</f>
        <v>208296</v>
      </c>
      <c r="D140" s="300"/>
      <c r="E140" s="299"/>
      <c r="F140" s="299">
        <f t="shared" ref="F140:F145" si="51">SUM(C140)</f>
        <v>208296</v>
      </c>
      <c r="G140" s="36"/>
    </row>
    <row r="141" spans="2:7" ht="13.5" hidden="1" customHeight="1" x14ac:dyDescent="0.2">
      <c r="B141" s="353" t="str">
        <f t="shared" si="50"/>
        <v>Módosított előirányzat 2021.07.hó</v>
      </c>
      <c r="C141" s="300">
        <f>SUM('1.Bev-kiad.'!D78+-'7.finanszírozás.'!F77)</f>
        <v>215270</v>
      </c>
      <c r="D141" s="300"/>
      <c r="E141" s="299"/>
      <c r="F141" s="299">
        <f t="shared" si="51"/>
        <v>215270</v>
      </c>
      <c r="G141" s="36"/>
    </row>
    <row r="142" spans="2:7" ht="13.5" customHeight="1" x14ac:dyDescent="0.2">
      <c r="B142" s="353" t="str">
        <f t="shared" si="50"/>
        <v>Módosított előirányzat 2021.10.hó</v>
      </c>
      <c r="C142" s="300">
        <f>SUM('1.Bev-kiad.'!E78+-'7.finanszírozás.'!F78)</f>
        <v>215270</v>
      </c>
      <c r="D142" s="300"/>
      <c r="E142" s="299"/>
      <c r="F142" s="299">
        <f t="shared" si="51"/>
        <v>215270</v>
      </c>
      <c r="G142" s="36"/>
    </row>
    <row r="143" spans="2:7" ht="13.5" customHeight="1" x14ac:dyDescent="0.2">
      <c r="B143" s="353" t="str">
        <f t="shared" si="50"/>
        <v>Módosított előirányzat 2021.12.31</v>
      </c>
      <c r="C143" s="300">
        <f>SUM('1.Bev-kiad.'!F78+-'7.finanszírozás.'!F79)</f>
        <v>217728</v>
      </c>
      <c r="D143" s="300"/>
      <c r="E143" s="299"/>
      <c r="F143" s="299">
        <f t="shared" si="51"/>
        <v>217728</v>
      </c>
      <c r="G143" s="36"/>
    </row>
    <row r="144" spans="2:7" ht="13.5" hidden="1" customHeight="1" x14ac:dyDescent="0.2">
      <c r="B144" s="353" t="str">
        <f t="shared" si="50"/>
        <v>Beszámoló előtti ei.mód.</v>
      </c>
      <c r="C144" s="300"/>
      <c r="D144" s="300"/>
      <c r="E144" s="299"/>
      <c r="F144" s="299">
        <f t="shared" si="51"/>
        <v>0</v>
      </c>
      <c r="G144" s="36"/>
    </row>
    <row r="145" spans="2:7" hidden="1" x14ac:dyDescent="0.2">
      <c r="B145" s="353" t="str">
        <f t="shared" si="50"/>
        <v>Teljesítés 2021.12.31.</v>
      </c>
      <c r="C145" s="300">
        <f>SUM('1.Bev-kiad.'!G78+-'7.finanszírozás.'!F81)</f>
        <v>217729</v>
      </c>
      <c r="D145" s="300"/>
      <c r="E145" s="299"/>
      <c r="F145" s="299">
        <f t="shared" si="51"/>
        <v>217729</v>
      </c>
      <c r="G145" s="36"/>
    </row>
    <row r="146" spans="2:7" ht="13.5" customHeight="1" x14ac:dyDescent="0.2">
      <c r="B146" s="352" t="s">
        <v>374</v>
      </c>
      <c r="C146" s="300"/>
      <c r="D146" s="300"/>
      <c r="E146" s="299"/>
      <c r="F146" s="299"/>
      <c r="G146" s="36"/>
    </row>
    <row r="147" spans="2:7" ht="13.5" customHeight="1" x14ac:dyDescent="0.2">
      <c r="B147" s="353" t="str">
        <f t="shared" ref="B147:B152" si="52">B140</f>
        <v>2021. évi eredeti előirányzat</v>
      </c>
      <c r="C147" s="300">
        <f>SUM('1.Bev-kiad.'!C68+'1.Bev-kiad.'!C73)</f>
        <v>84098</v>
      </c>
      <c r="D147" s="300"/>
      <c r="E147" s="299"/>
      <c r="F147" s="299">
        <f t="shared" ref="F147:F152" si="53">SUM(C147)</f>
        <v>84098</v>
      </c>
      <c r="G147" s="36"/>
    </row>
    <row r="148" spans="2:7" ht="13.5" hidden="1" customHeight="1" x14ac:dyDescent="0.2">
      <c r="B148" s="353" t="str">
        <f t="shared" si="52"/>
        <v>Módosított előirányzat 2021.07.hó</v>
      </c>
      <c r="C148" s="300">
        <f>SUM('1.Bev-kiad.'!D68+'1.Bev-kiad.'!D76)</f>
        <v>183914</v>
      </c>
      <c r="D148" s="300"/>
      <c r="E148" s="299"/>
      <c r="F148" s="299">
        <f t="shared" si="53"/>
        <v>183914</v>
      </c>
      <c r="G148" s="36"/>
    </row>
    <row r="149" spans="2:7" ht="13.5" customHeight="1" x14ac:dyDescent="0.2">
      <c r="B149" s="353" t="str">
        <f t="shared" si="52"/>
        <v>Módosított előirányzat 2021.10.hó</v>
      </c>
      <c r="C149" s="300">
        <f>SUM('1.Bev-kiad.'!E68+'1.Bev-kiad.'!E76)</f>
        <v>153251</v>
      </c>
      <c r="D149" s="300"/>
      <c r="E149" s="299"/>
      <c r="F149" s="299">
        <f t="shared" si="53"/>
        <v>153251</v>
      </c>
      <c r="G149" s="36"/>
    </row>
    <row r="150" spans="2:7" ht="13.5" customHeight="1" x14ac:dyDescent="0.2">
      <c r="B150" s="353" t="str">
        <f t="shared" si="52"/>
        <v>Módosított előirányzat 2021.12.31</v>
      </c>
      <c r="C150" s="300">
        <f>SUM('1.Bev-kiad.'!F68+'1.Bev-kiad.'!F73)</f>
        <v>214465</v>
      </c>
      <c r="D150" s="300"/>
      <c r="E150" s="299"/>
      <c r="F150" s="299">
        <f t="shared" si="53"/>
        <v>214465</v>
      </c>
      <c r="G150" s="36"/>
    </row>
    <row r="151" spans="2:7" ht="13.5" hidden="1" customHeight="1" x14ac:dyDescent="0.2">
      <c r="B151" s="353" t="str">
        <f t="shared" si="52"/>
        <v>Beszámoló előtti ei.mód.</v>
      </c>
      <c r="C151" s="300"/>
      <c r="D151" s="300"/>
      <c r="E151" s="299"/>
      <c r="F151" s="299">
        <f t="shared" si="53"/>
        <v>0</v>
      </c>
      <c r="G151" s="36"/>
    </row>
    <row r="152" spans="2:7" hidden="1" x14ac:dyDescent="0.2">
      <c r="B152" s="353" t="str">
        <f t="shared" si="52"/>
        <v>Teljesítés 2021.12.31.</v>
      </c>
      <c r="C152" s="300">
        <f>SUM('1.Bev-kiad.'!G68+'1.Bev-kiad.'!G73)</f>
        <v>5020</v>
      </c>
      <c r="D152" s="300"/>
      <c r="E152" s="299"/>
      <c r="F152" s="299">
        <f t="shared" si="53"/>
        <v>5020</v>
      </c>
      <c r="G152" s="36"/>
    </row>
    <row r="153" spans="2:7" x14ac:dyDescent="0.2">
      <c r="B153" s="89"/>
      <c r="C153" s="608"/>
      <c r="D153" s="608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8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G298"/>
  <sheetViews>
    <sheetView topLeftCell="A19" zoomScale="98" zoomScaleNormal="98" zoomScaleSheetLayoutView="100" zoomScalePageLayoutView="80" workbookViewId="0">
      <selection activeCell="AE44" sqref="AE44"/>
    </sheetView>
  </sheetViews>
  <sheetFormatPr defaultRowHeight="12.75" x14ac:dyDescent="0.2"/>
  <cols>
    <col min="1" max="1" width="5.140625" style="199" customWidth="1"/>
    <col min="2" max="2" width="43.140625" customWidth="1"/>
    <col min="3" max="3" width="11.5703125" customWidth="1"/>
    <col min="4" max="4" width="11.5703125" hidden="1" customWidth="1"/>
    <col min="5" max="6" width="11.5703125" customWidth="1"/>
    <col min="7" max="7" width="11.5703125" hidden="1" customWidth="1"/>
    <col min="8" max="8" width="9.140625" style="10" customWidth="1"/>
    <col min="9" max="9" width="9.140625" style="10" hidden="1" customWidth="1"/>
    <col min="10" max="10" width="9.140625" style="10" customWidth="1"/>
    <col min="11" max="11" width="10.140625" style="10" customWidth="1"/>
    <col min="12" max="12" width="10.140625" hidden="1" customWidth="1"/>
    <col min="13" max="13" width="8.85546875" customWidth="1"/>
    <col min="14" max="14" width="8.85546875" hidden="1" customWidth="1"/>
    <col min="15" max="15" width="8.85546875" customWidth="1"/>
    <col min="16" max="16" width="10.140625" customWidth="1"/>
    <col min="17" max="17" width="10.140625" hidden="1" customWidth="1"/>
    <col min="18" max="18" width="8.85546875" customWidth="1"/>
    <col min="19" max="19" width="8.85546875" hidden="1" customWidth="1"/>
    <col min="20" max="20" width="8.85546875" customWidth="1"/>
    <col min="21" max="21" width="10.140625" customWidth="1"/>
    <col min="22" max="22" width="10.140625" hidden="1" customWidth="1"/>
    <col min="23" max="23" width="8.5703125" customWidth="1"/>
    <col min="24" max="24" width="8.5703125" hidden="1" customWidth="1"/>
    <col min="25" max="25" width="8.5703125" customWidth="1"/>
    <col min="26" max="26" width="10.140625" customWidth="1"/>
    <col min="27" max="27" width="10.140625" hidden="1" customWidth="1"/>
    <col min="28" max="28" width="8.28515625" customWidth="1"/>
    <col min="29" max="29" width="8.28515625" hidden="1" customWidth="1"/>
    <col min="30" max="30" width="8.28515625" customWidth="1"/>
    <col min="31" max="31" width="10.140625" customWidth="1"/>
    <col min="32" max="32" width="10.140625" hidden="1" customWidth="1"/>
    <col min="33" max="33" width="8.85546875" customWidth="1"/>
    <col min="34" max="34" width="8.85546875" hidden="1" customWidth="1"/>
    <col min="35" max="35" width="8.85546875" customWidth="1"/>
    <col min="36" max="36" width="10.140625" customWidth="1"/>
    <col min="37" max="37" width="10.140625" hidden="1" customWidth="1"/>
    <col min="38" max="38" width="8.7109375" customWidth="1"/>
    <col min="39" max="39" width="8.7109375" hidden="1" customWidth="1"/>
    <col min="40" max="40" width="8.7109375" customWidth="1"/>
    <col min="41" max="41" width="10.140625" customWidth="1"/>
    <col min="42" max="42" width="10.140625" hidden="1" customWidth="1"/>
    <col min="43" max="43" width="9.28515625" customWidth="1"/>
    <col min="44" max="44" width="9.28515625" hidden="1" customWidth="1"/>
    <col min="45" max="45" width="9.28515625" customWidth="1"/>
    <col min="46" max="46" width="10.140625" customWidth="1"/>
    <col min="47" max="47" width="10.140625" hidden="1" customWidth="1"/>
    <col min="48" max="48" width="8.7109375" customWidth="1"/>
    <col min="49" max="49" width="8.7109375" hidden="1" customWidth="1"/>
    <col min="50" max="50" width="8.7109375" customWidth="1"/>
    <col min="51" max="51" width="10.140625" customWidth="1"/>
    <col min="52" max="52" width="10.140625" hidden="1" customWidth="1"/>
    <col min="53" max="53" width="11.5703125" customWidth="1"/>
    <col min="54" max="54" width="11.5703125" hidden="1" customWidth="1"/>
    <col min="55" max="55" width="12.140625" customWidth="1"/>
    <col min="56" max="56" width="11.5703125" customWidth="1"/>
    <col min="57" max="57" width="11.5703125" hidden="1" customWidth="1"/>
    <col min="58" max="58" width="7.42578125" style="10" hidden="1" customWidth="1"/>
  </cols>
  <sheetData>
    <row r="1" spans="1:59" x14ac:dyDescent="0.2">
      <c r="A1" s="345"/>
      <c r="B1" s="1"/>
      <c r="C1" s="67"/>
      <c r="D1" s="67"/>
      <c r="E1" s="67"/>
      <c r="F1" s="67"/>
      <c r="G1" s="67"/>
      <c r="Z1" s="130" t="s">
        <v>375</v>
      </c>
      <c r="BE1" s="64"/>
    </row>
    <row r="2" spans="1:59" x14ac:dyDescent="0.2">
      <c r="A2" s="345"/>
      <c r="B2" s="1"/>
      <c r="C2" s="67"/>
      <c r="D2" s="67"/>
      <c r="E2" s="67"/>
      <c r="F2" s="67"/>
      <c r="G2" s="67"/>
      <c r="Z2" s="755" t="str">
        <f>'1.Bev-kiad.'!F2</f>
        <v>a 7/2022.(V.27.) önkormányzati rendelethez</v>
      </c>
      <c r="BE2" s="64"/>
    </row>
    <row r="3" spans="1:59" x14ac:dyDescent="0.2">
      <c r="A3" s="345"/>
      <c r="B3" s="1"/>
      <c r="C3" s="67"/>
      <c r="D3" s="67"/>
      <c r="E3" s="67"/>
      <c r="F3" s="67"/>
      <c r="G3" s="67"/>
      <c r="X3" s="755"/>
      <c r="Z3" s="212" t="s">
        <v>1317</v>
      </c>
      <c r="BE3" s="64"/>
    </row>
    <row r="4" spans="1:59" s="89" customFormat="1" ht="15.75" x14ac:dyDescent="0.25">
      <c r="B4" s="914"/>
      <c r="C4" s="992" t="s">
        <v>96</v>
      </c>
      <c r="D4" s="992"/>
      <c r="E4" s="992"/>
      <c r="F4" s="992"/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92"/>
      <c r="R4" s="992"/>
      <c r="S4" s="992"/>
      <c r="T4" s="992"/>
      <c r="U4" s="992"/>
      <c r="V4" s="992"/>
      <c r="W4" s="992"/>
      <c r="X4" s="992"/>
      <c r="Y4" s="915"/>
      <c r="Z4" s="915"/>
      <c r="AA4" s="915"/>
      <c r="AB4" s="992" t="s">
        <v>96</v>
      </c>
      <c r="AC4" s="992"/>
      <c r="AD4" s="992"/>
      <c r="AE4" s="992"/>
      <c r="AF4" s="992"/>
      <c r="AG4" s="992"/>
      <c r="AH4" s="992"/>
      <c r="AI4" s="992"/>
      <c r="AJ4" s="992"/>
      <c r="AK4" s="992"/>
      <c r="AL4" s="992"/>
      <c r="AM4" s="992"/>
      <c r="AN4" s="992"/>
      <c r="AO4" s="992"/>
      <c r="AP4" s="992"/>
      <c r="AQ4" s="992"/>
      <c r="AR4" s="992"/>
      <c r="AS4" s="992"/>
      <c r="AT4" s="992"/>
      <c r="AU4" s="992"/>
      <c r="AV4" s="992"/>
      <c r="AW4" s="992"/>
      <c r="AX4" s="992"/>
      <c r="AY4" s="992"/>
      <c r="AZ4" s="992"/>
      <c r="BA4" s="992"/>
      <c r="BB4" s="992"/>
      <c r="BC4" s="914"/>
      <c r="BD4" s="914"/>
      <c r="BE4" s="914"/>
      <c r="BF4" s="608"/>
    </row>
    <row r="5" spans="1:59" s="89" customFormat="1" ht="15.75" x14ac:dyDescent="0.25">
      <c r="B5" s="914"/>
      <c r="C5" s="992" t="s">
        <v>1029</v>
      </c>
      <c r="D5" s="992"/>
      <c r="E5" s="992"/>
      <c r="F5" s="992"/>
      <c r="G5" s="992"/>
      <c r="H5" s="992"/>
      <c r="I5" s="992"/>
      <c r="J5" s="992"/>
      <c r="K5" s="992"/>
      <c r="L5" s="992"/>
      <c r="M5" s="992"/>
      <c r="N5" s="992"/>
      <c r="O5" s="992"/>
      <c r="P5" s="992"/>
      <c r="Q5" s="992"/>
      <c r="R5" s="992"/>
      <c r="S5" s="992"/>
      <c r="T5" s="992"/>
      <c r="U5" s="992"/>
      <c r="V5" s="992"/>
      <c r="W5" s="992"/>
      <c r="X5" s="992"/>
      <c r="Y5" s="915"/>
      <c r="Z5" s="915"/>
      <c r="AA5" s="915"/>
      <c r="AB5" s="992" t="s">
        <v>1029</v>
      </c>
      <c r="AC5" s="992"/>
      <c r="AD5" s="992"/>
      <c r="AE5" s="992"/>
      <c r="AF5" s="992"/>
      <c r="AG5" s="992"/>
      <c r="AH5" s="992"/>
      <c r="AI5" s="992"/>
      <c r="AJ5" s="992"/>
      <c r="AK5" s="992"/>
      <c r="AL5" s="992"/>
      <c r="AM5" s="992"/>
      <c r="AN5" s="992"/>
      <c r="AO5" s="992"/>
      <c r="AP5" s="992"/>
      <c r="AQ5" s="992"/>
      <c r="AR5" s="992"/>
      <c r="AS5" s="992"/>
      <c r="AT5" s="992"/>
      <c r="AU5" s="992"/>
      <c r="AV5" s="992"/>
      <c r="AW5" s="992"/>
      <c r="AX5" s="992"/>
      <c r="AY5" s="992"/>
      <c r="AZ5" s="992"/>
      <c r="BA5" s="992"/>
      <c r="BB5" s="992"/>
      <c r="BC5" s="914"/>
      <c r="BD5" s="914"/>
      <c r="BE5" s="914"/>
      <c r="BF5" s="608"/>
    </row>
    <row r="6" spans="1:59" s="89" customFormat="1" ht="15.75" x14ac:dyDescent="0.25">
      <c r="B6" s="914"/>
      <c r="C6" s="992" t="s">
        <v>320</v>
      </c>
      <c r="D6" s="992"/>
      <c r="E6" s="992"/>
      <c r="F6" s="992"/>
      <c r="G6" s="992"/>
      <c r="H6" s="992"/>
      <c r="I6" s="992"/>
      <c r="J6" s="992"/>
      <c r="K6" s="992"/>
      <c r="L6" s="992"/>
      <c r="M6" s="992"/>
      <c r="N6" s="992"/>
      <c r="O6" s="992"/>
      <c r="P6" s="992"/>
      <c r="Q6" s="992"/>
      <c r="R6" s="992"/>
      <c r="S6" s="992"/>
      <c r="T6" s="992"/>
      <c r="U6" s="992"/>
      <c r="V6" s="992"/>
      <c r="W6" s="992"/>
      <c r="X6" s="992"/>
      <c r="Y6" s="915"/>
      <c r="Z6" s="915"/>
      <c r="AA6" s="915"/>
      <c r="AB6" s="992" t="s">
        <v>320</v>
      </c>
      <c r="AC6" s="992"/>
      <c r="AD6" s="992"/>
      <c r="AE6" s="992"/>
      <c r="AF6" s="992"/>
      <c r="AG6" s="992"/>
      <c r="AH6" s="992"/>
      <c r="AI6" s="992"/>
      <c r="AJ6" s="992"/>
      <c r="AK6" s="992"/>
      <c r="AL6" s="992"/>
      <c r="AM6" s="992"/>
      <c r="AN6" s="992"/>
      <c r="AO6" s="992"/>
      <c r="AP6" s="992"/>
      <c r="AQ6" s="992"/>
      <c r="AR6" s="992"/>
      <c r="AS6" s="992"/>
      <c r="AT6" s="992"/>
      <c r="AU6" s="992"/>
      <c r="AV6" s="992"/>
      <c r="AW6" s="992"/>
      <c r="AX6" s="992"/>
      <c r="AY6" s="992"/>
      <c r="AZ6" s="992"/>
      <c r="BA6" s="992"/>
      <c r="BB6" s="992"/>
      <c r="BC6" s="914"/>
      <c r="BD6" s="914"/>
      <c r="BE6" s="914"/>
      <c r="BF6" s="608"/>
    </row>
    <row r="7" spans="1:59" x14ac:dyDescent="0.2">
      <c r="B7" s="255">
        <v>27790</v>
      </c>
      <c r="C7" s="331"/>
      <c r="D7" s="331"/>
      <c r="E7" s="331"/>
      <c r="F7" s="331"/>
      <c r="G7" s="331"/>
      <c r="H7" s="213"/>
      <c r="I7" s="213"/>
      <c r="J7" s="213"/>
      <c r="K7" s="213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D7" s="12" t="s">
        <v>0</v>
      </c>
    </row>
    <row r="8" spans="1:59" s="229" customFormat="1" ht="45" customHeight="1" x14ac:dyDescent="0.2">
      <c r="A8" s="983" t="s">
        <v>119</v>
      </c>
      <c r="B8" s="985" t="s">
        <v>29</v>
      </c>
      <c r="C8" s="986" t="s">
        <v>878</v>
      </c>
      <c r="D8" s="987"/>
      <c r="E8" s="987"/>
      <c r="F8" s="987"/>
      <c r="G8" s="988"/>
      <c r="H8" s="986" t="s">
        <v>1087</v>
      </c>
      <c r="I8" s="987"/>
      <c r="J8" s="987"/>
      <c r="K8" s="987"/>
      <c r="L8" s="987"/>
      <c r="M8" s="986" t="s">
        <v>117</v>
      </c>
      <c r="N8" s="987"/>
      <c r="O8" s="987"/>
      <c r="P8" s="987"/>
      <c r="Q8" s="988"/>
      <c r="R8" s="986" t="s">
        <v>1228</v>
      </c>
      <c r="S8" s="987"/>
      <c r="T8" s="987"/>
      <c r="U8" s="987"/>
      <c r="V8" s="987"/>
      <c r="W8" s="986" t="s">
        <v>319</v>
      </c>
      <c r="X8" s="987"/>
      <c r="Y8" s="987"/>
      <c r="Z8" s="987"/>
      <c r="AA8" s="988"/>
      <c r="AB8" s="986" t="s">
        <v>508</v>
      </c>
      <c r="AC8" s="987"/>
      <c r="AD8" s="987"/>
      <c r="AE8" s="987"/>
      <c r="AF8" s="988"/>
      <c r="AG8" s="986" t="s">
        <v>453</v>
      </c>
      <c r="AH8" s="987"/>
      <c r="AI8" s="987"/>
      <c r="AJ8" s="987"/>
      <c r="AK8" s="988"/>
      <c r="AL8" s="986" t="s">
        <v>796</v>
      </c>
      <c r="AM8" s="987"/>
      <c r="AN8" s="987"/>
      <c r="AO8" s="987"/>
      <c r="AP8" s="988"/>
      <c r="AQ8" s="986" t="s">
        <v>118</v>
      </c>
      <c r="AR8" s="987"/>
      <c r="AS8" s="987"/>
      <c r="AT8" s="987"/>
      <c r="AU8" s="988"/>
      <c r="AV8" s="986" t="s">
        <v>334</v>
      </c>
      <c r="AW8" s="987"/>
      <c r="AX8" s="987"/>
      <c r="AY8" s="987"/>
      <c r="AZ8" s="988"/>
      <c r="BA8" s="989" t="s">
        <v>32</v>
      </c>
      <c r="BB8" s="990"/>
      <c r="BC8" s="990"/>
      <c r="BD8" s="990"/>
      <c r="BE8" s="991"/>
      <c r="BF8" s="10"/>
    </row>
    <row r="9" spans="1:59" s="360" customFormat="1" ht="53.25" customHeight="1" x14ac:dyDescent="0.2">
      <c r="A9" s="984"/>
      <c r="B9" s="984"/>
      <c r="C9" s="648" t="s">
        <v>760</v>
      </c>
      <c r="D9" s="648" t="s">
        <v>1236</v>
      </c>
      <c r="E9" s="648" t="s">
        <v>1240</v>
      </c>
      <c r="F9" s="648" t="s">
        <v>1324</v>
      </c>
      <c r="G9" s="648" t="s">
        <v>1030</v>
      </c>
      <c r="H9" s="648" t="str">
        <f>C9</f>
        <v>2021. évi eredeti előirányzat</v>
      </c>
      <c r="I9" s="648" t="str">
        <f>D9</f>
        <v>mód.ei.          2021.07.hó</v>
      </c>
      <c r="J9" s="648" t="str">
        <f>E9</f>
        <v>mód.ei.          2021.10. hó</v>
      </c>
      <c r="K9" s="648" t="str">
        <f>F9</f>
        <v>mód.ei.          2021.12.31</v>
      </c>
      <c r="L9" s="648" t="str">
        <f>G9</f>
        <v>teljesítés 2021.12.31</v>
      </c>
      <c r="M9" s="648" t="str">
        <f>C9</f>
        <v>2021. évi eredeti előirányzat</v>
      </c>
      <c r="N9" s="648" t="str">
        <f>D9</f>
        <v>mód.ei.          2021.07.hó</v>
      </c>
      <c r="O9" s="648" t="str">
        <f>E9</f>
        <v>mód.ei.          2021.10. hó</v>
      </c>
      <c r="P9" s="648" t="str">
        <f>F9</f>
        <v>mód.ei.          2021.12.31</v>
      </c>
      <c r="Q9" s="648" t="str">
        <f>G9</f>
        <v>teljesítés 2021.12.31</v>
      </c>
      <c r="R9" s="648" t="str">
        <f>C9</f>
        <v>2021. évi eredeti előirányzat</v>
      </c>
      <c r="S9" s="648" t="str">
        <f>D9</f>
        <v>mód.ei.          2021.07.hó</v>
      </c>
      <c r="T9" s="648" t="str">
        <f>E9</f>
        <v>mód.ei.          2021.10. hó</v>
      </c>
      <c r="U9" s="648" t="str">
        <f>F9</f>
        <v>mód.ei.          2021.12.31</v>
      </c>
      <c r="V9" s="648" t="str">
        <f>G9</f>
        <v>teljesítés 2021.12.31</v>
      </c>
      <c r="W9" s="648" t="str">
        <f>C9</f>
        <v>2021. évi eredeti előirányzat</v>
      </c>
      <c r="X9" s="648" t="str">
        <f>D9</f>
        <v>mód.ei.          2021.07.hó</v>
      </c>
      <c r="Y9" s="648" t="str">
        <f>E9</f>
        <v>mód.ei.          2021.10. hó</v>
      </c>
      <c r="Z9" s="648" t="str">
        <f>F9</f>
        <v>mód.ei.          2021.12.31</v>
      </c>
      <c r="AA9" s="648" t="str">
        <f>G9</f>
        <v>teljesítés 2021.12.31</v>
      </c>
      <c r="AB9" s="648" t="str">
        <f>C9</f>
        <v>2021. évi eredeti előirányzat</v>
      </c>
      <c r="AC9" s="648" t="str">
        <f>D9</f>
        <v>mód.ei.          2021.07.hó</v>
      </c>
      <c r="AD9" s="648" t="str">
        <f>E9</f>
        <v>mód.ei.          2021.10. hó</v>
      </c>
      <c r="AE9" s="648" t="str">
        <f>F9</f>
        <v>mód.ei.          2021.12.31</v>
      </c>
      <c r="AF9" s="648" t="str">
        <f>G9</f>
        <v>teljesítés 2021.12.31</v>
      </c>
      <c r="AG9" s="648" t="str">
        <f>C9</f>
        <v>2021. évi eredeti előirányzat</v>
      </c>
      <c r="AH9" s="648" t="str">
        <f>D9</f>
        <v>mód.ei.          2021.07.hó</v>
      </c>
      <c r="AI9" s="648" t="str">
        <f>E9</f>
        <v>mód.ei.          2021.10. hó</v>
      </c>
      <c r="AJ9" s="648" t="str">
        <f>F9</f>
        <v>mód.ei.          2021.12.31</v>
      </c>
      <c r="AK9" s="648" t="str">
        <f>G9</f>
        <v>teljesítés 2021.12.31</v>
      </c>
      <c r="AL9" s="648" t="str">
        <f>C9</f>
        <v>2021. évi eredeti előirányzat</v>
      </c>
      <c r="AM9" s="648" t="str">
        <f>D9</f>
        <v>mód.ei.          2021.07.hó</v>
      </c>
      <c r="AN9" s="648" t="str">
        <f>E9</f>
        <v>mód.ei.          2021.10. hó</v>
      </c>
      <c r="AO9" s="648" t="str">
        <f>F9</f>
        <v>mód.ei.          2021.12.31</v>
      </c>
      <c r="AP9" s="648" t="str">
        <f>G9</f>
        <v>teljesítés 2021.12.31</v>
      </c>
      <c r="AQ9" s="648" t="str">
        <f>C9</f>
        <v>2021. évi eredeti előirányzat</v>
      </c>
      <c r="AR9" s="648" t="str">
        <f>D9</f>
        <v>mód.ei.          2021.07.hó</v>
      </c>
      <c r="AS9" s="648" t="str">
        <f>E9</f>
        <v>mód.ei.          2021.10. hó</v>
      </c>
      <c r="AT9" s="648" t="str">
        <f>F9</f>
        <v>mód.ei.          2021.12.31</v>
      </c>
      <c r="AU9" s="648" t="str">
        <f>G9</f>
        <v>teljesítés 2021.12.31</v>
      </c>
      <c r="AV9" s="648" t="str">
        <f>C9</f>
        <v>2021. évi eredeti előirányzat</v>
      </c>
      <c r="AW9" s="648" t="str">
        <f>D9</f>
        <v>mód.ei.          2021.07.hó</v>
      </c>
      <c r="AX9" s="648" t="str">
        <f>E9</f>
        <v>mód.ei.          2021.10. hó</v>
      </c>
      <c r="AY9" s="648" t="str">
        <f>F9</f>
        <v>mód.ei.          2021.12.31</v>
      </c>
      <c r="AZ9" s="648" t="str">
        <f>G9</f>
        <v>teljesítés 2021.12.31</v>
      </c>
      <c r="BA9" s="677" t="str">
        <f>C9</f>
        <v>2021. évi eredeti előirányzat</v>
      </c>
      <c r="BB9" s="677" t="str">
        <f>D9</f>
        <v>mód.ei.          2021.07.hó</v>
      </c>
      <c r="BC9" s="677" t="str">
        <f>E9</f>
        <v>mód.ei.          2021.10. hó</v>
      </c>
      <c r="BD9" s="677" t="str">
        <f>F9</f>
        <v>mód.ei.          2021.12.31</v>
      </c>
      <c r="BE9" s="677" t="str">
        <f>G9</f>
        <v>teljesítés 2021.12.31</v>
      </c>
      <c r="BF9" s="389"/>
    </row>
    <row r="10" spans="1:59" x14ac:dyDescent="0.2">
      <c r="A10" s="346" t="s">
        <v>297</v>
      </c>
      <c r="B10" s="21" t="s">
        <v>298</v>
      </c>
      <c r="C10" s="323">
        <f t="shared" ref="C10:AH10" si="0">SUM(C11:C15)</f>
        <v>0</v>
      </c>
      <c r="D10" s="323">
        <f>SUM(D11:D15)</f>
        <v>0</v>
      </c>
      <c r="E10" s="323">
        <f t="shared" si="0"/>
        <v>0</v>
      </c>
      <c r="F10" s="323">
        <f t="shared" ref="F10" si="1">SUM(F11:F15)</f>
        <v>0</v>
      </c>
      <c r="G10" s="323">
        <f t="shared" si="0"/>
        <v>0</v>
      </c>
      <c r="H10" s="323">
        <f t="shared" si="0"/>
        <v>7781</v>
      </c>
      <c r="I10" s="323">
        <f>SUM(I11:I15)</f>
        <v>8397</v>
      </c>
      <c r="J10" s="323">
        <f t="shared" si="0"/>
        <v>8537</v>
      </c>
      <c r="K10" s="323">
        <f t="shared" ref="K10" si="2">SUM(K11:K15)</f>
        <v>8666</v>
      </c>
      <c r="L10" s="323">
        <f t="shared" si="0"/>
        <v>8628</v>
      </c>
      <c r="M10" s="323">
        <f t="shared" si="0"/>
        <v>0</v>
      </c>
      <c r="N10" s="323">
        <f t="shared" si="0"/>
        <v>0</v>
      </c>
      <c r="O10" s="323">
        <f t="shared" si="0"/>
        <v>0</v>
      </c>
      <c r="P10" s="323">
        <f t="shared" si="0"/>
        <v>0</v>
      </c>
      <c r="Q10" s="323">
        <f t="shared" si="0"/>
        <v>0</v>
      </c>
      <c r="R10" s="323">
        <f t="shared" si="0"/>
        <v>0</v>
      </c>
      <c r="S10" s="323">
        <f t="shared" si="0"/>
        <v>0</v>
      </c>
      <c r="T10" s="323">
        <f t="shared" si="0"/>
        <v>0</v>
      </c>
      <c r="U10" s="323">
        <f t="shared" ref="U10" si="3">SUM(U11:U15)</f>
        <v>0</v>
      </c>
      <c r="V10" s="323">
        <f t="shared" si="0"/>
        <v>0</v>
      </c>
      <c r="W10" s="323">
        <f t="shared" si="0"/>
        <v>9383</v>
      </c>
      <c r="X10" s="323">
        <f>SUM(X11:X15)</f>
        <v>9698</v>
      </c>
      <c r="Y10" s="323">
        <f t="shared" si="0"/>
        <v>9558</v>
      </c>
      <c r="Z10" s="323">
        <f t="shared" ref="Z10" si="4">SUM(Z11:Z15)</f>
        <v>9773</v>
      </c>
      <c r="AA10" s="323">
        <f t="shared" si="0"/>
        <v>9747</v>
      </c>
      <c r="AB10" s="323">
        <f t="shared" si="0"/>
        <v>1521</v>
      </c>
      <c r="AC10" s="323">
        <f>SUM(AC11:AC15)</f>
        <v>1569</v>
      </c>
      <c r="AD10" s="323">
        <f t="shared" si="0"/>
        <v>1569</v>
      </c>
      <c r="AE10" s="323">
        <f t="shared" ref="AE10" si="5">SUM(AE11:AE15)</f>
        <v>1645</v>
      </c>
      <c r="AF10" s="323">
        <f t="shared" si="0"/>
        <v>1638</v>
      </c>
      <c r="AG10" s="323">
        <f t="shared" si="0"/>
        <v>0</v>
      </c>
      <c r="AH10" s="323">
        <f t="shared" si="0"/>
        <v>0</v>
      </c>
      <c r="AI10" s="323">
        <f t="shared" ref="AI10:AZ10" si="6">SUM(AI11:AI15)</f>
        <v>0</v>
      </c>
      <c r="AJ10" s="323">
        <f t="shared" si="6"/>
        <v>0</v>
      </c>
      <c r="AK10" s="323">
        <f t="shared" si="6"/>
        <v>0</v>
      </c>
      <c r="AL10" s="323">
        <f t="shared" si="6"/>
        <v>0</v>
      </c>
      <c r="AM10" s="323">
        <f t="shared" si="6"/>
        <v>0</v>
      </c>
      <c r="AN10" s="323">
        <f t="shared" si="6"/>
        <v>0</v>
      </c>
      <c r="AO10" s="323">
        <f t="shared" si="6"/>
        <v>0</v>
      </c>
      <c r="AP10" s="323">
        <f t="shared" si="6"/>
        <v>0</v>
      </c>
      <c r="AQ10" s="323">
        <f t="shared" si="6"/>
        <v>0</v>
      </c>
      <c r="AR10" s="323">
        <f t="shared" si="6"/>
        <v>0</v>
      </c>
      <c r="AS10" s="323">
        <f t="shared" si="6"/>
        <v>0</v>
      </c>
      <c r="AT10" s="323">
        <f t="shared" si="6"/>
        <v>0</v>
      </c>
      <c r="AU10" s="323">
        <f t="shared" si="6"/>
        <v>0</v>
      </c>
      <c r="AV10" s="323">
        <f t="shared" si="6"/>
        <v>3196</v>
      </c>
      <c r="AW10" s="323">
        <f t="shared" si="6"/>
        <v>3316</v>
      </c>
      <c r="AX10" s="323">
        <f t="shared" si="6"/>
        <v>3316</v>
      </c>
      <c r="AY10" s="323">
        <f t="shared" ref="AY10" si="7">SUM(AY11:AY15)</f>
        <v>3291</v>
      </c>
      <c r="AZ10" s="323">
        <f t="shared" si="6"/>
        <v>3283</v>
      </c>
      <c r="BA10" s="364">
        <f t="shared" ref="BA10:BA26" si="8">C10+H10+M10+R10+W10+AB10+AG10+AL10+AQ10+AV10</f>
        <v>21881</v>
      </c>
      <c r="BB10" s="364">
        <f t="shared" ref="BB10:BE26" si="9">D10+I10+N10+S10+X10+AC10+AH10+AM10+AR10+AW10</f>
        <v>22980</v>
      </c>
      <c r="BC10" s="364">
        <f t="shared" si="9"/>
        <v>22980</v>
      </c>
      <c r="BD10" s="364">
        <f t="shared" si="9"/>
        <v>23375</v>
      </c>
      <c r="BE10" s="364">
        <f t="shared" si="9"/>
        <v>23296</v>
      </c>
      <c r="BF10" s="391">
        <f>SUM(BA11:BA15)</f>
        <v>21881</v>
      </c>
    </row>
    <row r="11" spans="1:59" x14ac:dyDescent="0.2">
      <c r="A11" s="69">
        <v>1101</v>
      </c>
      <c r="B11" s="61" t="s">
        <v>345</v>
      </c>
      <c r="C11" s="288"/>
      <c r="D11" s="288"/>
      <c r="E11" s="288"/>
      <c r="F11" s="288"/>
      <c r="G11" s="288"/>
      <c r="H11" s="289">
        <v>7289</v>
      </c>
      <c r="I11" s="289">
        <f>7289+611</f>
        <v>7900</v>
      </c>
      <c r="J11" s="289">
        <f>7289+611</f>
        <v>7900</v>
      </c>
      <c r="K11" s="289">
        <f>7289+611</f>
        <v>7900</v>
      </c>
      <c r="L11" s="289">
        <v>7898</v>
      </c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>
        <v>8995</v>
      </c>
      <c r="X11" s="289">
        <v>8995</v>
      </c>
      <c r="Y11" s="289">
        <f>8995-140</f>
        <v>8855</v>
      </c>
      <c r="Z11" s="289">
        <f>8995-140</f>
        <v>8855</v>
      </c>
      <c r="AA11" s="289">
        <v>8854</v>
      </c>
      <c r="AB11" s="289">
        <v>1449</v>
      </c>
      <c r="AC11" s="289">
        <f>1449+48</f>
        <v>1497</v>
      </c>
      <c r="AD11" s="289">
        <f>1449+48</f>
        <v>1497</v>
      </c>
      <c r="AE11" s="289">
        <f>1449+48</f>
        <v>1497</v>
      </c>
      <c r="AF11" s="289">
        <v>1497</v>
      </c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>
        <v>3000</v>
      </c>
      <c r="AW11" s="289">
        <f>3000+120</f>
        <v>3120</v>
      </c>
      <c r="AX11" s="289">
        <f>3000+120</f>
        <v>3120</v>
      </c>
      <c r="AY11" s="289">
        <f>3000+120</f>
        <v>3120</v>
      </c>
      <c r="AZ11" s="289">
        <v>3120</v>
      </c>
      <c r="BA11" s="363">
        <f t="shared" si="8"/>
        <v>20733</v>
      </c>
      <c r="BB11" s="363">
        <f t="shared" si="9"/>
        <v>21512</v>
      </c>
      <c r="BC11" s="363">
        <f t="shared" si="9"/>
        <v>21372</v>
      </c>
      <c r="BD11" s="363">
        <f t="shared" si="9"/>
        <v>21372</v>
      </c>
      <c r="BE11" s="363">
        <f t="shared" si="9"/>
        <v>21369</v>
      </c>
      <c r="BF11" s="391"/>
    </row>
    <row r="12" spans="1:59" x14ac:dyDescent="0.2">
      <c r="A12" s="69">
        <v>1109</v>
      </c>
      <c r="B12" s="61" t="s">
        <v>61</v>
      </c>
      <c r="C12" s="288"/>
      <c r="D12" s="288"/>
      <c r="E12" s="288"/>
      <c r="F12" s="288"/>
      <c r="G12" s="288"/>
      <c r="H12" s="290">
        <v>200</v>
      </c>
      <c r="I12" s="290">
        <v>200</v>
      </c>
      <c r="J12" s="290">
        <v>200</v>
      </c>
      <c r="K12" s="290">
        <f>200+5</f>
        <v>205</v>
      </c>
      <c r="L12" s="290">
        <v>205</v>
      </c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>
        <v>0</v>
      </c>
      <c r="X12" s="290">
        <v>0</v>
      </c>
      <c r="Y12" s="290">
        <v>0</v>
      </c>
      <c r="Z12" s="290">
        <v>0</v>
      </c>
      <c r="AA12" s="290">
        <v>0</v>
      </c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363">
        <f t="shared" si="8"/>
        <v>200</v>
      </c>
      <c r="BB12" s="363">
        <f t="shared" si="9"/>
        <v>200</v>
      </c>
      <c r="BC12" s="363">
        <f t="shared" si="9"/>
        <v>200</v>
      </c>
      <c r="BD12" s="363">
        <f t="shared" si="9"/>
        <v>205</v>
      </c>
      <c r="BE12" s="363">
        <f t="shared" si="9"/>
        <v>205</v>
      </c>
      <c r="BF12" s="391"/>
    </row>
    <row r="13" spans="1:59" s="10" customFormat="1" x14ac:dyDescent="0.2">
      <c r="A13" s="69">
        <v>1107</v>
      </c>
      <c r="B13" s="9" t="s">
        <v>33</v>
      </c>
      <c r="C13" s="330"/>
      <c r="D13" s="330"/>
      <c r="E13" s="330"/>
      <c r="F13" s="330"/>
      <c r="G13" s="330"/>
      <c r="H13" s="171">
        <v>192</v>
      </c>
      <c r="I13" s="171">
        <v>192</v>
      </c>
      <c r="J13" s="171">
        <v>192</v>
      </c>
      <c r="K13" s="171">
        <v>192</v>
      </c>
      <c r="L13" s="171">
        <v>176</v>
      </c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>
        <v>288</v>
      </c>
      <c r="X13" s="171">
        <v>288</v>
      </c>
      <c r="Y13" s="171">
        <v>288</v>
      </c>
      <c r="Z13" s="171">
        <v>288</v>
      </c>
      <c r="AA13" s="171">
        <v>264</v>
      </c>
      <c r="AB13" s="171">
        <v>72</v>
      </c>
      <c r="AC13" s="171">
        <v>72</v>
      </c>
      <c r="AD13" s="171">
        <v>72</v>
      </c>
      <c r="AE13" s="171">
        <v>72</v>
      </c>
      <c r="AF13" s="171">
        <v>66</v>
      </c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>
        <v>96</v>
      </c>
      <c r="AW13" s="171">
        <v>96</v>
      </c>
      <c r="AX13" s="171">
        <v>96</v>
      </c>
      <c r="AY13" s="171">
        <v>96</v>
      </c>
      <c r="AZ13" s="171">
        <v>88</v>
      </c>
      <c r="BA13" s="363">
        <f t="shared" si="8"/>
        <v>648</v>
      </c>
      <c r="BB13" s="363">
        <f t="shared" si="9"/>
        <v>648</v>
      </c>
      <c r="BC13" s="363">
        <f t="shared" si="9"/>
        <v>648</v>
      </c>
      <c r="BD13" s="363">
        <f t="shared" si="9"/>
        <v>648</v>
      </c>
      <c r="BE13" s="363">
        <f t="shared" si="9"/>
        <v>594</v>
      </c>
      <c r="BF13" s="391"/>
      <c r="BG13" s="45"/>
    </row>
    <row r="14" spans="1:59" s="10" customFormat="1" x14ac:dyDescent="0.2">
      <c r="A14" s="69">
        <v>1104</v>
      </c>
      <c r="B14" s="9" t="s">
        <v>512</v>
      </c>
      <c r="C14" s="330"/>
      <c r="D14" s="330"/>
      <c r="E14" s="330"/>
      <c r="F14" s="330"/>
      <c r="G14" s="330"/>
      <c r="H14" s="171">
        <v>0</v>
      </c>
      <c r="I14" s="171">
        <v>0</v>
      </c>
      <c r="J14" s="171">
        <v>140</v>
      </c>
      <c r="K14" s="171">
        <f>140-25</f>
        <v>115</v>
      </c>
      <c r="L14" s="171">
        <v>95</v>
      </c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>
        <v>0</v>
      </c>
      <c r="X14" s="171">
        <v>15</v>
      </c>
      <c r="Y14" s="171">
        <v>15</v>
      </c>
      <c r="Z14" s="171">
        <f>15+25</f>
        <v>40</v>
      </c>
      <c r="AA14" s="171">
        <v>39</v>
      </c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363">
        <f t="shared" si="8"/>
        <v>0</v>
      </c>
      <c r="BB14" s="363">
        <f t="shared" si="9"/>
        <v>15</v>
      </c>
      <c r="BC14" s="363">
        <f t="shared" si="9"/>
        <v>155</v>
      </c>
      <c r="BD14" s="363">
        <f t="shared" si="9"/>
        <v>155</v>
      </c>
      <c r="BE14" s="363">
        <f t="shared" si="9"/>
        <v>134</v>
      </c>
      <c r="BF14" s="391"/>
    </row>
    <row r="15" spans="1:59" s="10" customFormat="1" x14ac:dyDescent="0.2">
      <c r="A15" s="69">
        <v>1113</v>
      </c>
      <c r="B15" s="25" t="s">
        <v>757</v>
      </c>
      <c r="C15" s="171"/>
      <c r="D15" s="171"/>
      <c r="E15" s="171"/>
      <c r="F15" s="171"/>
      <c r="G15" s="171"/>
      <c r="H15" s="171">
        <v>100</v>
      </c>
      <c r="I15" s="171">
        <f>100+5</f>
        <v>105</v>
      </c>
      <c r="J15" s="171">
        <f>100+5</f>
        <v>105</v>
      </c>
      <c r="K15" s="171">
        <f>100+5+149</f>
        <v>254</v>
      </c>
      <c r="L15" s="171">
        <v>254</v>
      </c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>
        <v>100</v>
      </c>
      <c r="X15" s="171">
        <f>100+300</f>
        <v>400</v>
      </c>
      <c r="Y15" s="171">
        <f>100+300</f>
        <v>400</v>
      </c>
      <c r="Z15" s="171">
        <f>100+300+190</f>
        <v>590</v>
      </c>
      <c r="AA15" s="171">
        <v>590</v>
      </c>
      <c r="AB15" s="171">
        <v>0</v>
      </c>
      <c r="AC15" s="171">
        <v>0</v>
      </c>
      <c r="AD15" s="171">
        <v>0</v>
      </c>
      <c r="AE15" s="171">
        <f>51+25</f>
        <v>76</v>
      </c>
      <c r="AF15" s="171">
        <v>75</v>
      </c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>
        <v>100</v>
      </c>
      <c r="AW15" s="171">
        <v>100</v>
      </c>
      <c r="AX15" s="171">
        <v>100</v>
      </c>
      <c r="AY15" s="171">
        <f>100-25</f>
        <v>75</v>
      </c>
      <c r="AZ15" s="171">
        <v>75</v>
      </c>
      <c r="BA15" s="363">
        <f t="shared" si="8"/>
        <v>300</v>
      </c>
      <c r="BB15" s="363">
        <f t="shared" si="9"/>
        <v>605</v>
      </c>
      <c r="BC15" s="363">
        <f t="shared" si="9"/>
        <v>605</v>
      </c>
      <c r="BD15" s="363">
        <f t="shared" si="9"/>
        <v>995</v>
      </c>
      <c r="BE15" s="363">
        <f t="shared" si="9"/>
        <v>994</v>
      </c>
      <c r="BF15" s="391"/>
      <c r="BG15" s="45"/>
    </row>
    <row r="16" spans="1:59" s="10" customFormat="1" x14ac:dyDescent="0.2">
      <c r="A16" s="347" t="s">
        <v>299</v>
      </c>
      <c r="B16" s="29" t="s">
        <v>342</v>
      </c>
      <c r="C16" s="88">
        <f t="shared" ref="C16:AH16" si="10">SUM(C17:C24)</f>
        <v>17647</v>
      </c>
      <c r="D16" s="88">
        <f>SUM(D17:D24)</f>
        <v>17134</v>
      </c>
      <c r="E16" s="88">
        <f t="shared" si="10"/>
        <v>16958</v>
      </c>
      <c r="F16" s="88">
        <f t="shared" ref="F16" si="11">SUM(F17:F24)</f>
        <v>16563</v>
      </c>
      <c r="G16" s="88">
        <f t="shared" si="10"/>
        <v>14807</v>
      </c>
      <c r="H16" s="88">
        <f t="shared" si="10"/>
        <v>0</v>
      </c>
      <c r="I16" s="88">
        <f>SUM(I17:I24)</f>
        <v>0</v>
      </c>
      <c r="J16" s="88">
        <f t="shared" si="10"/>
        <v>265</v>
      </c>
      <c r="K16" s="88">
        <f t="shared" ref="K16" si="12">SUM(K17:K24)</f>
        <v>265</v>
      </c>
      <c r="L16" s="88">
        <f t="shared" si="10"/>
        <v>264</v>
      </c>
      <c r="M16" s="88">
        <f t="shared" si="10"/>
        <v>0</v>
      </c>
      <c r="N16" s="88">
        <f t="shared" si="10"/>
        <v>0</v>
      </c>
      <c r="O16" s="88">
        <f t="shared" si="10"/>
        <v>0</v>
      </c>
      <c r="P16" s="88">
        <f t="shared" si="10"/>
        <v>0</v>
      </c>
      <c r="Q16" s="88">
        <f t="shared" si="10"/>
        <v>0</v>
      </c>
      <c r="R16" s="88">
        <f t="shared" si="10"/>
        <v>0</v>
      </c>
      <c r="S16" s="88">
        <f t="shared" si="10"/>
        <v>0</v>
      </c>
      <c r="T16" s="88">
        <f t="shared" si="10"/>
        <v>0</v>
      </c>
      <c r="U16" s="88">
        <f t="shared" ref="U16" si="13">SUM(U17:U24)</f>
        <v>0</v>
      </c>
      <c r="V16" s="88">
        <f t="shared" si="10"/>
        <v>0</v>
      </c>
      <c r="W16" s="88">
        <f t="shared" si="10"/>
        <v>0</v>
      </c>
      <c r="X16" s="88">
        <f>SUM(X17:X24)</f>
        <v>0</v>
      </c>
      <c r="Y16" s="88">
        <f t="shared" si="10"/>
        <v>0</v>
      </c>
      <c r="Z16" s="88">
        <f t="shared" ref="Z16" si="14">SUM(Z17:Z24)</f>
        <v>0</v>
      </c>
      <c r="AA16" s="88">
        <f t="shared" si="10"/>
        <v>0</v>
      </c>
      <c r="AB16" s="88">
        <f t="shared" si="10"/>
        <v>0</v>
      </c>
      <c r="AC16" s="88">
        <f>SUM(AC17:AC24)</f>
        <v>150</v>
      </c>
      <c r="AD16" s="88">
        <f t="shared" si="10"/>
        <v>150</v>
      </c>
      <c r="AE16" s="88">
        <f t="shared" ref="AE16" si="15">SUM(AE17:AE24)</f>
        <v>150</v>
      </c>
      <c r="AF16" s="88">
        <f t="shared" si="10"/>
        <v>59</v>
      </c>
      <c r="AG16" s="88">
        <f t="shared" si="10"/>
        <v>0</v>
      </c>
      <c r="AH16" s="88">
        <f t="shared" si="10"/>
        <v>0</v>
      </c>
      <c r="AI16" s="88">
        <f t="shared" ref="AI16:AZ16" si="16">SUM(AI17:AI24)</f>
        <v>0</v>
      </c>
      <c r="AJ16" s="88">
        <f t="shared" si="16"/>
        <v>0</v>
      </c>
      <c r="AK16" s="88">
        <f t="shared" si="16"/>
        <v>0</v>
      </c>
      <c r="AL16" s="88">
        <f t="shared" si="16"/>
        <v>0</v>
      </c>
      <c r="AM16" s="88">
        <f t="shared" si="16"/>
        <v>0</v>
      </c>
      <c r="AN16" s="88">
        <f t="shared" si="16"/>
        <v>0</v>
      </c>
      <c r="AO16" s="88">
        <f t="shared" si="16"/>
        <v>0</v>
      </c>
      <c r="AP16" s="88">
        <f t="shared" si="16"/>
        <v>0</v>
      </c>
      <c r="AQ16" s="88">
        <f t="shared" si="16"/>
        <v>0</v>
      </c>
      <c r="AR16" s="88">
        <f t="shared" si="16"/>
        <v>0</v>
      </c>
      <c r="AS16" s="88">
        <f t="shared" si="16"/>
        <v>0</v>
      </c>
      <c r="AT16" s="88">
        <f t="shared" si="16"/>
        <v>0</v>
      </c>
      <c r="AU16" s="88">
        <f t="shared" si="16"/>
        <v>0</v>
      </c>
      <c r="AV16" s="88">
        <f t="shared" si="16"/>
        <v>0</v>
      </c>
      <c r="AW16" s="88">
        <f t="shared" si="16"/>
        <v>0</v>
      </c>
      <c r="AX16" s="88">
        <f t="shared" si="16"/>
        <v>0</v>
      </c>
      <c r="AY16" s="88">
        <f t="shared" ref="AY16" si="17">SUM(AY17:AY24)</f>
        <v>0</v>
      </c>
      <c r="AZ16" s="88">
        <f t="shared" si="16"/>
        <v>0</v>
      </c>
      <c r="BA16" s="364">
        <f t="shared" si="8"/>
        <v>17647</v>
      </c>
      <c r="BB16" s="364">
        <f t="shared" si="9"/>
        <v>17284</v>
      </c>
      <c r="BC16" s="364">
        <f t="shared" si="9"/>
        <v>17373</v>
      </c>
      <c r="BD16" s="364">
        <f t="shared" si="9"/>
        <v>16978</v>
      </c>
      <c r="BE16" s="364">
        <f t="shared" si="9"/>
        <v>15130</v>
      </c>
      <c r="BF16" s="391">
        <f>SUM(BA17:BA24)</f>
        <v>17647</v>
      </c>
    </row>
    <row r="17" spans="1:59" s="10" customFormat="1" x14ac:dyDescent="0.2">
      <c r="A17" s="69">
        <v>121</v>
      </c>
      <c r="B17" s="25" t="s">
        <v>58</v>
      </c>
      <c r="C17" s="288">
        <v>7568</v>
      </c>
      <c r="D17" s="288">
        <f>7568-48</f>
        <v>7520</v>
      </c>
      <c r="E17" s="288">
        <f>7568-48</f>
        <v>7520</v>
      </c>
      <c r="F17" s="288">
        <f>7568-48</f>
        <v>7520</v>
      </c>
      <c r="G17" s="288">
        <v>6656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918">
        <f t="shared" si="8"/>
        <v>7568</v>
      </c>
      <c r="BB17" s="918">
        <f t="shared" si="9"/>
        <v>7520</v>
      </c>
      <c r="BC17" s="918">
        <f t="shared" si="9"/>
        <v>7520</v>
      </c>
      <c r="BD17" s="918">
        <f t="shared" si="9"/>
        <v>7520</v>
      </c>
      <c r="BE17" s="918">
        <f t="shared" si="9"/>
        <v>6656</v>
      </c>
      <c r="BF17" s="391"/>
    </row>
    <row r="18" spans="1:59" s="10" customFormat="1" x14ac:dyDescent="0.2">
      <c r="A18" s="69">
        <v>121</v>
      </c>
      <c r="B18" s="190" t="s">
        <v>492</v>
      </c>
      <c r="C18" s="288">
        <v>1350</v>
      </c>
      <c r="D18" s="288">
        <v>1350</v>
      </c>
      <c r="E18" s="288">
        <v>1350</v>
      </c>
      <c r="F18" s="288">
        <v>1350</v>
      </c>
      <c r="G18" s="288">
        <v>1347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918">
        <f t="shared" si="8"/>
        <v>1350</v>
      </c>
      <c r="BB18" s="918">
        <f t="shared" si="9"/>
        <v>1350</v>
      </c>
      <c r="BC18" s="918">
        <f t="shared" si="9"/>
        <v>1350</v>
      </c>
      <c r="BD18" s="918">
        <f t="shared" si="9"/>
        <v>1350</v>
      </c>
      <c r="BE18" s="918">
        <f t="shared" si="9"/>
        <v>1347</v>
      </c>
      <c r="BF18" s="391"/>
    </row>
    <row r="19" spans="1:59" s="10" customFormat="1" x14ac:dyDescent="0.2">
      <c r="A19" s="69">
        <v>121</v>
      </c>
      <c r="B19" s="9" t="s">
        <v>33</v>
      </c>
      <c r="C19" s="171">
        <v>209</v>
      </c>
      <c r="D19" s="171">
        <v>209</v>
      </c>
      <c r="E19" s="171">
        <v>209</v>
      </c>
      <c r="F19" s="171">
        <f>209-5</f>
        <v>204</v>
      </c>
      <c r="G19" s="171">
        <v>191</v>
      </c>
      <c r="H19" s="171"/>
      <c r="I19" s="171"/>
      <c r="J19" s="171"/>
      <c r="K19" s="171"/>
      <c r="L19" s="171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918">
        <f t="shared" si="8"/>
        <v>209</v>
      </c>
      <c r="BB19" s="918">
        <f t="shared" si="9"/>
        <v>209</v>
      </c>
      <c r="BC19" s="918">
        <f t="shared" si="9"/>
        <v>209</v>
      </c>
      <c r="BD19" s="918">
        <f t="shared" si="9"/>
        <v>204</v>
      </c>
      <c r="BE19" s="918">
        <f t="shared" si="9"/>
        <v>191</v>
      </c>
      <c r="BF19" s="391"/>
    </row>
    <row r="20" spans="1:59" s="10" customFormat="1" x14ac:dyDescent="0.2">
      <c r="A20" s="69">
        <v>121</v>
      </c>
      <c r="B20" s="25" t="s">
        <v>493</v>
      </c>
      <c r="C20" s="171">
        <f>6720+300</f>
        <v>7020</v>
      </c>
      <c r="D20" s="171">
        <f>(6720+300)-15-300-228-150</f>
        <v>6327</v>
      </c>
      <c r="E20" s="171">
        <f>((6720+300)-15-300-228-150)-265-150-200</f>
        <v>5712</v>
      </c>
      <c r="F20" s="171">
        <f>(((6720+300)-15-300-228-150)-265-150-200)-51-149-190</f>
        <v>5322</v>
      </c>
      <c r="G20" s="171">
        <v>5085</v>
      </c>
      <c r="H20" s="171"/>
      <c r="I20" s="171"/>
      <c r="J20" s="171"/>
      <c r="K20" s="171"/>
      <c r="L20" s="171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918">
        <f t="shared" si="8"/>
        <v>7020</v>
      </c>
      <c r="BB20" s="918">
        <f t="shared" si="9"/>
        <v>6327</v>
      </c>
      <c r="BC20" s="918">
        <f t="shared" si="9"/>
        <v>5712</v>
      </c>
      <c r="BD20" s="918">
        <f t="shared" si="9"/>
        <v>5322</v>
      </c>
      <c r="BE20" s="918">
        <f t="shared" si="9"/>
        <v>5085</v>
      </c>
      <c r="BF20" s="391"/>
    </row>
    <row r="21" spans="1:59" s="10" customFormat="1" x14ac:dyDescent="0.2">
      <c r="A21" s="69">
        <v>122</v>
      </c>
      <c r="B21" s="25" t="s">
        <v>1119</v>
      </c>
      <c r="C21" s="171">
        <v>500</v>
      </c>
      <c r="D21" s="171">
        <f>500+228</f>
        <v>728</v>
      </c>
      <c r="E21" s="171">
        <f>500+228</f>
        <v>728</v>
      </c>
      <c r="F21" s="171">
        <f>500+228</f>
        <v>728</v>
      </c>
      <c r="G21" s="171">
        <v>728</v>
      </c>
      <c r="H21" s="171">
        <v>0</v>
      </c>
      <c r="I21" s="171">
        <v>0</v>
      </c>
      <c r="J21" s="171">
        <v>265</v>
      </c>
      <c r="K21" s="171">
        <v>265</v>
      </c>
      <c r="L21" s="171">
        <v>264</v>
      </c>
      <c r="M21" s="88"/>
      <c r="N21" s="88"/>
      <c r="O21" s="88"/>
      <c r="P21" s="88"/>
      <c r="Q21" s="88"/>
      <c r="R21" s="88"/>
      <c r="S21" s="88"/>
      <c r="T21" s="88"/>
      <c r="U21" s="88"/>
      <c r="V21" s="171"/>
      <c r="W21" s="171"/>
      <c r="X21" s="171"/>
      <c r="Y21" s="171"/>
      <c r="Z21" s="171"/>
      <c r="AA21" s="171"/>
      <c r="AB21" s="171">
        <v>0</v>
      </c>
      <c r="AC21" s="171">
        <v>150</v>
      </c>
      <c r="AD21" s="171">
        <v>150</v>
      </c>
      <c r="AE21" s="171">
        <v>150</v>
      </c>
      <c r="AF21" s="171">
        <v>59</v>
      </c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918">
        <f t="shared" si="8"/>
        <v>500</v>
      </c>
      <c r="BB21" s="918">
        <f t="shared" si="9"/>
        <v>878</v>
      </c>
      <c r="BC21" s="918">
        <f t="shared" si="9"/>
        <v>1143</v>
      </c>
      <c r="BD21" s="918">
        <f t="shared" si="9"/>
        <v>1143</v>
      </c>
      <c r="BE21" s="918">
        <f t="shared" si="9"/>
        <v>1051</v>
      </c>
      <c r="BF21" s="391"/>
    </row>
    <row r="22" spans="1:59" x14ac:dyDescent="0.2">
      <c r="A22" s="69">
        <v>123</v>
      </c>
      <c r="B22" s="25" t="s">
        <v>353</v>
      </c>
      <c r="C22" s="288">
        <v>500</v>
      </c>
      <c r="D22" s="288">
        <v>500</v>
      </c>
      <c r="E22" s="288">
        <v>500</v>
      </c>
      <c r="F22" s="288">
        <v>500</v>
      </c>
      <c r="G22" s="981">
        <v>361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918">
        <f t="shared" si="8"/>
        <v>500</v>
      </c>
      <c r="BB22" s="918">
        <f t="shared" si="9"/>
        <v>500</v>
      </c>
      <c r="BC22" s="918">
        <f t="shared" si="9"/>
        <v>500</v>
      </c>
      <c r="BD22" s="918">
        <f t="shared" si="9"/>
        <v>500</v>
      </c>
      <c r="BE22" s="918">
        <f t="shared" si="9"/>
        <v>361</v>
      </c>
      <c r="BF22" s="391"/>
      <c r="BG22" s="10"/>
    </row>
    <row r="23" spans="1:59" x14ac:dyDescent="0.2">
      <c r="A23" s="69">
        <v>123</v>
      </c>
      <c r="B23" s="25" t="s">
        <v>478</v>
      </c>
      <c r="C23" s="171">
        <v>500</v>
      </c>
      <c r="D23" s="171">
        <v>500</v>
      </c>
      <c r="E23" s="171">
        <v>500</v>
      </c>
      <c r="F23" s="171">
        <v>500</v>
      </c>
      <c r="G23" s="98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918">
        <f t="shared" ref="BA23" si="18">C23+H23+M23+R23+W23+AB23+AG23+AL23+AQ23+AV23</f>
        <v>500</v>
      </c>
      <c r="BB23" s="918">
        <f t="shared" ref="BB23" si="19">D23+I23+N23+S23+X23+AC23+AH23+AM23+AR23+AW23</f>
        <v>500</v>
      </c>
      <c r="BC23" s="918">
        <f t="shared" ref="BC23" si="20">E23+J23+O23+T23+Y23+AD23+AI23+AN23+AS23+AX23</f>
        <v>500</v>
      </c>
      <c r="BD23" s="918">
        <f t="shared" ref="BD23" si="21">F23+K23+P23+U23+Z23+AE23+AJ23+AO23+AT23+AY23</f>
        <v>500</v>
      </c>
      <c r="BE23" s="918">
        <f t="shared" ref="BE23" si="22">G23+L23+Q23+V23+AA23+AF23+AK23+AP23+AU23+AZ23</f>
        <v>0</v>
      </c>
      <c r="BF23" s="391"/>
    </row>
    <row r="24" spans="1:59" x14ac:dyDescent="0.2">
      <c r="A24" s="69">
        <v>123</v>
      </c>
      <c r="B24" s="25" t="s">
        <v>1248</v>
      </c>
      <c r="C24" s="171">
        <v>0</v>
      </c>
      <c r="D24" s="171">
        <v>0</v>
      </c>
      <c r="E24" s="171">
        <v>439</v>
      </c>
      <c r="F24" s="171">
        <v>439</v>
      </c>
      <c r="G24" s="171">
        <v>439</v>
      </c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2"/>
      <c r="AY24" s="232"/>
      <c r="AZ24" s="232"/>
      <c r="BA24" s="918">
        <f t="shared" si="8"/>
        <v>0</v>
      </c>
      <c r="BB24" s="918">
        <f t="shared" si="9"/>
        <v>0</v>
      </c>
      <c r="BC24" s="918">
        <f t="shared" si="9"/>
        <v>439</v>
      </c>
      <c r="BD24" s="918">
        <f t="shared" si="9"/>
        <v>439</v>
      </c>
      <c r="BE24" s="918">
        <f t="shared" si="9"/>
        <v>439</v>
      </c>
      <c r="BF24" s="391"/>
    </row>
    <row r="25" spans="1:59" x14ac:dyDescent="0.2">
      <c r="A25" s="347" t="s">
        <v>217</v>
      </c>
      <c r="B25" s="133" t="s">
        <v>296</v>
      </c>
      <c r="C25" s="170">
        <f t="shared" ref="C25:AH25" si="23">SUM(C10+C16)</f>
        <v>17647</v>
      </c>
      <c r="D25" s="170">
        <f>SUM(D10+D16)</f>
        <v>17134</v>
      </c>
      <c r="E25" s="170">
        <f t="shared" si="23"/>
        <v>16958</v>
      </c>
      <c r="F25" s="170">
        <f t="shared" ref="F25" si="24">SUM(F10+F16)</f>
        <v>16563</v>
      </c>
      <c r="G25" s="170">
        <f t="shared" si="23"/>
        <v>14807</v>
      </c>
      <c r="H25" s="170">
        <f t="shared" si="23"/>
        <v>7781</v>
      </c>
      <c r="I25" s="170">
        <f>SUM(I10+I16)</f>
        <v>8397</v>
      </c>
      <c r="J25" s="170">
        <f t="shared" si="23"/>
        <v>8802</v>
      </c>
      <c r="K25" s="170">
        <f t="shared" ref="K25" si="25">SUM(K10+K16)</f>
        <v>8931</v>
      </c>
      <c r="L25" s="170">
        <f t="shared" si="23"/>
        <v>8892</v>
      </c>
      <c r="M25" s="170">
        <f t="shared" si="23"/>
        <v>0</v>
      </c>
      <c r="N25" s="170">
        <f t="shared" si="23"/>
        <v>0</v>
      </c>
      <c r="O25" s="170">
        <f t="shared" si="23"/>
        <v>0</v>
      </c>
      <c r="P25" s="170">
        <f t="shared" si="23"/>
        <v>0</v>
      </c>
      <c r="Q25" s="170">
        <f t="shared" si="23"/>
        <v>0</v>
      </c>
      <c r="R25" s="170">
        <f t="shared" si="23"/>
        <v>0</v>
      </c>
      <c r="S25" s="170">
        <f t="shared" si="23"/>
        <v>0</v>
      </c>
      <c r="T25" s="170">
        <f t="shared" si="23"/>
        <v>0</v>
      </c>
      <c r="U25" s="170">
        <f t="shared" ref="U25" si="26">SUM(U10+U16)</f>
        <v>0</v>
      </c>
      <c r="V25" s="170">
        <f t="shared" si="23"/>
        <v>0</v>
      </c>
      <c r="W25" s="170">
        <f t="shared" si="23"/>
        <v>9383</v>
      </c>
      <c r="X25" s="170">
        <f>SUM(X10+X16)</f>
        <v>9698</v>
      </c>
      <c r="Y25" s="170">
        <f t="shared" si="23"/>
        <v>9558</v>
      </c>
      <c r="Z25" s="170">
        <f t="shared" ref="Z25" si="27">SUM(Z10+Z16)</f>
        <v>9773</v>
      </c>
      <c r="AA25" s="170">
        <f t="shared" si="23"/>
        <v>9747</v>
      </c>
      <c r="AB25" s="170">
        <f t="shared" si="23"/>
        <v>1521</v>
      </c>
      <c r="AC25" s="170">
        <f>SUM(AC10+AC16)</f>
        <v>1719</v>
      </c>
      <c r="AD25" s="170">
        <f t="shared" si="23"/>
        <v>1719</v>
      </c>
      <c r="AE25" s="170">
        <f t="shared" ref="AE25" si="28">SUM(AE10+AE16)</f>
        <v>1795</v>
      </c>
      <c r="AF25" s="170">
        <f t="shared" si="23"/>
        <v>1697</v>
      </c>
      <c r="AG25" s="170">
        <f t="shared" si="23"/>
        <v>0</v>
      </c>
      <c r="AH25" s="170">
        <f t="shared" si="23"/>
        <v>0</v>
      </c>
      <c r="AI25" s="170">
        <f t="shared" ref="AI25:AZ25" si="29">SUM(AI10+AI16)</f>
        <v>0</v>
      </c>
      <c r="AJ25" s="170">
        <f t="shared" si="29"/>
        <v>0</v>
      </c>
      <c r="AK25" s="170">
        <f t="shared" si="29"/>
        <v>0</v>
      </c>
      <c r="AL25" s="170">
        <f t="shared" si="29"/>
        <v>0</v>
      </c>
      <c r="AM25" s="170">
        <f t="shared" si="29"/>
        <v>0</v>
      </c>
      <c r="AN25" s="170">
        <f t="shared" si="29"/>
        <v>0</v>
      </c>
      <c r="AO25" s="170">
        <f t="shared" si="29"/>
        <v>0</v>
      </c>
      <c r="AP25" s="170">
        <f t="shared" si="29"/>
        <v>0</v>
      </c>
      <c r="AQ25" s="170">
        <f t="shared" si="29"/>
        <v>0</v>
      </c>
      <c r="AR25" s="170">
        <f t="shared" si="29"/>
        <v>0</v>
      </c>
      <c r="AS25" s="170">
        <f t="shared" si="29"/>
        <v>0</v>
      </c>
      <c r="AT25" s="170">
        <f t="shared" si="29"/>
        <v>0</v>
      </c>
      <c r="AU25" s="170">
        <f t="shared" si="29"/>
        <v>0</v>
      </c>
      <c r="AV25" s="170">
        <f t="shared" si="29"/>
        <v>3196</v>
      </c>
      <c r="AW25" s="170">
        <f t="shared" si="29"/>
        <v>3316</v>
      </c>
      <c r="AX25" s="170">
        <f t="shared" si="29"/>
        <v>3316</v>
      </c>
      <c r="AY25" s="170">
        <f t="shared" ref="AY25" si="30">SUM(AY10+AY16)</f>
        <v>3291</v>
      </c>
      <c r="AZ25" s="170">
        <f t="shared" si="29"/>
        <v>3283</v>
      </c>
      <c r="BA25" s="170">
        <f t="shared" si="8"/>
        <v>39528</v>
      </c>
      <c r="BB25" s="170">
        <f t="shared" si="9"/>
        <v>40264</v>
      </c>
      <c r="BC25" s="170">
        <f t="shared" si="9"/>
        <v>40353</v>
      </c>
      <c r="BD25" s="170">
        <f t="shared" si="9"/>
        <v>40353</v>
      </c>
      <c r="BE25" s="170">
        <f t="shared" si="9"/>
        <v>38426</v>
      </c>
      <c r="BF25" s="391">
        <f>SUM(BA10+BA16)</f>
        <v>39528</v>
      </c>
      <c r="BG25" s="86"/>
    </row>
    <row r="26" spans="1:59" x14ac:dyDescent="0.2">
      <c r="A26" s="69"/>
      <c r="B26" s="25" t="s">
        <v>30</v>
      </c>
      <c r="C26" s="171">
        <v>2550</v>
      </c>
      <c r="D26" s="171">
        <v>2550</v>
      </c>
      <c r="E26" s="171">
        <f>2550+68-110</f>
        <v>2508</v>
      </c>
      <c r="F26" s="171">
        <f>(2550+68-110)-11-11-39</f>
        <v>2447</v>
      </c>
      <c r="G26" s="171">
        <v>2170</v>
      </c>
      <c r="H26" s="171">
        <v>1145</v>
      </c>
      <c r="I26" s="171">
        <f>1145+95</f>
        <v>1240</v>
      </c>
      <c r="J26" s="171">
        <f>1145+95+55</f>
        <v>1295</v>
      </c>
      <c r="K26" s="171">
        <f>1145+95+55</f>
        <v>1295</v>
      </c>
      <c r="L26" s="171">
        <v>1288</v>
      </c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>
        <v>1410</v>
      </c>
      <c r="X26" s="171">
        <v>1410</v>
      </c>
      <c r="Y26" s="171">
        <f>1410+20</f>
        <v>1430</v>
      </c>
      <c r="Z26" s="171">
        <f>1410+20+39</f>
        <v>1469</v>
      </c>
      <c r="AA26" s="171">
        <v>1468</v>
      </c>
      <c r="AB26" s="171">
        <v>225</v>
      </c>
      <c r="AC26" s="171">
        <v>225</v>
      </c>
      <c r="AD26" s="171">
        <f>225+15</f>
        <v>240</v>
      </c>
      <c r="AE26" s="171">
        <f>225+15+11</f>
        <v>251</v>
      </c>
      <c r="AF26" s="171">
        <v>250</v>
      </c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>
        <v>465</v>
      </c>
      <c r="AW26" s="171">
        <v>465</v>
      </c>
      <c r="AX26" s="171">
        <f>465+20</f>
        <v>485</v>
      </c>
      <c r="AY26" s="171">
        <f>465+20+11</f>
        <v>496</v>
      </c>
      <c r="AZ26" s="171">
        <v>495</v>
      </c>
      <c r="BA26" s="363">
        <f t="shared" si="8"/>
        <v>5795</v>
      </c>
      <c r="BB26" s="363">
        <f t="shared" si="9"/>
        <v>5890</v>
      </c>
      <c r="BC26" s="363">
        <f t="shared" si="9"/>
        <v>5958</v>
      </c>
      <c r="BD26" s="363">
        <f t="shared" si="9"/>
        <v>5958</v>
      </c>
      <c r="BE26" s="363">
        <f t="shared" si="9"/>
        <v>5671</v>
      </c>
      <c r="BF26" s="391"/>
    </row>
    <row r="27" spans="1:59" hidden="1" x14ac:dyDescent="0.2">
      <c r="A27" s="69"/>
      <c r="B27" s="25" t="s">
        <v>410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363" t="e">
        <f>C27+H27+M27+R27+W27+AB27+AG27+AL27+AQ27+AV27+#REF!</f>
        <v>#REF!</v>
      </c>
      <c r="BB27" s="363" t="e">
        <f>D27+I27+N27+S27+X27+AC27+AH27+AM27+AR27+AW27+#REF!</f>
        <v>#REF!</v>
      </c>
      <c r="BC27" s="363" t="e">
        <f>E27+J27+O27+T27+Y27+AD27+AI27+AN27+AS27+AX27+#REF!</f>
        <v>#REF!</v>
      </c>
      <c r="BD27" s="363" t="e">
        <f>F27+K27+P27+U27+Z27+AE27+AJ27+AO27+AT27+AY27+#REF!</f>
        <v>#REF!</v>
      </c>
      <c r="BE27" s="363" t="e">
        <f>G27+L27+Q27+V27+AA27+AF27+AK27+AP27+AU27+AZ27+#REF!</f>
        <v>#REF!</v>
      </c>
      <c r="BF27" s="391"/>
    </row>
    <row r="28" spans="1:59" x14ac:dyDescent="0.2">
      <c r="A28" s="69"/>
      <c r="B28" s="25" t="s">
        <v>116</v>
      </c>
      <c r="C28" s="171">
        <f>(360+70+31)</f>
        <v>461</v>
      </c>
      <c r="D28" s="171">
        <f>(360+70+31)</f>
        <v>461</v>
      </c>
      <c r="E28" s="171">
        <f>(360+70+31)-5</f>
        <v>456</v>
      </c>
      <c r="F28" s="171">
        <f>(360+70+31)-5</f>
        <v>456</v>
      </c>
      <c r="G28" s="171">
        <v>90</v>
      </c>
      <c r="H28" s="171">
        <v>30</v>
      </c>
      <c r="I28" s="171">
        <v>30</v>
      </c>
      <c r="J28" s="171">
        <f>30+5</f>
        <v>35</v>
      </c>
      <c r="K28" s="171">
        <f>30+5</f>
        <v>35</v>
      </c>
      <c r="L28" s="171">
        <v>30</v>
      </c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>
        <v>45</v>
      </c>
      <c r="X28" s="232">
        <v>45</v>
      </c>
      <c r="Y28" s="232">
        <v>45</v>
      </c>
      <c r="Z28" s="232">
        <v>45</v>
      </c>
      <c r="AA28" s="232">
        <v>40</v>
      </c>
      <c r="AB28" s="232">
        <v>11</v>
      </c>
      <c r="AC28" s="232">
        <v>11</v>
      </c>
      <c r="AD28" s="232">
        <v>11</v>
      </c>
      <c r="AE28" s="232">
        <v>11</v>
      </c>
      <c r="AF28" s="232">
        <v>11</v>
      </c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Q28" s="232"/>
      <c r="AR28" s="232"/>
      <c r="AS28" s="232"/>
      <c r="AT28" s="232"/>
      <c r="AU28" s="232"/>
      <c r="AV28" s="232">
        <v>15</v>
      </c>
      <c r="AW28" s="232">
        <v>15</v>
      </c>
      <c r="AX28" s="232">
        <v>15</v>
      </c>
      <c r="AY28" s="232">
        <v>15</v>
      </c>
      <c r="AZ28" s="171">
        <v>13</v>
      </c>
      <c r="BA28" s="363">
        <f t="shared" ref="BA28:BA59" si="31">C28+H28+M28+R28+W28+AB28+AG28+AL28+AQ28+AV28</f>
        <v>562</v>
      </c>
      <c r="BB28" s="363">
        <f t="shared" ref="BB28:BE43" si="32">D28+I28+N28+S28+X28+AC28+AH28+AM28+AR28+AW28</f>
        <v>562</v>
      </c>
      <c r="BC28" s="363">
        <f t="shared" si="32"/>
        <v>562</v>
      </c>
      <c r="BD28" s="363">
        <f t="shared" si="32"/>
        <v>562</v>
      </c>
      <c r="BE28" s="363">
        <f t="shared" si="32"/>
        <v>184</v>
      </c>
      <c r="BF28" s="391"/>
      <c r="BG28" s="86"/>
    </row>
    <row r="29" spans="1:59" x14ac:dyDescent="0.2">
      <c r="A29" s="347" t="s">
        <v>218</v>
      </c>
      <c r="B29" s="133" t="s">
        <v>103</v>
      </c>
      <c r="C29" s="170">
        <f t="shared" ref="C29:W29" si="33">SUM(C26:C28)</f>
        <v>3011</v>
      </c>
      <c r="D29" s="170">
        <f>SUM(D26:D28)</f>
        <v>3011</v>
      </c>
      <c r="E29" s="170">
        <f t="shared" ref="E29:L29" si="34">SUM(E26:E28)</f>
        <v>2964</v>
      </c>
      <c r="F29" s="170">
        <f t="shared" ref="F29" si="35">SUM(F26:F28)</f>
        <v>2903</v>
      </c>
      <c r="G29" s="170">
        <f t="shared" si="34"/>
        <v>2260</v>
      </c>
      <c r="H29" s="170">
        <f t="shared" si="34"/>
        <v>1175</v>
      </c>
      <c r="I29" s="170">
        <f>SUM(I26:I28)</f>
        <v>1270</v>
      </c>
      <c r="J29" s="170">
        <f t="shared" si="34"/>
        <v>1330</v>
      </c>
      <c r="K29" s="170">
        <f t="shared" ref="K29" si="36">SUM(K26:K28)</f>
        <v>1330</v>
      </c>
      <c r="L29" s="170">
        <f t="shared" si="34"/>
        <v>1318</v>
      </c>
      <c r="M29" s="170">
        <f t="shared" si="33"/>
        <v>0</v>
      </c>
      <c r="N29" s="170">
        <f t="shared" si="33"/>
        <v>0</v>
      </c>
      <c r="O29" s="170">
        <f t="shared" si="33"/>
        <v>0</v>
      </c>
      <c r="P29" s="170">
        <f t="shared" si="33"/>
        <v>0</v>
      </c>
      <c r="Q29" s="170">
        <f t="shared" si="33"/>
        <v>0</v>
      </c>
      <c r="R29" s="170">
        <f t="shared" si="33"/>
        <v>0</v>
      </c>
      <c r="S29" s="170">
        <f t="shared" si="33"/>
        <v>0</v>
      </c>
      <c r="T29" s="170">
        <f t="shared" si="33"/>
        <v>0</v>
      </c>
      <c r="U29" s="170">
        <f t="shared" ref="U29" si="37">SUM(U26:U28)</f>
        <v>0</v>
      </c>
      <c r="V29" s="170">
        <f t="shared" si="33"/>
        <v>0</v>
      </c>
      <c r="W29" s="170">
        <f t="shared" si="33"/>
        <v>1455</v>
      </c>
      <c r="X29" s="170">
        <f>SUM(X26:X28)</f>
        <v>1455</v>
      </c>
      <c r="Y29" s="170">
        <f t="shared" ref="Y29:AZ29" si="38">SUM(Y26:Y28)</f>
        <v>1475</v>
      </c>
      <c r="Z29" s="170">
        <f t="shared" ref="Z29" si="39">SUM(Z26:Z28)</f>
        <v>1514</v>
      </c>
      <c r="AA29" s="170">
        <f t="shared" si="38"/>
        <v>1508</v>
      </c>
      <c r="AB29" s="170">
        <f t="shared" si="38"/>
        <v>236</v>
      </c>
      <c r="AC29" s="170">
        <f>SUM(AC26:AC28)</f>
        <v>236</v>
      </c>
      <c r="AD29" s="170">
        <f t="shared" si="38"/>
        <v>251</v>
      </c>
      <c r="AE29" s="170">
        <f t="shared" ref="AE29" si="40">SUM(AE26:AE28)</f>
        <v>262</v>
      </c>
      <c r="AF29" s="170">
        <f t="shared" si="38"/>
        <v>261</v>
      </c>
      <c r="AG29" s="170">
        <f t="shared" si="38"/>
        <v>0</v>
      </c>
      <c r="AH29" s="170">
        <f t="shared" si="38"/>
        <v>0</v>
      </c>
      <c r="AI29" s="170">
        <f>SUM(AI26:AI28)</f>
        <v>0</v>
      </c>
      <c r="AJ29" s="170">
        <f t="shared" si="38"/>
        <v>0</v>
      </c>
      <c r="AK29" s="170">
        <f t="shared" si="38"/>
        <v>0</v>
      </c>
      <c r="AL29" s="170">
        <f t="shared" si="38"/>
        <v>0</v>
      </c>
      <c r="AM29" s="170">
        <f>SUM(AM26:AM28)</f>
        <v>0</v>
      </c>
      <c r="AN29" s="170">
        <f>SUM(AN26:AN28)</f>
        <v>0</v>
      </c>
      <c r="AO29" s="170">
        <f>SUM(AO26:AO28)</f>
        <v>0</v>
      </c>
      <c r="AP29" s="170">
        <f t="shared" si="38"/>
        <v>0</v>
      </c>
      <c r="AQ29" s="170">
        <f t="shared" si="38"/>
        <v>0</v>
      </c>
      <c r="AR29" s="170">
        <f>SUM(AR26:AR28)</f>
        <v>0</v>
      </c>
      <c r="AS29" s="170">
        <f>SUM(AS26:AS28)</f>
        <v>0</v>
      </c>
      <c r="AT29" s="170">
        <f>SUM(AT26:AT28)</f>
        <v>0</v>
      </c>
      <c r="AU29" s="170">
        <f t="shared" si="38"/>
        <v>0</v>
      </c>
      <c r="AV29" s="170">
        <f>SUM(AV26:AV28)</f>
        <v>480</v>
      </c>
      <c r="AW29" s="170">
        <f>SUM(AW26:AW28)</f>
        <v>480</v>
      </c>
      <c r="AX29" s="170">
        <f t="shared" si="38"/>
        <v>500</v>
      </c>
      <c r="AY29" s="170">
        <f t="shared" ref="AY29" si="41">SUM(AY26:AY28)</f>
        <v>511</v>
      </c>
      <c r="AZ29" s="170">
        <f t="shared" si="38"/>
        <v>508</v>
      </c>
      <c r="BA29" s="170">
        <f t="shared" si="31"/>
        <v>6357</v>
      </c>
      <c r="BB29" s="170">
        <f t="shared" si="32"/>
        <v>6452</v>
      </c>
      <c r="BC29" s="170">
        <f t="shared" si="32"/>
        <v>6520</v>
      </c>
      <c r="BD29" s="170">
        <f t="shared" si="32"/>
        <v>6520</v>
      </c>
      <c r="BE29" s="170">
        <f t="shared" si="32"/>
        <v>5855</v>
      </c>
      <c r="BF29" s="391"/>
    </row>
    <row r="30" spans="1:59" x14ac:dyDescent="0.2">
      <c r="A30" s="347" t="s">
        <v>263</v>
      </c>
      <c r="B30" s="29" t="s">
        <v>285</v>
      </c>
      <c r="C30" s="88">
        <f t="shared" ref="C30:AD30" si="42">SUM(C31:C38)</f>
        <v>2530</v>
      </c>
      <c r="D30" s="88">
        <f>SUM(D31:D38)</f>
        <v>2530</v>
      </c>
      <c r="E30" s="88">
        <f>SUM(E31:E38)</f>
        <v>2480</v>
      </c>
      <c r="F30" s="88">
        <f>SUM(F31:F38)</f>
        <v>2380</v>
      </c>
      <c r="G30" s="88">
        <f t="shared" ref="G30:L30" si="43">SUM(G31:G38)</f>
        <v>2178</v>
      </c>
      <c r="H30" s="88">
        <f t="shared" si="43"/>
        <v>105</v>
      </c>
      <c r="I30" s="88">
        <f>SUM(I31:I38)</f>
        <v>105</v>
      </c>
      <c r="J30" s="88">
        <f>SUM(J31:J38)</f>
        <v>105</v>
      </c>
      <c r="K30" s="88">
        <f>SUM(K31:K38)</f>
        <v>105</v>
      </c>
      <c r="L30" s="88">
        <f t="shared" si="43"/>
        <v>52</v>
      </c>
      <c r="M30" s="88">
        <f t="shared" si="42"/>
        <v>0</v>
      </c>
      <c r="N30" s="88">
        <f t="shared" si="42"/>
        <v>0</v>
      </c>
      <c r="O30" s="88">
        <f t="shared" si="42"/>
        <v>0</v>
      </c>
      <c r="P30" s="88">
        <f t="shared" si="42"/>
        <v>0</v>
      </c>
      <c r="Q30" s="88">
        <f t="shared" si="42"/>
        <v>0</v>
      </c>
      <c r="R30" s="88">
        <f t="shared" si="42"/>
        <v>130</v>
      </c>
      <c r="S30" s="88">
        <f t="shared" si="42"/>
        <v>180</v>
      </c>
      <c r="T30" s="88">
        <f t="shared" ref="T30:U30" si="44">SUM(T31:T38)</f>
        <v>230</v>
      </c>
      <c r="U30" s="88">
        <f t="shared" si="44"/>
        <v>230</v>
      </c>
      <c r="V30" s="88">
        <f>SUM(V31:V38)</f>
        <v>161</v>
      </c>
      <c r="W30" s="88">
        <f t="shared" si="42"/>
        <v>100</v>
      </c>
      <c r="X30" s="88">
        <f>SUM(X31:X38)</f>
        <v>100</v>
      </c>
      <c r="Y30" s="88">
        <f>SUM(Y31:Y38)</f>
        <v>100</v>
      </c>
      <c r="Z30" s="88">
        <f>SUM(Z31:Z38)</f>
        <v>100</v>
      </c>
      <c r="AA30" s="88">
        <f>SUM(AA31:AA38)</f>
        <v>0</v>
      </c>
      <c r="AB30" s="88">
        <f t="shared" si="42"/>
        <v>0</v>
      </c>
      <c r="AC30" s="88">
        <f>SUM(AC31:AC38)</f>
        <v>0</v>
      </c>
      <c r="AD30" s="88">
        <f t="shared" si="42"/>
        <v>0</v>
      </c>
      <c r="AE30" s="88">
        <f t="shared" ref="AE30" si="45">SUM(AE31:AE38)</f>
        <v>0</v>
      </c>
      <c r="AF30" s="88">
        <f t="shared" ref="AF30:AU30" si="46">SUM(AF31:AF38)</f>
        <v>0</v>
      </c>
      <c r="AG30" s="88">
        <f t="shared" si="46"/>
        <v>0</v>
      </c>
      <c r="AH30" s="88">
        <f t="shared" si="46"/>
        <v>0</v>
      </c>
      <c r="AI30" s="88">
        <f>SUM(AI31:AI38)</f>
        <v>1184</v>
      </c>
      <c r="AJ30" s="88">
        <f t="shared" si="46"/>
        <v>1184</v>
      </c>
      <c r="AK30" s="88">
        <f t="shared" si="46"/>
        <v>1178</v>
      </c>
      <c r="AL30" s="88">
        <f t="shared" si="46"/>
        <v>0</v>
      </c>
      <c r="AM30" s="88">
        <f>SUM(AM31:AM38)</f>
        <v>0</v>
      </c>
      <c r="AN30" s="88">
        <f>SUM(AN31:AN38)</f>
        <v>0</v>
      </c>
      <c r="AO30" s="88">
        <f>SUM(AO31:AO38)</f>
        <v>0</v>
      </c>
      <c r="AP30" s="88">
        <f t="shared" si="46"/>
        <v>0</v>
      </c>
      <c r="AQ30" s="88">
        <f t="shared" si="46"/>
        <v>50</v>
      </c>
      <c r="AR30" s="88">
        <f>SUM(AR31:AR38)</f>
        <v>0</v>
      </c>
      <c r="AS30" s="88">
        <f>SUM(AS31:AS38)</f>
        <v>0</v>
      </c>
      <c r="AT30" s="88">
        <f>SUM(AT31:AT38)</f>
        <v>0</v>
      </c>
      <c r="AU30" s="88">
        <f t="shared" si="46"/>
        <v>0</v>
      </c>
      <c r="AV30" s="88">
        <f>SUM(AV31:AV38)</f>
        <v>820</v>
      </c>
      <c r="AW30" s="88">
        <f>SUM(AW31:AW38)</f>
        <v>820</v>
      </c>
      <c r="AX30" s="88">
        <f>SUM(AX31:AX38)</f>
        <v>820</v>
      </c>
      <c r="AY30" s="88">
        <f>SUM(AY31:AY38)</f>
        <v>820</v>
      </c>
      <c r="AZ30" s="88">
        <f>SUM(AZ31:AZ38)</f>
        <v>683</v>
      </c>
      <c r="BA30" s="364">
        <f t="shared" si="31"/>
        <v>3735</v>
      </c>
      <c r="BB30" s="364">
        <f t="shared" si="32"/>
        <v>3735</v>
      </c>
      <c r="BC30" s="364">
        <f t="shared" si="32"/>
        <v>4919</v>
      </c>
      <c r="BD30" s="364">
        <f t="shared" si="32"/>
        <v>4819</v>
      </c>
      <c r="BE30" s="364">
        <f t="shared" si="32"/>
        <v>4252</v>
      </c>
      <c r="BF30" s="391">
        <f>SUM(BA31:BA38)</f>
        <v>3735</v>
      </c>
    </row>
    <row r="31" spans="1:59" x14ac:dyDescent="0.2">
      <c r="A31" s="69" t="s">
        <v>264</v>
      </c>
      <c r="B31" s="25" t="s">
        <v>335</v>
      </c>
      <c r="C31" s="171">
        <v>300</v>
      </c>
      <c r="D31" s="171">
        <v>300</v>
      </c>
      <c r="E31" s="171">
        <v>300</v>
      </c>
      <c r="F31" s="171">
        <f>300-100</f>
        <v>200</v>
      </c>
      <c r="G31" s="171">
        <v>92</v>
      </c>
      <c r="H31" s="171">
        <v>50</v>
      </c>
      <c r="I31" s="171">
        <v>50</v>
      </c>
      <c r="J31" s="171">
        <v>50</v>
      </c>
      <c r="K31" s="171">
        <v>50</v>
      </c>
      <c r="L31" s="171">
        <v>24</v>
      </c>
      <c r="M31" s="232"/>
      <c r="N31" s="232"/>
      <c r="O31" s="232"/>
      <c r="P31" s="232"/>
      <c r="Q31" s="232"/>
      <c r="R31" s="232">
        <f>20+30</f>
        <v>50</v>
      </c>
      <c r="S31" s="232">
        <f>20+30</f>
        <v>50</v>
      </c>
      <c r="T31" s="232">
        <f>20+30</f>
        <v>50</v>
      </c>
      <c r="U31" s="232">
        <f>20+30</f>
        <v>50</v>
      </c>
      <c r="V31" s="232">
        <v>0</v>
      </c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>
        <v>700</v>
      </c>
      <c r="AW31" s="232">
        <v>700</v>
      </c>
      <c r="AX31" s="232">
        <v>700</v>
      </c>
      <c r="AY31" s="232">
        <v>700</v>
      </c>
      <c r="AZ31" s="232">
        <v>667</v>
      </c>
      <c r="BA31" s="363">
        <f t="shared" si="31"/>
        <v>1100</v>
      </c>
      <c r="BB31" s="363">
        <f t="shared" si="32"/>
        <v>1100</v>
      </c>
      <c r="BC31" s="363">
        <f t="shared" si="32"/>
        <v>1100</v>
      </c>
      <c r="BD31" s="363">
        <f t="shared" si="32"/>
        <v>1000</v>
      </c>
      <c r="BE31" s="363">
        <f t="shared" si="32"/>
        <v>783</v>
      </c>
      <c r="BF31" s="391"/>
    </row>
    <row r="32" spans="1:59" x14ac:dyDescent="0.2">
      <c r="A32" s="69" t="s">
        <v>265</v>
      </c>
      <c r="B32" s="25" t="s">
        <v>286</v>
      </c>
      <c r="C32" s="171">
        <v>250</v>
      </c>
      <c r="D32" s="171">
        <v>250</v>
      </c>
      <c r="E32" s="171">
        <f>250-50</f>
        <v>200</v>
      </c>
      <c r="F32" s="171">
        <f>250-50+134</f>
        <v>334</v>
      </c>
      <c r="G32" s="171">
        <v>334</v>
      </c>
      <c r="H32" s="171"/>
      <c r="I32" s="171"/>
      <c r="J32" s="171"/>
      <c r="K32" s="171"/>
      <c r="L32" s="171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>
        <v>50</v>
      </c>
      <c r="X32" s="232">
        <v>50</v>
      </c>
      <c r="Y32" s="232">
        <v>50</v>
      </c>
      <c r="Z32" s="232">
        <v>50</v>
      </c>
      <c r="AA32" s="232">
        <v>0</v>
      </c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363">
        <f t="shared" si="31"/>
        <v>300</v>
      </c>
      <c r="BB32" s="363">
        <f t="shared" si="32"/>
        <v>300</v>
      </c>
      <c r="BC32" s="363">
        <f t="shared" si="32"/>
        <v>250</v>
      </c>
      <c r="BD32" s="363">
        <f t="shared" si="32"/>
        <v>384</v>
      </c>
      <c r="BE32" s="363">
        <f t="shared" si="32"/>
        <v>334</v>
      </c>
      <c r="BF32" s="391"/>
    </row>
    <row r="33" spans="1:58" x14ac:dyDescent="0.2">
      <c r="A33" s="69"/>
      <c r="B33" s="25" t="s">
        <v>455</v>
      </c>
      <c r="C33" s="171">
        <f>500-250</f>
        <v>250</v>
      </c>
      <c r="D33" s="171">
        <f>500-250</f>
        <v>250</v>
      </c>
      <c r="E33" s="171">
        <f>500-250</f>
        <v>250</v>
      </c>
      <c r="F33" s="171">
        <f>500-250-134</f>
        <v>116</v>
      </c>
      <c r="G33" s="171">
        <v>113</v>
      </c>
      <c r="H33" s="171">
        <v>15</v>
      </c>
      <c r="I33" s="171">
        <v>15</v>
      </c>
      <c r="J33" s="171">
        <v>15</v>
      </c>
      <c r="K33" s="171">
        <v>15</v>
      </c>
      <c r="L33" s="171">
        <v>14</v>
      </c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>
        <v>50</v>
      </c>
      <c r="AW33" s="232">
        <v>50</v>
      </c>
      <c r="AX33" s="232">
        <v>50</v>
      </c>
      <c r="AY33" s="232">
        <v>50</v>
      </c>
      <c r="AZ33" s="232">
        <v>10</v>
      </c>
      <c r="BA33" s="363">
        <f t="shared" si="31"/>
        <v>315</v>
      </c>
      <c r="BB33" s="363">
        <f t="shared" si="32"/>
        <v>315</v>
      </c>
      <c r="BC33" s="363">
        <f t="shared" si="32"/>
        <v>315</v>
      </c>
      <c r="BD33" s="363">
        <f t="shared" si="32"/>
        <v>181</v>
      </c>
      <c r="BE33" s="363">
        <f t="shared" si="32"/>
        <v>137</v>
      </c>
      <c r="BF33" s="391"/>
    </row>
    <row r="34" spans="1:58" x14ac:dyDescent="0.2">
      <c r="A34" s="69"/>
      <c r="B34" s="25" t="s">
        <v>307</v>
      </c>
      <c r="C34" s="171">
        <f>100+500</f>
        <v>600</v>
      </c>
      <c r="D34" s="171">
        <f>100+500</f>
        <v>600</v>
      </c>
      <c r="E34" s="171">
        <f>100+500-300</f>
        <v>300</v>
      </c>
      <c r="F34" s="171">
        <f>100+500-300-1-227</f>
        <v>72</v>
      </c>
      <c r="G34" s="171">
        <v>0</v>
      </c>
      <c r="H34" s="171"/>
      <c r="I34" s="171"/>
      <c r="J34" s="171"/>
      <c r="K34" s="171"/>
      <c r="L34" s="171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>
        <v>70</v>
      </c>
      <c r="AW34" s="232">
        <v>70</v>
      </c>
      <c r="AX34" s="232">
        <v>70</v>
      </c>
      <c r="AY34" s="232">
        <v>70</v>
      </c>
      <c r="AZ34" s="232">
        <v>6</v>
      </c>
      <c r="BA34" s="363">
        <f t="shared" si="31"/>
        <v>670</v>
      </c>
      <c r="BB34" s="363">
        <f t="shared" si="32"/>
        <v>670</v>
      </c>
      <c r="BC34" s="363">
        <f t="shared" si="32"/>
        <v>370</v>
      </c>
      <c r="BD34" s="363">
        <f t="shared" si="32"/>
        <v>142</v>
      </c>
      <c r="BE34" s="363">
        <f t="shared" si="32"/>
        <v>6</v>
      </c>
      <c r="BF34" s="391"/>
    </row>
    <row r="35" spans="1:58" x14ac:dyDescent="0.2">
      <c r="A35" s="69"/>
      <c r="B35" s="25" t="s">
        <v>308</v>
      </c>
      <c r="C35" s="171">
        <f>1000-100</f>
        <v>900</v>
      </c>
      <c r="D35" s="171">
        <f>1000-100</f>
        <v>900</v>
      </c>
      <c r="E35" s="171">
        <f>1000-100+300</f>
        <v>1200</v>
      </c>
      <c r="F35" s="171">
        <f>1000-100+300+227</f>
        <v>1427</v>
      </c>
      <c r="G35" s="171">
        <v>1427</v>
      </c>
      <c r="H35" s="171"/>
      <c r="I35" s="171"/>
      <c r="J35" s="171"/>
      <c r="K35" s="171"/>
      <c r="L35" s="171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>
        <v>25</v>
      </c>
      <c r="X35" s="232">
        <v>25</v>
      </c>
      <c r="Y35" s="232">
        <v>25</v>
      </c>
      <c r="Z35" s="232">
        <v>25</v>
      </c>
      <c r="AA35" s="232">
        <v>0</v>
      </c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363">
        <f t="shared" si="31"/>
        <v>925</v>
      </c>
      <c r="BB35" s="363">
        <f t="shared" si="32"/>
        <v>925</v>
      </c>
      <c r="BC35" s="363">
        <f t="shared" si="32"/>
        <v>1225</v>
      </c>
      <c r="BD35" s="363">
        <f t="shared" si="32"/>
        <v>1452</v>
      </c>
      <c r="BE35" s="363">
        <f t="shared" si="32"/>
        <v>1427</v>
      </c>
      <c r="BF35" s="391"/>
    </row>
    <row r="36" spans="1:58" x14ac:dyDescent="0.2">
      <c r="A36" s="69"/>
      <c r="B36" s="25" t="s">
        <v>454</v>
      </c>
      <c r="C36" s="171">
        <f>300-100</f>
        <v>200</v>
      </c>
      <c r="D36" s="171">
        <f>300-100</f>
        <v>200</v>
      </c>
      <c r="E36" s="171">
        <f>300-100</f>
        <v>200</v>
      </c>
      <c r="F36" s="171">
        <f>300-100</f>
        <v>200</v>
      </c>
      <c r="G36" s="171">
        <v>181</v>
      </c>
      <c r="H36" s="171">
        <v>10</v>
      </c>
      <c r="I36" s="171">
        <v>10</v>
      </c>
      <c r="J36" s="171">
        <v>10</v>
      </c>
      <c r="K36" s="171">
        <v>10</v>
      </c>
      <c r="L36" s="171">
        <v>0</v>
      </c>
      <c r="M36" s="232"/>
      <c r="N36" s="232"/>
      <c r="O36" s="232"/>
      <c r="P36" s="232"/>
      <c r="Q36" s="232"/>
      <c r="R36" s="232">
        <v>80</v>
      </c>
      <c r="S36" s="232">
        <f>80+50</f>
        <v>130</v>
      </c>
      <c r="T36" s="232">
        <f>80+50+50</f>
        <v>180</v>
      </c>
      <c r="U36" s="232">
        <f>80+50+50</f>
        <v>180</v>
      </c>
      <c r="V36" s="232">
        <v>161</v>
      </c>
      <c r="W36" s="232">
        <v>25</v>
      </c>
      <c r="X36" s="232">
        <v>25</v>
      </c>
      <c r="Y36" s="232">
        <v>25</v>
      </c>
      <c r="Z36" s="232">
        <v>25</v>
      </c>
      <c r="AA36" s="232">
        <v>0</v>
      </c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>
        <v>50</v>
      </c>
      <c r="AR36" s="232">
        <f>50-50</f>
        <v>0</v>
      </c>
      <c r="AS36" s="232">
        <f>50-50</f>
        <v>0</v>
      </c>
      <c r="AT36" s="232">
        <v>0</v>
      </c>
      <c r="AU36" s="232">
        <v>0</v>
      </c>
      <c r="AV36" s="232"/>
      <c r="AW36" s="232"/>
      <c r="AX36" s="232"/>
      <c r="AY36" s="232"/>
      <c r="AZ36" s="232"/>
      <c r="BA36" s="363">
        <f t="shared" si="31"/>
        <v>365</v>
      </c>
      <c r="BB36" s="363">
        <f t="shared" si="32"/>
        <v>365</v>
      </c>
      <c r="BC36" s="363">
        <f t="shared" si="32"/>
        <v>415</v>
      </c>
      <c r="BD36" s="363">
        <f t="shared" si="32"/>
        <v>415</v>
      </c>
      <c r="BE36" s="363">
        <f t="shared" si="32"/>
        <v>342</v>
      </c>
      <c r="BF36" s="391"/>
    </row>
    <row r="37" spans="1:58" x14ac:dyDescent="0.2">
      <c r="A37" s="69"/>
      <c r="B37" s="25" t="s">
        <v>323</v>
      </c>
      <c r="C37" s="171">
        <v>30</v>
      </c>
      <c r="D37" s="171">
        <v>30</v>
      </c>
      <c r="E37" s="171">
        <v>30</v>
      </c>
      <c r="F37" s="171">
        <f>30+1</f>
        <v>31</v>
      </c>
      <c r="G37" s="171">
        <v>31</v>
      </c>
      <c r="H37" s="171">
        <v>30</v>
      </c>
      <c r="I37" s="171">
        <v>30</v>
      </c>
      <c r="J37" s="171">
        <v>30</v>
      </c>
      <c r="K37" s="171">
        <v>30</v>
      </c>
      <c r="L37" s="171">
        <v>14</v>
      </c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363">
        <f t="shared" si="31"/>
        <v>60</v>
      </c>
      <c r="BB37" s="363">
        <f t="shared" si="32"/>
        <v>60</v>
      </c>
      <c r="BC37" s="363">
        <f t="shared" si="32"/>
        <v>60</v>
      </c>
      <c r="BD37" s="363">
        <f t="shared" si="32"/>
        <v>61</v>
      </c>
      <c r="BE37" s="363">
        <f t="shared" si="32"/>
        <v>45</v>
      </c>
      <c r="BF37" s="391"/>
    </row>
    <row r="38" spans="1:58" x14ac:dyDescent="0.2">
      <c r="A38" s="69"/>
      <c r="B38" s="25" t="s">
        <v>1085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>
        <v>0</v>
      </c>
      <c r="AH38" s="232">
        <v>0</v>
      </c>
      <c r="AI38" s="171">
        <v>1184</v>
      </c>
      <c r="AJ38" s="171">
        <v>1184</v>
      </c>
      <c r="AK38" s="232">
        <v>1178</v>
      </c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363">
        <f t="shared" si="31"/>
        <v>0</v>
      </c>
      <c r="BB38" s="363">
        <f t="shared" si="32"/>
        <v>0</v>
      </c>
      <c r="BC38" s="363">
        <f t="shared" si="32"/>
        <v>1184</v>
      </c>
      <c r="BD38" s="363">
        <f t="shared" si="32"/>
        <v>1184</v>
      </c>
      <c r="BE38" s="363">
        <f t="shared" si="32"/>
        <v>1178</v>
      </c>
      <c r="BF38" s="391"/>
    </row>
    <row r="39" spans="1:58" x14ac:dyDescent="0.2">
      <c r="A39" s="347" t="s">
        <v>266</v>
      </c>
      <c r="B39" s="29" t="s">
        <v>287</v>
      </c>
      <c r="C39" s="88">
        <f t="shared" ref="C39:AD39" si="47">SUM(C40:C41)</f>
        <v>1290</v>
      </c>
      <c r="D39" s="88">
        <f>SUM(D40:D41)</f>
        <v>1281</v>
      </c>
      <c r="E39" s="88">
        <f>SUM(E40:E41)</f>
        <v>1431</v>
      </c>
      <c r="F39" s="88">
        <f>SUM(F40:F41)</f>
        <v>1820</v>
      </c>
      <c r="G39" s="88">
        <f t="shared" ref="G39:L39" si="48">SUM(G40:G41)</f>
        <v>1677</v>
      </c>
      <c r="H39" s="88">
        <f t="shared" si="48"/>
        <v>100</v>
      </c>
      <c r="I39" s="88">
        <f>SUM(I40:I41)</f>
        <v>109</v>
      </c>
      <c r="J39" s="88">
        <f>SUM(J40:J41)</f>
        <v>109</v>
      </c>
      <c r="K39" s="88">
        <f>SUM(K40:K41)</f>
        <v>109</v>
      </c>
      <c r="L39" s="88">
        <f t="shared" si="48"/>
        <v>108</v>
      </c>
      <c r="M39" s="88">
        <f t="shared" si="47"/>
        <v>0</v>
      </c>
      <c r="N39" s="88">
        <f t="shared" si="47"/>
        <v>0</v>
      </c>
      <c r="O39" s="88">
        <f t="shared" si="47"/>
        <v>0</v>
      </c>
      <c r="P39" s="88">
        <f t="shared" ref="P39" si="49">SUM(P40:P41)</f>
        <v>0</v>
      </c>
      <c r="Q39" s="88">
        <f t="shared" si="47"/>
        <v>0</v>
      </c>
      <c r="R39" s="88">
        <f t="shared" si="47"/>
        <v>15</v>
      </c>
      <c r="S39" s="88">
        <f t="shared" si="47"/>
        <v>40</v>
      </c>
      <c r="T39" s="88">
        <f t="shared" ref="T39" si="50">SUM(T40:T41)</f>
        <v>95</v>
      </c>
      <c r="U39" s="88">
        <f t="shared" ref="U39" si="51">SUM(U40:U41)</f>
        <v>95</v>
      </c>
      <c r="V39" s="88">
        <f>SUM(V40:V41)</f>
        <v>87</v>
      </c>
      <c r="W39" s="88">
        <f t="shared" si="47"/>
        <v>145</v>
      </c>
      <c r="X39" s="88">
        <f>SUM(X40:X41)</f>
        <v>145</v>
      </c>
      <c r="Y39" s="88">
        <f>SUM(Y40:Y41)</f>
        <v>90</v>
      </c>
      <c r="Z39" s="88">
        <f>SUM(Z40:Z41)</f>
        <v>46</v>
      </c>
      <c r="AA39" s="88">
        <f>SUM(AA40:AA41)</f>
        <v>0</v>
      </c>
      <c r="AB39" s="88">
        <f t="shared" si="47"/>
        <v>0</v>
      </c>
      <c r="AC39" s="88">
        <f>SUM(AC40:AC41)</f>
        <v>0</v>
      </c>
      <c r="AD39" s="88">
        <f t="shared" si="47"/>
        <v>0</v>
      </c>
      <c r="AE39" s="88">
        <f t="shared" ref="AE39" si="52">SUM(AE40:AE41)</f>
        <v>0</v>
      </c>
      <c r="AF39" s="88">
        <f t="shared" ref="AF39:AV39" si="53">SUM(AF40:AF41)</f>
        <v>0</v>
      </c>
      <c r="AG39" s="88">
        <f t="shared" si="53"/>
        <v>0</v>
      </c>
      <c r="AH39" s="88">
        <f t="shared" si="53"/>
        <v>0</v>
      </c>
      <c r="AI39" s="88">
        <f>SUM(AI40:AI41)</f>
        <v>0</v>
      </c>
      <c r="AJ39" s="88">
        <f t="shared" si="53"/>
        <v>0</v>
      </c>
      <c r="AK39" s="88">
        <f t="shared" si="53"/>
        <v>0</v>
      </c>
      <c r="AL39" s="88">
        <f t="shared" si="53"/>
        <v>0</v>
      </c>
      <c r="AM39" s="88">
        <f t="shared" si="53"/>
        <v>0</v>
      </c>
      <c r="AN39" s="88">
        <f t="shared" si="53"/>
        <v>0</v>
      </c>
      <c r="AO39" s="88">
        <f t="shared" si="53"/>
        <v>0</v>
      </c>
      <c r="AP39" s="88">
        <f t="shared" si="53"/>
        <v>0</v>
      </c>
      <c r="AQ39" s="88">
        <f t="shared" si="53"/>
        <v>25</v>
      </c>
      <c r="AR39" s="88">
        <f t="shared" si="53"/>
        <v>0</v>
      </c>
      <c r="AS39" s="88">
        <f t="shared" ref="AS39" si="54">SUM(AS40:AS41)</f>
        <v>0</v>
      </c>
      <c r="AT39" s="88">
        <f>SUM(AT40:AT41)</f>
        <v>0</v>
      </c>
      <c r="AU39" s="88">
        <f>SUM(AU40:AU41)</f>
        <v>0</v>
      </c>
      <c r="AV39" s="88">
        <f t="shared" si="53"/>
        <v>70</v>
      </c>
      <c r="AW39" s="88">
        <f>SUM(AW40:AW41)</f>
        <v>70</v>
      </c>
      <c r="AX39" s="88">
        <f>SUM(AX40:AX41)</f>
        <v>70</v>
      </c>
      <c r="AY39" s="88">
        <f>SUM(AY40:AY41)</f>
        <v>125</v>
      </c>
      <c r="AZ39" s="88">
        <f>SUM(AZ40:AZ41)</f>
        <v>125</v>
      </c>
      <c r="BA39" s="913">
        <f t="shared" si="31"/>
        <v>1645</v>
      </c>
      <c r="BB39" s="913">
        <f t="shared" si="32"/>
        <v>1645</v>
      </c>
      <c r="BC39" s="913">
        <f t="shared" si="32"/>
        <v>1795</v>
      </c>
      <c r="BD39" s="913">
        <f t="shared" si="32"/>
        <v>2195</v>
      </c>
      <c r="BE39" s="913">
        <f t="shared" si="32"/>
        <v>1997</v>
      </c>
      <c r="BF39" s="391">
        <f>SUM(BA40:BA41)</f>
        <v>1645</v>
      </c>
    </row>
    <row r="40" spans="1:58" ht="25.5" customHeight="1" x14ac:dyDescent="0.2">
      <c r="A40" s="69" t="s">
        <v>267</v>
      </c>
      <c r="B40" s="788" t="s">
        <v>1086</v>
      </c>
      <c r="C40" s="171">
        <f>(150+90+500)</f>
        <v>740</v>
      </c>
      <c r="D40" s="171">
        <f>(150+90+500)-9</f>
        <v>731</v>
      </c>
      <c r="E40" s="171">
        <f>(150+90+500)-9</f>
        <v>731</v>
      </c>
      <c r="F40" s="171">
        <f>(150+90+500)-9+389</f>
        <v>1120</v>
      </c>
      <c r="G40" s="171">
        <v>1120</v>
      </c>
      <c r="H40" s="171">
        <v>100</v>
      </c>
      <c r="I40" s="171">
        <f>100+9</f>
        <v>109</v>
      </c>
      <c r="J40" s="171">
        <f>100+9</f>
        <v>109</v>
      </c>
      <c r="K40" s="171">
        <f>100+9</f>
        <v>109</v>
      </c>
      <c r="L40" s="171">
        <v>108</v>
      </c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>
        <f>115-70</f>
        <v>45</v>
      </c>
      <c r="X40" s="232">
        <f>115-70</f>
        <v>45</v>
      </c>
      <c r="Y40" s="232">
        <f>115-70</f>
        <v>45</v>
      </c>
      <c r="Z40" s="232">
        <f>115-70-44</f>
        <v>1</v>
      </c>
      <c r="AA40" s="232">
        <v>0</v>
      </c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>
        <v>70</v>
      </c>
      <c r="AW40" s="232">
        <v>70</v>
      </c>
      <c r="AX40" s="232">
        <v>70</v>
      </c>
      <c r="AY40" s="232">
        <f>70+11+44</f>
        <v>125</v>
      </c>
      <c r="AZ40" s="232">
        <v>125</v>
      </c>
      <c r="BA40" s="363">
        <f t="shared" si="31"/>
        <v>955</v>
      </c>
      <c r="BB40" s="363">
        <f t="shared" si="32"/>
        <v>955</v>
      </c>
      <c r="BC40" s="363">
        <f t="shared" si="32"/>
        <v>955</v>
      </c>
      <c r="BD40" s="363">
        <f t="shared" si="32"/>
        <v>1355</v>
      </c>
      <c r="BE40" s="363">
        <f t="shared" si="32"/>
        <v>1353</v>
      </c>
      <c r="BF40" s="391"/>
    </row>
    <row r="41" spans="1:58" x14ac:dyDescent="0.2">
      <c r="A41" s="69" t="s">
        <v>268</v>
      </c>
      <c r="B41" s="25" t="s">
        <v>310</v>
      </c>
      <c r="C41" s="171">
        <v>550</v>
      </c>
      <c r="D41" s="171">
        <v>550</v>
      </c>
      <c r="E41" s="171">
        <f>550+150</f>
        <v>700</v>
      </c>
      <c r="F41" s="171">
        <f>550+150</f>
        <v>700</v>
      </c>
      <c r="G41" s="171">
        <v>557</v>
      </c>
      <c r="H41" s="245"/>
      <c r="I41" s="245"/>
      <c r="J41" s="245"/>
      <c r="K41" s="245"/>
      <c r="L41" s="245"/>
      <c r="M41" s="232"/>
      <c r="N41" s="232"/>
      <c r="O41" s="232"/>
      <c r="P41" s="232"/>
      <c r="Q41" s="232"/>
      <c r="R41" s="232">
        <v>15</v>
      </c>
      <c r="S41" s="232">
        <f>15+25</f>
        <v>40</v>
      </c>
      <c r="T41" s="232">
        <f>15+25+55</f>
        <v>95</v>
      </c>
      <c r="U41" s="232">
        <f>15+25+55</f>
        <v>95</v>
      </c>
      <c r="V41" s="232">
        <v>87</v>
      </c>
      <c r="W41" s="232">
        <v>100</v>
      </c>
      <c r="X41" s="232">
        <v>100</v>
      </c>
      <c r="Y41" s="232">
        <f>100-55</f>
        <v>45</v>
      </c>
      <c r="Z41" s="232">
        <f>100-55</f>
        <v>45</v>
      </c>
      <c r="AA41" s="232">
        <v>0</v>
      </c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>
        <v>25</v>
      </c>
      <c r="AR41" s="232">
        <f>25-25</f>
        <v>0</v>
      </c>
      <c r="AS41" s="232">
        <f>25-25</f>
        <v>0</v>
      </c>
      <c r="AT41" s="232">
        <v>0</v>
      </c>
      <c r="AU41" s="232">
        <v>0</v>
      </c>
      <c r="AV41" s="232"/>
      <c r="AW41" s="232"/>
      <c r="AX41" s="232"/>
      <c r="AY41" s="232"/>
      <c r="AZ41" s="232"/>
      <c r="BA41" s="363">
        <f t="shared" si="31"/>
        <v>690</v>
      </c>
      <c r="BB41" s="363">
        <f t="shared" si="32"/>
        <v>690</v>
      </c>
      <c r="BC41" s="363">
        <f t="shared" si="32"/>
        <v>840</v>
      </c>
      <c r="BD41" s="363">
        <f t="shared" si="32"/>
        <v>840</v>
      </c>
      <c r="BE41" s="363">
        <f t="shared" si="32"/>
        <v>644</v>
      </c>
      <c r="BF41" s="391"/>
    </row>
    <row r="42" spans="1:58" x14ac:dyDescent="0.2">
      <c r="A42" s="347" t="s">
        <v>269</v>
      </c>
      <c r="B42" s="29" t="s">
        <v>289</v>
      </c>
      <c r="C42" s="88">
        <f t="shared" ref="C42:AH42" si="55">SUM(C43:C85)</f>
        <v>59925</v>
      </c>
      <c r="D42" s="88">
        <f t="shared" si="55"/>
        <v>72025</v>
      </c>
      <c r="E42" s="88">
        <f t="shared" ref="E42:F42" si="56">SUM(E43:E85)</f>
        <v>91617</v>
      </c>
      <c r="F42" s="88">
        <f t="shared" si="56"/>
        <v>93351</v>
      </c>
      <c r="G42" s="88">
        <f t="shared" si="55"/>
        <v>59068</v>
      </c>
      <c r="H42" s="88">
        <f t="shared" si="55"/>
        <v>50</v>
      </c>
      <c r="I42" s="88">
        <f t="shared" si="55"/>
        <v>50</v>
      </c>
      <c r="J42" s="88">
        <f t="shared" ref="J42:K42" si="57">SUM(J43:J85)</f>
        <v>100</v>
      </c>
      <c r="K42" s="88">
        <f t="shared" si="57"/>
        <v>100</v>
      </c>
      <c r="L42" s="88">
        <f t="shared" si="55"/>
        <v>87</v>
      </c>
      <c r="M42" s="88">
        <f t="shared" si="55"/>
        <v>20720</v>
      </c>
      <c r="N42" s="88">
        <f t="shared" si="55"/>
        <v>26720</v>
      </c>
      <c r="O42" s="88">
        <f t="shared" ref="O42:P42" si="58">SUM(O43:O85)</f>
        <v>26720</v>
      </c>
      <c r="P42" s="88">
        <f t="shared" si="58"/>
        <v>26537</v>
      </c>
      <c r="Q42" s="88">
        <f t="shared" si="55"/>
        <v>25334</v>
      </c>
      <c r="R42" s="88">
        <f t="shared" si="55"/>
        <v>12863</v>
      </c>
      <c r="S42" s="88">
        <f t="shared" si="55"/>
        <v>12863</v>
      </c>
      <c r="T42" s="88">
        <f t="shared" ref="T42:U42" si="59">SUM(T43:T85)</f>
        <v>12874</v>
      </c>
      <c r="U42" s="88">
        <f t="shared" si="59"/>
        <v>13009</v>
      </c>
      <c r="V42" s="88">
        <f t="shared" si="55"/>
        <v>12547</v>
      </c>
      <c r="W42" s="88">
        <f t="shared" si="55"/>
        <v>4086</v>
      </c>
      <c r="X42" s="88">
        <f t="shared" si="55"/>
        <v>3896</v>
      </c>
      <c r="Y42" s="88">
        <f t="shared" ref="Y42:Z42" si="60">SUM(Y43:Y85)</f>
        <v>4496</v>
      </c>
      <c r="Z42" s="88">
        <f t="shared" si="60"/>
        <v>4588</v>
      </c>
      <c r="AA42" s="88">
        <f t="shared" si="55"/>
        <v>3218</v>
      </c>
      <c r="AB42" s="88">
        <f t="shared" si="55"/>
        <v>6600</v>
      </c>
      <c r="AC42" s="88">
        <f t="shared" si="55"/>
        <v>8600</v>
      </c>
      <c r="AD42" s="88">
        <f t="shared" si="55"/>
        <v>8800</v>
      </c>
      <c r="AE42" s="88">
        <f t="shared" si="55"/>
        <v>16020</v>
      </c>
      <c r="AF42" s="88">
        <f t="shared" si="55"/>
        <v>8597</v>
      </c>
      <c r="AG42" s="88">
        <f t="shared" si="55"/>
        <v>0</v>
      </c>
      <c r="AH42" s="88">
        <f t="shared" si="55"/>
        <v>0</v>
      </c>
      <c r="AI42" s="88">
        <f t="shared" ref="AI42:AZ42" si="61">SUM(AI43:AI85)</f>
        <v>0</v>
      </c>
      <c r="AJ42" s="88">
        <f t="shared" si="61"/>
        <v>183</v>
      </c>
      <c r="AK42" s="88">
        <f t="shared" si="61"/>
        <v>183</v>
      </c>
      <c r="AL42" s="88">
        <f t="shared" si="61"/>
        <v>3120</v>
      </c>
      <c r="AM42" s="88">
        <f t="shared" si="61"/>
        <v>3120</v>
      </c>
      <c r="AN42" s="88">
        <f t="shared" si="61"/>
        <v>3120</v>
      </c>
      <c r="AO42" s="88">
        <f t="shared" si="61"/>
        <v>3120</v>
      </c>
      <c r="AP42" s="88">
        <f t="shared" si="61"/>
        <v>3120</v>
      </c>
      <c r="AQ42" s="88">
        <f t="shared" si="61"/>
        <v>0</v>
      </c>
      <c r="AR42" s="88">
        <f t="shared" si="61"/>
        <v>0</v>
      </c>
      <c r="AS42" s="88">
        <f t="shared" ref="AS42" si="62">SUM(AS43:AS85)</f>
        <v>0</v>
      </c>
      <c r="AT42" s="88">
        <f t="shared" si="61"/>
        <v>0</v>
      </c>
      <c r="AU42" s="88">
        <f t="shared" si="61"/>
        <v>0</v>
      </c>
      <c r="AV42" s="88">
        <f t="shared" si="61"/>
        <v>470</v>
      </c>
      <c r="AW42" s="88">
        <f t="shared" si="61"/>
        <v>470</v>
      </c>
      <c r="AX42" s="88">
        <f t="shared" ref="AX42:AY42" si="63">SUM(AX43:AX85)</f>
        <v>400</v>
      </c>
      <c r="AY42" s="88">
        <f t="shared" si="63"/>
        <v>88</v>
      </c>
      <c r="AZ42" s="88">
        <f t="shared" si="61"/>
        <v>0</v>
      </c>
      <c r="BA42" s="913">
        <f t="shared" si="31"/>
        <v>107834</v>
      </c>
      <c r="BB42" s="913">
        <f t="shared" si="32"/>
        <v>127744</v>
      </c>
      <c r="BC42" s="913">
        <f t="shared" si="32"/>
        <v>148127</v>
      </c>
      <c r="BD42" s="913">
        <f t="shared" si="32"/>
        <v>156996</v>
      </c>
      <c r="BE42" s="913">
        <f t="shared" si="32"/>
        <v>112154</v>
      </c>
      <c r="BF42" s="391">
        <f>SUM(BA43:BA85)</f>
        <v>107834</v>
      </c>
    </row>
    <row r="43" spans="1:58" s="10" customFormat="1" x14ac:dyDescent="0.2">
      <c r="A43" s="69" t="s">
        <v>270</v>
      </c>
      <c r="B43" s="25" t="s">
        <v>306</v>
      </c>
      <c r="C43" s="171"/>
      <c r="D43" s="171"/>
      <c r="E43" s="171"/>
      <c r="F43" s="171"/>
      <c r="G43" s="171"/>
      <c r="H43" s="245"/>
      <c r="I43" s="245"/>
      <c r="J43" s="245"/>
      <c r="K43" s="245"/>
      <c r="L43" s="245"/>
      <c r="M43" s="232">
        <v>8000</v>
      </c>
      <c r="N43" s="232">
        <f>8000+3000+1000</f>
        <v>12000</v>
      </c>
      <c r="O43" s="232">
        <f>8000+3000+1000</f>
        <v>12000</v>
      </c>
      <c r="P43" s="232">
        <f>8000+3000+1000</f>
        <v>12000</v>
      </c>
      <c r="Q43" s="232">
        <v>11082</v>
      </c>
      <c r="R43" s="232">
        <v>2500</v>
      </c>
      <c r="S43" s="232">
        <v>2500</v>
      </c>
      <c r="T43" s="232">
        <v>2500</v>
      </c>
      <c r="U43" s="232">
        <v>2500</v>
      </c>
      <c r="V43" s="232">
        <v>2239</v>
      </c>
      <c r="W43" s="171">
        <v>3000</v>
      </c>
      <c r="X43" s="171">
        <v>3000</v>
      </c>
      <c r="Y43" s="171">
        <v>3000</v>
      </c>
      <c r="Z43" s="171">
        <v>3000</v>
      </c>
      <c r="AA43" s="171">
        <v>1839</v>
      </c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363">
        <f t="shared" si="31"/>
        <v>13500</v>
      </c>
      <c r="BB43" s="363">
        <f t="shared" si="32"/>
        <v>17500</v>
      </c>
      <c r="BC43" s="363">
        <f t="shared" si="32"/>
        <v>17500</v>
      </c>
      <c r="BD43" s="363">
        <f t="shared" si="32"/>
        <v>17500</v>
      </c>
      <c r="BE43" s="363">
        <f t="shared" si="32"/>
        <v>15160</v>
      </c>
      <c r="BF43" s="391"/>
    </row>
    <row r="44" spans="1:58" s="10" customFormat="1" x14ac:dyDescent="0.2">
      <c r="A44" s="69" t="s">
        <v>321</v>
      </c>
      <c r="B44" s="25" t="s">
        <v>322</v>
      </c>
      <c r="C44" s="171"/>
      <c r="D44" s="171"/>
      <c r="E44" s="171"/>
      <c r="F44" s="171"/>
      <c r="G44" s="171"/>
      <c r="H44" s="245"/>
      <c r="I44" s="245"/>
      <c r="J44" s="245"/>
      <c r="K44" s="245"/>
      <c r="L44" s="245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2"/>
      <c r="AB44" s="232">
        <v>6600</v>
      </c>
      <c r="AC44" s="232">
        <f>6600+2000</f>
        <v>8600</v>
      </c>
      <c r="AD44" s="232">
        <f>6600+2000+200</f>
        <v>8800</v>
      </c>
      <c r="AE44" s="232">
        <f>(6600+2000+200)+7220</f>
        <v>16020</v>
      </c>
      <c r="AF44" s="232">
        <v>8597</v>
      </c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363">
        <f t="shared" si="31"/>
        <v>6600</v>
      </c>
      <c r="BB44" s="363">
        <f t="shared" ref="BB44:BE48" si="64">D44+I44+N44+S44+X44+AC44+AH44+AM44+AR44+AW44</f>
        <v>8600</v>
      </c>
      <c r="BC44" s="363">
        <f t="shared" si="64"/>
        <v>8800</v>
      </c>
      <c r="BD44" s="363">
        <f t="shared" si="64"/>
        <v>16020</v>
      </c>
      <c r="BE44" s="363">
        <f t="shared" si="64"/>
        <v>8597</v>
      </c>
      <c r="BF44" s="391"/>
    </row>
    <row r="45" spans="1:58" s="10" customFormat="1" x14ac:dyDescent="0.2">
      <c r="A45" s="69" t="s">
        <v>271</v>
      </c>
      <c r="B45" s="25" t="s">
        <v>305</v>
      </c>
      <c r="C45" s="171">
        <v>850</v>
      </c>
      <c r="D45" s="171">
        <v>850</v>
      </c>
      <c r="E45" s="171">
        <v>850</v>
      </c>
      <c r="F45" s="171">
        <f>850-100</f>
        <v>750</v>
      </c>
      <c r="G45" s="171">
        <v>80</v>
      </c>
      <c r="H45" s="245"/>
      <c r="I45" s="245"/>
      <c r="J45" s="245"/>
      <c r="K45" s="245"/>
      <c r="L45" s="245"/>
      <c r="M45" s="232">
        <v>12720</v>
      </c>
      <c r="N45" s="232">
        <v>12720</v>
      </c>
      <c r="O45" s="232">
        <v>12720</v>
      </c>
      <c r="P45" s="232">
        <v>12720</v>
      </c>
      <c r="Q45" s="232">
        <v>12460</v>
      </c>
      <c r="R45" s="232"/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363">
        <f t="shared" si="31"/>
        <v>13570</v>
      </c>
      <c r="BB45" s="363">
        <f t="shared" si="64"/>
        <v>13570</v>
      </c>
      <c r="BC45" s="363">
        <f t="shared" si="64"/>
        <v>13570</v>
      </c>
      <c r="BD45" s="363">
        <f t="shared" si="64"/>
        <v>13470</v>
      </c>
      <c r="BE45" s="363">
        <f t="shared" si="64"/>
        <v>12540</v>
      </c>
      <c r="BF45" s="391"/>
    </row>
    <row r="46" spans="1:58" s="10" customFormat="1" x14ac:dyDescent="0.2">
      <c r="A46" s="69" t="s">
        <v>272</v>
      </c>
      <c r="B46" s="25" t="s">
        <v>304</v>
      </c>
      <c r="C46" s="171">
        <v>1500</v>
      </c>
      <c r="D46" s="171">
        <f>1500+190</f>
        <v>1690</v>
      </c>
      <c r="E46" s="171">
        <f>1500+190+370+468+300+150+70</f>
        <v>3048</v>
      </c>
      <c r="F46" s="171">
        <f>(1500+190+370+468+300+150+70)+100+100+425+51</f>
        <v>3724</v>
      </c>
      <c r="G46" s="171">
        <v>3724</v>
      </c>
      <c r="H46" s="245"/>
      <c r="I46" s="245"/>
      <c r="J46" s="245"/>
      <c r="K46" s="245"/>
      <c r="L46" s="245"/>
      <c r="M46" s="232"/>
      <c r="N46" s="232"/>
      <c r="O46" s="232"/>
      <c r="P46" s="232"/>
      <c r="Q46" s="232"/>
      <c r="R46" s="232">
        <v>200</v>
      </c>
      <c r="S46" s="232">
        <v>200</v>
      </c>
      <c r="T46" s="232">
        <f>200-150</f>
        <v>50</v>
      </c>
      <c r="U46" s="232">
        <f>200-150+135</f>
        <v>185</v>
      </c>
      <c r="V46" s="232">
        <v>185</v>
      </c>
      <c r="W46" s="232">
        <f>700-500-10</f>
        <v>190</v>
      </c>
      <c r="X46" s="232">
        <f>700-500-10-190</f>
        <v>0</v>
      </c>
      <c r="Y46" s="232">
        <f>700-500-10-190</f>
        <v>0</v>
      </c>
      <c r="Z46" s="232">
        <f>700-500-10-190</f>
        <v>0</v>
      </c>
      <c r="AA46" s="232">
        <v>0</v>
      </c>
      <c r="AB46" s="232"/>
      <c r="AC46" s="232"/>
      <c r="AD46" s="232"/>
      <c r="AE46" s="232"/>
      <c r="AF46" s="232"/>
      <c r="AG46" s="232"/>
      <c r="AH46" s="232"/>
      <c r="AI46" s="232"/>
      <c r="AJ46" s="232"/>
      <c r="AK46" s="232"/>
      <c r="AL46" s="232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>
        <v>150</v>
      </c>
      <c r="AW46" s="232">
        <v>150</v>
      </c>
      <c r="AX46" s="232">
        <f>150-70</f>
        <v>80</v>
      </c>
      <c r="AY46" s="232">
        <f>150-70-51</f>
        <v>29</v>
      </c>
      <c r="AZ46" s="232">
        <v>0</v>
      </c>
      <c r="BA46" s="363">
        <f t="shared" si="31"/>
        <v>2040</v>
      </c>
      <c r="BB46" s="363">
        <f t="shared" si="64"/>
        <v>2040</v>
      </c>
      <c r="BC46" s="363">
        <f t="shared" si="64"/>
        <v>3178</v>
      </c>
      <c r="BD46" s="363">
        <f t="shared" si="64"/>
        <v>3938</v>
      </c>
      <c r="BE46" s="363">
        <f t="shared" si="64"/>
        <v>3909</v>
      </c>
      <c r="BF46" s="391"/>
    </row>
    <row r="47" spans="1:58" s="10" customFormat="1" x14ac:dyDescent="0.2">
      <c r="A47" s="69"/>
      <c r="B47" s="25" t="s">
        <v>417</v>
      </c>
      <c r="C47" s="171"/>
      <c r="D47" s="171"/>
      <c r="E47" s="171"/>
      <c r="F47" s="171"/>
      <c r="G47" s="171"/>
      <c r="H47" s="245"/>
      <c r="I47" s="245"/>
      <c r="J47" s="245"/>
      <c r="K47" s="245"/>
      <c r="L47" s="245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>
        <v>796</v>
      </c>
      <c r="X47" s="232">
        <v>796</v>
      </c>
      <c r="Y47" s="232">
        <v>796</v>
      </c>
      <c r="Z47" s="232">
        <v>796</v>
      </c>
      <c r="AA47" s="232">
        <v>689</v>
      </c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363">
        <f t="shared" si="31"/>
        <v>796</v>
      </c>
      <c r="BB47" s="363">
        <f t="shared" si="64"/>
        <v>796</v>
      </c>
      <c r="BC47" s="363">
        <f t="shared" si="64"/>
        <v>796</v>
      </c>
      <c r="BD47" s="363">
        <f t="shared" si="64"/>
        <v>796</v>
      </c>
      <c r="BE47" s="363">
        <f t="shared" si="64"/>
        <v>689</v>
      </c>
      <c r="BF47" s="391"/>
    </row>
    <row r="48" spans="1:58" s="10" customFormat="1" ht="12.75" customHeight="1" x14ac:dyDescent="0.2">
      <c r="A48" s="69" t="s">
        <v>273</v>
      </c>
      <c r="B48" s="25" t="s">
        <v>303</v>
      </c>
      <c r="C48" s="171">
        <v>0</v>
      </c>
      <c r="D48" s="171">
        <v>0</v>
      </c>
      <c r="E48" s="171">
        <v>170</v>
      </c>
      <c r="F48" s="171">
        <f>170-5</f>
        <v>165</v>
      </c>
      <c r="G48" s="171">
        <v>163</v>
      </c>
      <c r="H48" s="245"/>
      <c r="I48" s="245"/>
      <c r="J48" s="245"/>
      <c r="K48" s="245"/>
      <c r="L48" s="245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>
        <v>0</v>
      </c>
      <c r="X48" s="232">
        <v>0</v>
      </c>
      <c r="Y48" s="232">
        <v>600</v>
      </c>
      <c r="Z48" s="232">
        <f>600+5</f>
        <v>605</v>
      </c>
      <c r="AA48" s="232">
        <v>604</v>
      </c>
      <c r="AB48" s="232"/>
      <c r="AC48" s="232"/>
      <c r="AD48" s="232"/>
      <c r="AE48" s="232"/>
      <c r="AF48" s="232"/>
      <c r="AG48" s="232"/>
      <c r="AH48" s="232"/>
      <c r="AI48" s="232"/>
      <c r="AJ48" s="232"/>
      <c r="AK48" s="232"/>
      <c r="AL48" s="232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2"/>
      <c r="AY48" s="232"/>
      <c r="AZ48" s="232"/>
      <c r="BA48" s="363">
        <f t="shared" si="31"/>
        <v>0</v>
      </c>
      <c r="BB48" s="363">
        <f t="shared" ref="BB48" si="65">D48+I48+N48+S48+X48+AC48+AH48+AM48+AR48+AW48</f>
        <v>0</v>
      </c>
      <c r="BC48" s="363">
        <f t="shared" ref="BC48" si="66">E48+J48+O48+T48+Y48+AD48+AI48+AN48+AS48+AX48</f>
        <v>770</v>
      </c>
      <c r="BD48" s="363">
        <f t="shared" si="64"/>
        <v>770</v>
      </c>
      <c r="BE48" s="363">
        <f t="shared" si="64"/>
        <v>767</v>
      </c>
      <c r="BF48" s="391"/>
    </row>
    <row r="49" spans="1:58" s="10" customFormat="1" x14ac:dyDescent="0.2">
      <c r="A49" s="69" t="s">
        <v>274</v>
      </c>
      <c r="B49" s="25" t="s">
        <v>302</v>
      </c>
      <c r="C49" s="171"/>
      <c r="D49" s="171"/>
      <c r="E49" s="171"/>
      <c r="F49" s="171"/>
      <c r="G49" s="171"/>
      <c r="H49" s="245"/>
      <c r="I49" s="245"/>
      <c r="J49" s="245"/>
      <c r="K49" s="245"/>
      <c r="L49" s="245"/>
      <c r="M49" s="232"/>
      <c r="N49" s="232"/>
      <c r="O49" s="232"/>
      <c r="P49" s="232"/>
      <c r="Q49" s="232"/>
      <c r="R49" s="232">
        <v>30</v>
      </c>
      <c r="S49" s="232">
        <v>30</v>
      </c>
      <c r="T49" s="232">
        <v>30</v>
      </c>
      <c r="U49" s="232">
        <v>30</v>
      </c>
      <c r="V49" s="232">
        <v>0</v>
      </c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2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2"/>
      <c r="AY49" s="232"/>
      <c r="AZ49" s="232"/>
      <c r="BA49" s="363">
        <f t="shared" si="31"/>
        <v>30</v>
      </c>
      <c r="BB49" s="363">
        <f t="shared" ref="BB49:BE64" si="67">D49+I49+N49+S49+X49+AC49+AH49+AM49+AR49+AW49</f>
        <v>30</v>
      </c>
      <c r="BC49" s="363">
        <f t="shared" si="67"/>
        <v>30</v>
      </c>
      <c r="BD49" s="363">
        <f t="shared" si="67"/>
        <v>30</v>
      </c>
      <c r="BE49" s="363">
        <f t="shared" si="67"/>
        <v>0</v>
      </c>
      <c r="BF49" s="391"/>
    </row>
    <row r="50" spans="1:58" s="10" customFormat="1" x14ac:dyDescent="0.2">
      <c r="A50" s="69"/>
      <c r="B50" s="25" t="s">
        <v>312</v>
      </c>
      <c r="C50" s="171">
        <v>1254</v>
      </c>
      <c r="D50" s="171">
        <v>1254</v>
      </c>
      <c r="E50" s="171">
        <v>1254</v>
      </c>
      <c r="F50" s="171">
        <v>1254</v>
      </c>
      <c r="G50" s="171">
        <v>1254</v>
      </c>
      <c r="H50" s="245"/>
      <c r="I50" s="245"/>
      <c r="J50" s="245"/>
      <c r="K50" s="245"/>
      <c r="L50" s="245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2"/>
      <c r="AY50" s="232"/>
      <c r="AZ50" s="232"/>
      <c r="BA50" s="363">
        <f t="shared" si="31"/>
        <v>1254</v>
      </c>
      <c r="BB50" s="363">
        <f t="shared" si="67"/>
        <v>1254</v>
      </c>
      <c r="BC50" s="363">
        <f t="shared" si="67"/>
        <v>1254</v>
      </c>
      <c r="BD50" s="363">
        <f t="shared" si="67"/>
        <v>1254</v>
      </c>
      <c r="BE50" s="363">
        <f t="shared" si="67"/>
        <v>1254</v>
      </c>
      <c r="BF50" s="391"/>
    </row>
    <row r="51" spans="1:58" s="10" customFormat="1" hidden="1" x14ac:dyDescent="0.2">
      <c r="A51" s="69"/>
      <c r="B51" s="25" t="s">
        <v>758</v>
      </c>
      <c r="C51" s="275"/>
      <c r="D51" s="275"/>
      <c r="E51" s="275"/>
      <c r="F51" s="275"/>
      <c r="G51" s="275"/>
      <c r="H51" s="245"/>
      <c r="I51" s="245"/>
      <c r="J51" s="245"/>
      <c r="K51" s="245"/>
      <c r="L51" s="245"/>
      <c r="M51" s="232"/>
      <c r="N51" s="232"/>
      <c r="O51" s="232"/>
      <c r="P51" s="232"/>
      <c r="Q51" s="232"/>
      <c r="R51" s="171"/>
      <c r="S51" s="171"/>
      <c r="T51" s="171"/>
      <c r="U51" s="171"/>
      <c r="V51" s="171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363">
        <f t="shared" si="31"/>
        <v>0</v>
      </c>
      <c r="BB51" s="363">
        <f t="shared" si="67"/>
        <v>0</v>
      </c>
      <c r="BC51" s="363">
        <f t="shared" si="67"/>
        <v>0</v>
      </c>
      <c r="BD51" s="363">
        <f t="shared" si="67"/>
        <v>0</v>
      </c>
      <c r="BE51" s="363">
        <f t="shared" si="67"/>
        <v>0</v>
      </c>
      <c r="BF51" s="391"/>
    </row>
    <row r="52" spans="1:58" s="10" customFormat="1" x14ac:dyDescent="0.2">
      <c r="A52" s="69"/>
      <c r="B52" s="25" t="s">
        <v>313</v>
      </c>
      <c r="C52" s="232">
        <v>1200</v>
      </c>
      <c r="D52" s="232">
        <f>1200+400</f>
        <v>1600</v>
      </c>
      <c r="E52" s="232">
        <f>1200+400</f>
        <v>1600</v>
      </c>
      <c r="F52" s="232">
        <f>1200+400</f>
        <v>1600</v>
      </c>
      <c r="G52" s="232">
        <v>1600</v>
      </c>
      <c r="H52" s="245"/>
      <c r="I52" s="245"/>
      <c r="J52" s="245"/>
      <c r="K52" s="245"/>
      <c r="L52" s="245"/>
      <c r="M52" s="232"/>
      <c r="N52" s="232"/>
      <c r="O52" s="232"/>
      <c r="P52" s="232"/>
      <c r="Q52" s="232"/>
      <c r="R52" s="171"/>
      <c r="S52" s="171"/>
      <c r="T52" s="171"/>
      <c r="U52" s="171"/>
      <c r="V52" s="171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363">
        <f t="shared" si="31"/>
        <v>1200</v>
      </c>
      <c r="BB52" s="363">
        <f t="shared" si="67"/>
        <v>1600</v>
      </c>
      <c r="BC52" s="363">
        <f t="shared" si="67"/>
        <v>1600</v>
      </c>
      <c r="BD52" s="363">
        <f t="shared" si="67"/>
        <v>1600</v>
      </c>
      <c r="BE52" s="363">
        <f t="shared" si="67"/>
        <v>1600</v>
      </c>
      <c r="BF52" s="391"/>
    </row>
    <row r="53" spans="1:58" s="10" customFormat="1" x14ac:dyDescent="0.2">
      <c r="A53" s="69"/>
      <c r="B53" s="25" t="s">
        <v>330</v>
      </c>
      <c r="C53" s="232">
        <v>1000</v>
      </c>
      <c r="D53" s="232">
        <v>1000</v>
      </c>
      <c r="E53" s="232">
        <v>1000</v>
      </c>
      <c r="F53" s="232">
        <f>1000+925</f>
        <v>1925</v>
      </c>
      <c r="G53" s="232">
        <v>1925</v>
      </c>
      <c r="H53" s="245"/>
      <c r="I53" s="245"/>
      <c r="J53" s="245"/>
      <c r="K53" s="245"/>
      <c r="L53" s="245"/>
      <c r="M53" s="232"/>
      <c r="N53" s="232"/>
      <c r="O53" s="232"/>
      <c r="P53" s="232"/>
      <c r="Q53" s="232"/>
      <c r="R53" s="171"/>
      <c r="S53" s="171"/>
      <c r="T53" s="171"/>
      <c r="U53" s="171"/>
      <c r="V53" s="171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363">
        <f t="shared" si="31"/>
        <v>1000</v>
      </c>
      <c r="BB53" s="363">
        <f t="shared" si="67"/>
        <v>1000</v>
      </c>
      <c r="BC53" s="363">
        <f t="shared" si="67"/>
        <v>1000</v>
      </c>
      <c r="BD53" s="363">
        <f t="shared" si="67"/>
        <v>1925</v>
      </c>
      <c r="BE53" s="363">
        <f t="shared" si="67"/>
        <v>1925</v>
      </c>
      <c r="BF53" s="391"/>
    </row>
    <row r="54" spans="1:58" s="10" customFormat="1" x14ac:dyDescent="0.2">
      <c r="A54" s="69"/>
      <c r="B54" s="25" t="s">
        <v>877</v>
      </c>
      <c r="C54" s="275">
        <v>500</v>
      </c>
      <c r="D54" s="275">
        <f>500+570+530</f>
        <v>1600</v>
      </c>
      <c r="E54" s="275">
        <f>(500+570+530)+1385</f>
        <v>2985</v>
      </c>
      <c r="F54" s="275">
        <f>(500+570+530)+1385</f>
        <v>2985</v>
      </c>
      <c r="G54" s="275">
        <v>2525</v>
      </c>
      <c r="H54" s="245"/>
      <c r="I54" s="245"/>
      <c r="J54" s="245"/>
      <c r="K54" s="245"/>
      <c r="L54" s="245"/>
      <c r="M54" s="232"/>
      <c r="N54" s="232"/>
      <c r="O54" s="232"/>
      <c r="P54" s="232"/>
      <c r="Q54" s="232"/>
      <c r="R54" s="171"/>
      <c r="S54" s="171"/>
      <c r="T54" s="171"/>
      <c r="U54" s="171"/>
      <c r="V54" s="171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363">
        <f t="shared" si="31"/>
        <v>500</v>
      </c>
      <c r="BB54" s="363">
        <f t="shared" si="67"/>
        <v>1600</v>
      </c>
      <c r="BC54" s="363">
        <f t="shared" si="67"/>
        <v>2985</v>
      </c>
      <c r="BD54" s="363">
        <f t="shared" si="67"/>
        <v>2985</v>
      </c>
      <c r="BE54" s="363">
        <f t="shared" si="67"/>
        <v>2525</v>
      </c>
      <c r="BF54" s="391"/>
    </row>
    <row r="55" spans="1:58" s="10" customFormat="1" x14ac:dyDescent="0.2">
      <c r="A55" s="69"/>
      <c r="B55" s="25" t="s">
        <v>326</v>
      </c>
      <c r="C55" s="275"/>
      <c r="D55" s="275"/>
      <c r="E55" s="275"/>
      <c r="F55" s="275"/>
      <c r="G55" s="275"/>
      <c r="H55" s="245"/>
      <c r="I55" s="245"/>
      <c r="J55" s="245"/>
      <c r="K55" s="245"/>
      <c r="L55" s="245"/>
      <c r="M55" s="232"/>
      <c r="N55" s="232"/>
      <c r="O55" s="232"/>
      <c r="P55" s="232"/>
      <c r="Q55" s="232"/>
      <c r="R55" s="171">
        <v>90</v>
      </c>
      <c r="S55" s="171">
        <v>90</v>
      </c>
      <c r="T55" s="171">
        <v>90</v>
      </c>
      <c r="U55" s="171">
        <f>90+9</f>
        <v>99</v>
      </c>
      <c r="V55" s="171">
        <v>99</v>
      </c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2"/>
      <c r="AY55" s="232"/>
      <c r="AZ55" s="232"/>
      <c r="BA55" s="363">
        <f t="shared" si="31"/>
        <v>90</v>
      </c>
      <c r="BB55" s="363">
        <f t="shared" si="67"/>
        <v>90</v>
      </c>
      <c r="BC55" s="363">
        <f t="shared" si="67"/>
        <v>90</v>
      </c>
      <c r="BD55" s="363">
        <f t="shared" si="67"/>
        <v>99</v>
      </c>
      <c r="BE55" s="363">
        <f t="shared" si="67"/>
        <v>99</v>
      </c>
      <c r="BF55" s="391"/>
    </row>
    <row r="56" spans="1:58" s="10" customFormat="1" x14ac:dyDescent="0.2">
      <c r="A56" s="69"/>
      <c r="B56" s="25" t="s">
        <v>95</v>
      </c>
      <c r="C56" s="330"/>
      <c r="D56" s="330"/>
      <c r="E56" s="330"/>
      <c r="F56" s="330"/>
      <c r="G56" s="330"/>
      <c r="H56" s="281"/>
      <c r="I56" s="281"/>
      <c r="J56" s="281"/>
      <c r="K56" s="281"/>
      <c r="L56" s="281"/>
      <c r="M56" s="171"/>
      <c r="N56" s="171"/>
      <c r="O56" s="171"/>
      <c r="P56" s="171"/>
      <c r="Q56" s="171"/>
      <c r="R56" s="171">
        <v>955</v>
      </c>
      <c r="S56" s="171">
        <v>955</v>
      </c>
      <c r="T56" s="171">
        <v>955</v>
      </c>
      <c r="U56" s="171">
        <v>955</v>
      </c>
      <c r="V56" s="171">
        <v>927</v>
      </c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363">
        <f t="shared" si="31"/>
        <v>955</v>
      </c>
      <c r="BB56" s="363">
        <f t="shared" si="67"/>
        <v>955</v>
      </c>
      <c r="BC56" s="363">
        <f t="shared" ref="BC56:BC68" si="68">E56+J56+O56+T56+Y56+AD56+AI56+AN56+AS56+AX56</f>
        <v>955</v>
      </c>
      <c r="BD56" s="363">
        <f t="shared" ref="BD56:BD68" si="69">F56+K56+P56+U56+Z56+AE56+AJ56+AO56+AT56+AY56</f>
        <v>955</v>
      </c>
      <c r="BE56" s="363">
        <f t="shared" si="67"/>
        <v>927</v>
      </c>
      <c r="BF56" s="391"/>
    </row>
    <row r="57" spans="1:58" s="10" customFormat="1" x14ac:dyDescent="0.2">
      <c r="A57" s="69"/>
      <c r="B57" s="25" t="s">
        <v>879</v>
      </c>
      <c r="C57" s="330"/>
      <c r="D57" s="330"/>
      <c r="E57" s="330"/>
      <c r="F57" s="330"/>
      <c r="G57" s="330"/>
      <c r="H57" s="281"/>
      <c r="I57" s="281"/>
      <c r="J57" s="281"/>
      <c r="K57" s="281"/>
      <c r="L57" s="281"/>
      <c r="M57" s="171"/>
      <c r="N57" s="171"/>
      <c r="O57" s="171"/>
      <c r="P57" s="171"/>
      <c r="Q57" s="171"/>
      <c r="R57" s="171">
        <v>2404</v>
      </c>
      <c r="S57" s="171">
        <v>2404</v>
      </c>
      <c r="T57" s="171">
        <v>2404</v>
      </c>
      <c r="U57" s="171">
        <v>2404</v>
      </c>
      <c r="V57" s="171">
        <v>2301</v>
      </c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363">
        <f t="shared" si="31"/>
        <v>2404</v>
      </c>
      <c r="BB57" s="363">
        <f t="shared" si="67"/>
        <v>2404</v>
      </c>
      <c r="BC57" s="363">
        <f t="shared" si="68"/>
        <v>2404</v>
      </c>
      <c r="BD57" s="363">
        <f t="shared" si="69"/>
        <v>2404</v>
      </c>
      <c r="BE57" s="363">
        <f t="shared" si="67"/>
        <v>2301</v>
      </c>
      <c r="BF57" s="391"/>
    </row>
    <row r="58" spans="1:58" s="10" customFormat="1" x14ac:dyDescent="0.2">
      <c r="A58" s="69"/>
      <c r="B58" s="25" t="s">
        <v>420</v>
      </c>
      <c r="C58" s="330"/>
      <c r="D58" s="330"/>
      <c r="E58" s="330"/>
      <c r="F58" s="330"/>
      <c r="G58" s="330"/>
      <c r="H58" s="281"/>
      <c r="I58" s="281"/>
      <c r="J58" s="281"/>
      <c r="K58" s="281"/>
      <c r="L58" s="281"/>
      <c r="M58" s="171"/>
      <c r="N58" s="171"/>
      <c r="O58" s="171"/>
      <c r="P58" s="171"/>
      <c r="Q58" s="171"/>
      <c r="R58" s="171">
        <v>5909</v>
      </c>
      <c r="S58" s="171">
        <v>5909</v>
      </c>
      <c r="T58" s="171">
        <v>5909</v>
      </c>
      <c r="U58" s="171">
        <f>5909-9</f>
        <v>5900</v>
      </c>
      <c r="V58" s="171">
        <v>5889</v>
      </c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363">
        <f t="shared" si="31"/>
        <v>5909</v>
      </c>
      <c r="BB58" s="363">
        <f t="shared" si="67"/>
        <v>5909</v>
      </c>
      <c r="BC58" s="363">
        <f t="shared" si="68"/>
        <v>5909</v>
      </c>
      <c r="BD58" s="363">
        <f t="shared" si="69"/>
        <v>5900</v>
      </c>
      <c r="BE58" s="363">
        <f t="shared" si="67"/>
        <v>5889</v>
      </c>
      <c r="BF58" s="391"/>
    </row>
    <row r="59" spans="1:58" s="10" customFormat="1" x14ac:dyDescent="0.2">
      <c r="A59" s="69"/>
      <c r="B59" s="25" t="s">
        <v>327</v>
      </c>
      <c r="C59" s="330">
        <v>100</v>
      </c>
      <c r="D59" s="330">
        <v>100</v>
      </c>
      <c r="E59" s="330">
        <v>100</v>
      </c>
      <c r="F59" s="330">
        <v>100</v>
      </c>
      <c r="G59" s="330">
        <v>0</v>
      </c>
      <c r="H59" s="281"/>
      <c r="I59" s="281"/>
      <c r="J59" s="281"/>
      <c r="K59" s="281"/>
      <c r="L59" s="28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232">
        <v>100</v>
      </c>
      <c r="X59" s="232">
        <v>100</v>
      </c>
      <c r="Y59" s="232">
        <v>100</v>
      </c>
      <c r="Z59" s="232">
        <v>100</v>
      </c>
      <c r="AA59" s="232">
        <v>0</v>
      </c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363">
        <f t="shared" si="31"/>
        <v>200</v>
      </c>
      <c r="BB59" s="363">
        <f t="shared" si="67"/>
        <v>200</v>
      </c>
      <c r="BC59" s="363">
        <f t="shared" si="68"/>
        <v>200</v>
      </c>
      <c r="BD59" s="363">
        <f t="shared" si="69"/>
        <v>200</v>
      </c>
      <c r="BE59" s="363">
        <f t="shared" si="67"/>
        <v>0</v>
      </c>
      <c r="BF59" s="391"/>
    </row>
    <row r="60" spans="1:58" s="10" customFormat="1" x14ac:dyDescent="0.2">
      <c r="A60" s="69"/>
      <c r="B60" s="25" t="s">
        <v>315</v>
      </c>
      <c r="C60" s="275"/>
      <c r="D60" s="275"/>
      <c r="E60" s="275"/>
      <c r="F60" s="275"/>
      <c r="G60" s="275"/>
      <c r="H60" s="245"/>
      <c r="I60" s="245"/>
      <c r="J60" s="245"/>
      <c r="K60" s="245"/>
      <c r="L60" s="245"/>
      <c r="M60" s="232"/>
      <c r="N60" s="232"/>
      <c r="O60" s="232"/>
      <c r="P60" s="232"/>
      <c r="Q60" s="232"/>
      <c r="R60" s="171">
        <v>600</v>
      </c>
      <c r="S60" s="171">
        <v>600</v>
      </c>
      <c r="T60" s="171">
        <v>600</v>
      </c>
      <c r="U60" s="171">
        <v>600</v>
      </c>
      <c r="V60" s="171">
        <v>600</v>
      </c>
      <c r="W60" s="232"/>
      <c r="X60" s="232"/>
      <c r="Y60" s="232"/>
      <c r="Z60" s="232"/>
      <c r="AA60" s="232"/>
      <c r="AB60" s="232"/>
      <c r="AC60" s="232"/>
      <c r="AD60" s="232"/>
      <c r="AE60" s="232"/>
      <c r="AF60" s="232"/>
      <c r="AG60" s="232"/>
      <c r="AH60" s="232"/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  <c r="AW60" s="232"/>
      <c r="AX60" s="232"/>
      <c r="AY60" s="232"/>
      <c r="AZ60" s="232"/>
      <c r="BA60" s="363">
        <f t="shared" ref="BA60:BA95" si="70">C60+H60+M60+R60+W60+AB60+AG60+AL60+AQ60+AV60</f>
        <v>600</v>
      </c>
      <c r="BB60" s="363">
        <f t="shared" si="67"/>
        <v>600</v>
      </c>
      <c r="BC60" s="363">
        <f t="shared" si="68"/>
        <v>600</v>
      </c>
      <c r="BD60" s="363">
        <f t="shared" si="69"/>
        <v>600</v>
      </c>
      <c r="BE60" s="363">
        <f t="shared" si="67"/>
        <v>600</v>
      </c>
      <c r="BF60" s="391"/>
    </row>
    <row r="61" spans="1:58" s="10" customFormat="1" x14ac:dyDescent="0.2">
      <c r="A61" s="69"/>
      <c r="B61" s="25" t="s">
        <v>1127</v>
      </c>
      <c r="C61" s="275"/>
      <c r="D61" s="275"/>
      <c r="E61" s="275"/>
      <c r="F61" s="275"/>
      <c r="G61" s="275"/>
      <c r="H61" s="245"/>
      <c r="I61" s="245"/>
      <c r="J61" s="245"/>
      <c r="K61" s="245"/>
      <c r="L61" s="245"/>
      <c r="M61" s="232"/>
      <c r="N61" s="232"/>
      <c r="O61" s="232"/>
      <c r="P61" s="232"/>
      <c r="Q61" s="232"/>
      <c r="R61" s="171"/>
      <c r="S61" s="171"/>
      <c r="T61" s="171"/>
      <c r="U61" s="171"/>
      <c r="V61" s="171"/>
      <c r="W61" s="232"/>
      <c r="X61" s="232"/>
      <c r="Y61" s="232"/>
      <c r="Z61" s="232"/>
      <c r="AA61" s="232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>
        <f>(260*12)</f>
        <v>3120</v>
      </c>
      <c r="AM61" s="232">
        <v>3120</v>
      </c>
      <c r="AN61" s="232">
        <v>3120</v>
      </c>
      <c r="AO61" s="232">
        <v>3120</v>
      </c>
      <c r="AP61" s="232">
        <v>3120</v>
      </c>
      <c r="AQ61" s="232"/>
      <c r="AR61" s="232"/>
      <c r="AS61" s="232"/>
      <c r="AT61" s="232"/>
      <c r="AU61" s="232"/>
      <c r="AV61" s="232"/>
      <c r="AW61" s="232"/>
      <c r="AX61" s="232"/>
      <c r="AY61" s="232"/>
      <c r="AZ61" s="232"/>
      <c r="BA61" s="363">
        <f t="shared" si="70"/>
        <v>3120</v>
      </c>
      <c r="BB61" s="363">
        <f t="shared" si="67"/>
        <v>3120</v>
      </c>
      <c r="BC61" s="363">
        <f t="shared" si="68"/>
        <v>3120</v>
      </c>
      <c r="BD61" s="363">
        <f t="shared" si="69"/>
        <v>3120</v>
      </c>
      <c r="BE61" s="363">
        <f t="shared" si="67"/>
        <v>3120</v>
      </c>
      <c r="BF61" s="391"/>
    </row>
    <row r="62" spans="1:58" s="10" customFormat="1" x14ac:dyDescent="0.2">
      <c r="A62" s="69"/>
      <c r="B62" s="25" t="s">
        <v>1128</v>
      </c>
      <c r="C62" s="171">
        <v>605</v>
      </c>
      <c r="D62" s="171">
        <v>605</v>
      </c>
      <c r="E62" s="171">
        <v>605</v>
      </c>
      <c r="F62" s="171">
        <f>605+200</f>
        <v>805</v>
      </c>
      <c r="G62" s="171">
        <v>805</v>
      </c>
      <c r="H62" s="245"/>
      <c r="I62" s="245"/>
      <c r="J62" s="245"/>
      <c r="K62" s="245"/>
      <c r="L62" s="245"/>
      <c r="M62" s="232"/>
      <c r="N62" s="232"/>
      <c r="O62" s="232"/>
      <c r="P62" s="232"/>
      <c r="Q62" s="232"/>
      <c r="R62" s="171"/>
      <c r="S62" s="171"/>
      <c r="T62" s="171"/>
      <c r="U62" s="171"/>
      <c r="V62" s="171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363">
        <f t="shared" si="70"/>
        <v>605</v>
      </c>
      <c r="BB62" s="363">
        <f t="shared" si="67"/>
        <v>605</v>
      </c>
      <c r="BC62" s="363">
        <f t="shared" si="68"/>
        <v>605</v>
      </c>
      <c r="BD62" s="363">
        <f t="shared" si="69"/>
        <v>805</v>
      </c>
      <c r="BE62" s="363">
        <f t="shared" si="67"/>
        <v>805</v>
      </c>
      <c r="BF62" s="391"/>
    </row>
    <row r="63" spans="1:58" s="10" customFormat="1" x14ac:dyDescent="0.2">
      <c r="A63" s="69"/>
      <c r="B63" s="25" t="s">
        <v>759</v>
      </c>
      <c r="C63" s="171">
        <v>2000</v>
      </c>
      <c r="D63" s="171">
        <v>2000</v>
      </c>
      <c r="E63" s="171">
        <v>2000</v>
      </c>
      <c r="F63" s="171">
        <f>2000-288</f>
        <v>1712</v>
      </c>
      <c r="G63" s="171">
        <v>0</v>
      </c>
      <c r="H63" s="245"/>
      <c r="I63" s="245"/>
      <c r="J63" s="245"/>
      <c r="K63" s="245"/>
      <c r="L63" s="245"/>
      <c r="M63" s="232"/>
      <c r="N63" s="232"/>
      <c r="O63" s="232"/>
      <c r="P63" s="232"/>
      <c r="Q63" s="232"/>
      <c r="R63" s="171"/>
      <c r="S63" s="171"/>
      <c r="T63" s="171"/>
      <c r="U63" s="171"/>
      <c r="V63" s="171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232"/>
      <c r="BA63" s="363">
        <f t="shared" si="70"/>
        <v>2000</v>
      </c>
      <c r="BB63" s="363">
        <f t="shared" si="67"/>
        <v>2000</v>
      </c>
      <c r="BC63" s="363">
        <f t="shared" si="68"/>
        <v>2000</v>
      </c>
      <c r="BD63" s="363">
        <f t="shared" si="69"/>
        <v>1712</v>
      </c>
      <c r="BE63" s="363">
        <f t="shared" si="67"/>
        <v>0</v>
      </c>
      <c r="BF63" s="391"/>
    </row>
    <row r="64" spans="1:58" s="10" customFormat="1" x14ac:dyDescent="0.2">
      <c r="A64" s="69"/>
      <c r="B64" s="135" t="s">
        <v>465</v>
      </c>
      <c r="C64" s="171">
        <v>0</v>
      </c>
      <c r="D64" s="171">
        <v>0</v>
      </c>
      <c r="E64" s="171">
        <v>0</v>
      </c>
      <c r="F64" s="171">
        <v>0</v>
      </c>
      <c r="G64" s="171">
        <v>0</v>
      </c>
      <c r="H64" s="245"/>
      <c r="I64" s="245"/>
      <c r="J64" s="245"/>
      <c r="K64" s="245"/>
      <c r="L64" s="245"/>
      <c r="M64" s="232"/>
      <c r="N64" s="232"/>
      <c r="O64" s="232"/>
      <c r="P64" s="232"/>
      <c r="Q64" s="232"/>
      <c r="R64" s="171"/>
      <c r="S64" s="171"/>
      <c r="T64" s="171"/>
      <c r="U64" s="171"/>
      <c r="V64" s="171"/>
      <c r="W64" s="232"/>
      <c r="X64" s="232"/>
      <c r="Y64" s="232"/>
      <c r="Z64" s="232"/>
      <c r="AA64" s="232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32"/>
      <c r="AS64" s="232"/>
      <c r="AT64" s="232"/>
      <c r="AU64" s="232"/>
      <c r="AV64" s="232"/>
      <c r="AW64" s="232"/>
      <c r="AX64" s="232"/>
      <c r="AY64" s="232"/>
      <c r="AZ64" s="232"/>
      <c r="BA64" s="363">
        <f t="shared" si="70"/>
        <v>0</v>
      </c>
      <c r="BB64" s="363">
        <f t="shared" si="67"/>
        <v>0</v>
      </c>
      <c r="BC64" s="363">
        <f t="shared" si="68"/>
        <v>0</v>
      </c>
      <c r="BD64" s="363">
        <f t="shared" si="69"/>
        <v>0</v>
      </c>
      <c r="BE64" s="363">
        <f t="shared" si="67"/>
        <v>0</v>
      </c>
      <c r="BF64" s="391"/>
    </row>
    <row r="65" spans="1:58" s="10" customFormat="1" x14ac:dyDescent="0.2">
      <c r="A65" s="69"/>
      <c r="B65" s="135" t="s">
        <v>883</v>
      </c>
      <c r="C65" s="171">
        <v>2000</v>
      </c>
      <c r="D65" s="171">
        <v>2000</v>
      </c>
      <c r="E65" s="171">
        <v>2000</v>
      </c>
      <c r="F65" s="171">
        <f>2000+288</f>
        <v>2288</v>
      </c>
      <c r="G65" s="171">
        <v>2288</v>
      </c>
      <c r="H65" s="245"/>
      <c r="I65" s="245"/>
      <c r="J65" s="245"/>
      <c r="K65" s="245"/>
      <c r="L65" s="245"/>
      <c r="M65" s="232"/>
      <c r="N65" s="232"/>
      <c r="O65" s="232"/>
      <c r="P65" s="232"/>
      <c r="Q65" s="232"/>
      <c r="R65" s="171"/>
      <c r="S65" s="171"/>
      <c r="T65" s="171"/>
      <c r="U65" s="171"/>
      <c r="V65" s="171"/>
      <c r="W65" s="232"/>
      <c r="X65" s="232"/>
      <c r="Y65" s="232"/>
      <c r="Z65" s="232"/>
      <c r="AA65" s="232"/>
      <c r="AB65" s="232"/>
      <c r="AC65" s="232"/>
      <c r="AD65" s="232"/>
      <c r="AE65" s="232"/>
      <c r="AF65" s="232"/>
      <c r="AG65" s="232"/>
      <c r="AH65" s="232"/>
      <c r="AI65" s="232"/>
      <c r="AJ65" s="232"/>
      <c r="AK65" s="232"/>
      <c r="AL65" s="232"/>
      <c r="AM65" s="232"/>
      <c r="AN65" s="232"/>
      <c r="AO65" s="232"/>
      <c r="AP65" s="232"/>
      <c r="AQ65" s="232"/>
      <c r="AR65" s="232"/>
      <c r="AS65" s="232"/>
      <c r="AT65" s="232"/>
      <c r="AU65" s="232"/>
      <c r="AV65" s="232"/>
      <c r="AW65" s="232"/>
      <c r="AX65" s="232"/>
      <c r="AY65" s="232"/>
      <c r="AZ65" s="232"/>
      <c r="BA65" s="363">
        <f t="shared" si="70"/>
        <v>2000</v>
      </c>
      <c r="BB65" s="363">
        <f t="shared" ref="BB65:BE83" si="71">D65+I65+N65+S65+X65+AC65+AH65+AM65+AR65+AW65</f>
        <v>2000</v>
      </c>
      <c r="BC65" s="363">
        <f t="shared" si="68"/>
        <v>2000</v>
      </c>
      <c r="BD65" s="363">
        <f t="shared" si="69"/>
        <v>2288</v>
      </c>
      <c r="BE65" s="363">
        <f t="shared" si="71"/>
        <v>2288</v>
      </c>
      <c r="BF65" s="391"/>
    </row>
    <row r="66" spans="1:58" s="10" customFormat="1" x14ac:dyDescent="0.2">
      <c r="A66" s="69"/>
      <c r="B66" s="25" t="s">
        <v>466</v>
      </c>
      <c r="C66" s="171">
        <v>360</v>
      </c>
      <c r="D66" s="171">
        <f>360-360</f>
        <v>0</v>
      </c>
      <c r="E66" s="171">
        <f>360-360</f>
        <v>0</v>
      </c>
      <c r="F66" s="171">
        <f>360-360</f>
        <v>0</v>
      </c>
      <c r="G66" s="171">
        <v>0</v>
      </c>
      <c r="H66" s="245"/>
      <c r="I66" s="245"/>
      <c r="J66" s="245"/>
      <c r="K66" s="245"/>
      <c r="L66" s="245"/>
      <c r="M66" s="232"/>
      <c r="N66" s="232"/>
      <c r="O66" s="232"/>
      <c r="P66" s="232"/>
      <c r="Q66" s="232"/>
      <c r="R66" s="171"/>
      <c r="S66" s="171"/>
      <c r="T66" s="171"/>
      <c r="U66" s="171"/>
      <c r="V66" s="171"/>
      <c r="W66" s="232"/>
      <c r="X66" s="232"/>
      <c r="Y66" s="232"/>
      <c r="Z66" s="232"/>
      <c r="AA66" s="232"/>
      <c r="AB66" s="232"/>
      <c r="AC66" s="232"/>
      <c r="AD66" s="232"/>
      <c r="AE66" s="232"/>
      <c r="AF66" s="232"/>
      <c r="AG66" s="232"/>
      <c r="AH66" s="232"/>
      <c r="AI66" s="232"/>
      <c r="AJ66" s="232"/>
      <c r="AK66" s="232"/>
      <c r="AL66" s="232"/>
      <c r="AM66" s="232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363">
        <f t="shared" ref="BA66:BA69" si="72">C66+H66+M66+R66+W66+AB66+AG66+AL66+AQ66+AV66</f>
        <v>360</v>
      </c>
      <c r="BB66" s="363">
        <f t="shared" ref="BB66:BB69" si="73">D66+I66+N66+S66+X66+AC66+AH66+AM66+AR66+AW66</f>
        <v>0</v>
      </c>
      <c r="BC66" s="363">
        <f t="shared" si="68"/>
        <v>0</v>
      </c>
      <c r="BD66" s="363">
        <f t="shared" si="69"/>
        <v>0</v>
      </c>
      <c r="BE66" s="363">
        <f t="shared" si="71"/>
        <v>0</v>
      </c>
      <c r="BF66" s="391"/>
    </row>
    <row r="67" spans="1:58" s="10" customFormat="1" x14ac:dyDescent="0.2">
      <c r="A67" s="69"/>
      <c r="B67" s="25" t="s">
        <v>1257</v>
      </c>
      <c r="C67" s="171">
        <v>0</v>
      </c>
      <c r="D67" s="171">
        <v>0</v>
      </c>
      <c r="E67" s="171">
        <v>945</v>
      </c>
      <c r="F67" s="171">
        <v>945</v>
      </c>
      <c r="G67" s="171">
        <v>945</v>
      </c>
      <c r="H67" s="245"/>
      <c r="I67" s="245"/>
      <c r="J67" s="245"/>
      <c r="K67" s="245"/>
      <c r="L67" s="245"/>
      <c r="M67" s="232"/>
      <c r="N67" s="232"/>
      <c r="O67" s="232"/>
      <c r="P67" s="232"/>
      <c r="Q67" s="232"/>
      <c r="R67" s="171"/>
      <c r="S67" s="171"/>
      <c r="T67" s="171"/>
      <c r="U67" s="171"/>
      <c r="V67" s="171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363">
        <f t="shared" si="72"/>
        <v>0</v>
      </c>
      <c r="BB67" s="363">
        <f t="shared" si="73"/>
        <v>0</v>
      </c>
      <c r="BC67" s="363">
        <f t="shared" si="68"/>
        <v>945</v>
      </c>
      <c r="BD67" s="363">
        <f t="shared" si="69"/>
        <v>945</v>
      </c>
      <c r="BE67" s="363">
        <f t="shared" si="71"/>
        <v>945</v>
      </c>
      <c r="BF67" s="391"/>
    </row>
    <row r="68" spans="1:58" s="10" customFormat="1" ht="13.5" thickBot="1" x14ac:dyDescent="0.25">
      <c r="A68" s="69"/>
      <c r="B68" s="25" t="s">
        <v>1261</v>
      </c>
      <c r="C68" s="171">
        <v>0</v>
      </c>
      <c r="D68" s="171">
        <v>0</v>
      </c>
      <c r="E68" s="171">
        <v>945</v>
      </c>
      <c r="F68" s="171">
        <v>945</v>
      </c>
      <c r="G68" s="171">
        <v>945</v>
      </c>
      <c r="H68" s="245"/>
      <c r="I68" s="245"/>
      <c r="J68" s="245"/>
      <c r="K68" s="245"/>
      <c r="L68" s="245"/>
      <c r="M68" s="232"/>
      <c r="N68" s="232"/>
      <c r="O68" s="232"/>
      <c r="P68" s="232"/>
      <c r="Q68" s="232"/>
      <c r="R68" s="171"/>
      <c r="S68" s="171"/>
      <c r="T68" s="171"/>
      <c r="U68" s="171"/>
      <c r="V68" s="171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232"/>
      <c r="AR68" s="232"/>
      <c r="AS68" s="232"/>
      <c r="AT68" s="232"/>
      <c r="AU68" s="232"/>
      <c r="AV68" s="232"/>
      <c r="AW68" s="232"/>
      <c r="AX68" s="232"/>
      <c r="AY68" s="232"/>
      <c r="AZ68" s="232"/>
      <c r="BA68" s="363">
        <f t="shared" si="72"/>
        <v>0</v>
      </c>
      <c r="BB68" s="363">
        <f t="shared" si="73"/>
        <v>0</v>
      </c>
      <c r="BC68" s="363">
        <f t="shared" si="68"/>
        <v>945</v>
      </c>
      <c r="BD68" s="363">
        <f t="shared" si="69"/>
        <v>945</v>
      </c>
      <c r="BE68" s="363">
        <f t="shared" si="71"/>
        <v>945</v>
      </c>
      <c r="BF68" s="391"/>
    </row>
    <row r="69" spans="1:58" s="10" customFormat="1" hidden="1" x14ac:dyDescent="0.2">
      <c r="A69" s="69"/>
      <c r="B69" s="25"/>
      <c r="C69" s="171"/>
      <c r="D69" s="171"/>
      <c r="E69" s="171"/>
      <c r="F69" s="171"/>
      <c r="G69" s="171"/>
      <c r="H69" s="245"/>
      <c r="I69" s="245"/>
      <c r="J69" s="245"/>
      <c r="K69" s="245"/>
      <c r="L69" s="245"/>
      <c r="M69" s="232"/>
      <c r="N69" s="232"/>
      <c r="O69" s="232"/>
      <c r="P69" s="232"/>
      <c r="Q69" s="232"/>
      <c r="R69" s="171"/>
      <c r="S69" s="171"/>
      <c r="T69" s="171"/>
      <c r="U69" s="171"/>
      <c r="V69" s="171"/>
      <c r="W69" s="232"/>
      <c r="X69" s="232"/>
      <c r="Y69" s="232"/>
      <c r="Z69" s="232"/>
      <c r="AA69" s="232"/>
      <c r="AB69" s="232"/>
      <c r="AC69" s="232"/>
      <c r="AD69" s="232"/>
      <c r="AE69" s="232"/>
      <c r="AF69" s="232"/>
      <c r="AG69" s="232"/>
      <c r="AH69" s="232"/>
      <c r="AI69" s="232"/>
      <c r="AJ69" s="232"/>
      <c r="AK69" s="232"/>
      <c r="AL69" s="232"/>
      <c r="AM69" s="232"/>
      <c r="AN69" s="232"/>
      <c r="AO69" s="232"/>
      <c r="AP69" s="232"/>
      <c r="AQ69" s="232"/>
      <c r="AR69" s="232"/>
      <c r="AS69" s="232"/>
      <c r="AT69" s="232"/>
      <c r="AU69" s="232"/>
      <c r="AV69" s="232"/>
      <c r="AW69" s="232"/>
      <c r="AX69" s="232"/>
      <c r="AY69" s="232"/>
      <c r="AZ69" s="232"/>
      <c r="BA69" s="363">
        <f t="shared" si="72"/>
        <v>0</v>
      </c>
      <c r="BB69" s="363">
        <f t="shared" si="73"/>
        <v>0</v>
      </c>
      <c r="BC69" s="363">
        <f t="shared" ref="BC69" si="74">E69+J69+O69+T69+Y69+AD69+AI69+AN69+AS69+AX69</f>
        <v>0</v>
      </c>
      <c r="BD69" s="363">
        <f t="shared" si="71"/>
        <v>0</v>
      </c>
      <c r="BE69" s="363">
        <f t="shared" si="71"/>
        <v>0</v>
      </c>
      <c r="BF69" s="391"/>
    </row>
    <row r="70" spans="1:58" s="10" customFormat="1" ht="13.5" hidden="1" thickBot="1" x14ac:dyDescent="0.25">
      <c r="A70" s="69"/>
      <c r="B70" s="25"/>
      <c r="C70" s="171"/>
      <c r="D70" s="171"/>
      <c r="E70" s="171"/>
      <c r="F70" s="171"/>
      <c r="G70" s="171"/>
      <c r="H70" s="245"/>
      <c r="I70" s="245"/>
      <c r="J70" s="245"/>
      <c r="K70" s="245"/>
      <c r="L70" s="245"/>
      <c r="M70" s="232"/>
      <c r="N70" s="232"/>
      <c r="O70" s="232"/>
      <c r="P70" s="232"/>
      <c r="Q70" s="232"/>
      <c r="R70" s="171"/>
      <c r="S70" s="171"/>
      <c r="T70" s="171"/>
      <c r="U70" s="171"/>
      <c r="V70" s="171"/>
      <c r="W70" s="232"/>
      <c r="X70" s="232"/>
      <c r="Y70" s="232"/>
      <c r="Z70" s="232"/>
      <c r="AA70" s="232"/>
      <c r="AB70" s="232"/>
      <c r="AC70" s="232"/>
      <c r="AD70" s="232"/>
      <c r="AE70" s="232"/>
      <c r="AF70" s="232"/>
      <c r="AG70" s="232"/>
      <c r="AH70" s="232"/>
      <c r="AI70" s="232"/>
      <c r="AJ70" s="232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363">
        <f t="shared" si="70"/>
        <v>0</v>
      </c>
      <c r="BB70" s="363">
        <f t="shared" si="71"/>
        <v>0</v>
      </c>
      <c r="BC70" s="363">
        <f t="shared" si="71"/>
        <v>0</v>
      </c>
      <c r="BD70" s="363">
        <f t="shared" si="71"/>
        <v>0</v>
      </c>
      <c r="BE70" s="363">
        <f t="shared" si="71"/>
        <v>0</v>
      </c>
      <c r="BF70" s="391"/>
    </row>
    <row r="71" spans="1:58" s="10" customFormat="1" ht="37.5" thickBot="1" x14ac:dyDescent="0.25">
      <c r="A71" s="348"/>
      <c r="B71" s="333" t="s">
        <v>887</v>
      </c>
      <c r="C71" s="334">
        <v>36836</v>
      </c>
      <c r="D71" s="334">
        <v>37351</v>
      </c>
      <c r="E71" s="334">
        <v>47691</v>
      </c>
      <c r="F71" s="334">
        <f>C136</f>
        <v>46566</v>
      </c>
      <c r="G71" s="334">
        <v>16589</v>
      </c>
      <c r="H71" s="324"/>
      <c r="I71" s="324"/>
      <c r="J71" s="324"/>
      <c r="K71" s="324"/>
      <c r="L71" s="324"/>
      <c r="M71" s="297"/>
      <c r="N71" s="297"/>
      <c r="O71" s="297"/>
      <c r="P71" s="297"/>
      <c r="Q71" s="297"/>
      <c r="R71" s="96"/>
      <c r="S71" s="96"/>
      <c r="T71" s="96"/>
      <c r="U71" s="96"/>
      <c r="V71" s="96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363">
        <f t="shared" si="70"/>
        <v>36836</v>
      </c>
      <c r="BB71" s="363">
        <f t="shared" si="71"/>
        <v>37351</v>
      </c>
      <c r="BC71" s="363">
        <f t="shared" si="71"/>
        <v>47691</v>
      </c>
      <c r="BD71" s="363">
        <f t="shared" si="71"/>
        <v>46566</v>
      </c>
      <c r="BE71" s="363">
        <f t="shared" si="71"/>
        <v>16589</v>
      </c>
      <c r="BF71" s="391"/>
    </row>
    <row r="72" spans="1:58" s="10" customFormat="1" x14ac:dyDescent="0.2">
      <c r="A72" s="69" t="s">
        <v>275</v>
      </c>
      <c r="B72" s="190" t="s">
        <v>301</v>
      </c>
      <c r="C72" s="290"/>
      <c r="D72" s="290"/>
      <c r="E72" s="290"/>
      <c r="F72" s="290"/>
      <c r="G72" s="290"/>
      <c r="H72" s="245"/>
      <c r="I72" s="245"/>
      <c r="J72" s="245"/>
      <c r="K72" s="245"/>
      <c r="L72" s="245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  <c r="AA72" s="232"/>
      <c r="AB72" s="232"/>
      <c r="AC72" s="232"/>
      <c r="AD72" s="232"/>
      <c r="AE72" s="232"/>
      <c r="AF72" s="232"/>
      <c r="AG72" s="232"/>
      <c r="AH72" s="232"/>
      <c r="AI72" s="232"/>
      <c r="AJ72" s="232"/>
      <c r="AK72" s="232"/>
      <c r="AL72" s="232"/>
      <c r="AM72" s="232"/>
      <c r="AN72" s="232"/>
      <c r="AO72" s="232"/>
      <c r="AP72" s="232"/>
      <c r="AQ72" s="232"/>
      <c r="AR72" s="232"/>
      <c r="AS72" s="232"/>
      <c r="AT72" s="232"/>
      <c r="AU72" s="232"/>
      <c r="AV72" s="232"/>
      <c r="AW72" s="232"/>
      <c r="AX72" s="232"/>
      <c r="AY72" s="232"/>
      <c r="AZ72" s="232"/>
      <c r="BA72" s="363">
        <f t="shared" si="70"/>
        <v>0</v>
      </c>
      <c r="BB72" s="363">
        <f t="shared" si="71"/>
        <v>0</v>
      </c>
      <c r="BC72" s="363">
        <f t="shared" si="71"/>
        <v>0</v>
      </c>
      <c r="BD72" s="363">
        <f t="shared" si="71"/>
        <v>0</v>
      </c>
      <c r="BE72" s="363">
        <f t="shared" si="71"/>
        <v>0</v>
      </c>
      <c r="BF72" s="391"/>
    </row>
    <row r="73" spans="1:58" s="10" customFormat="1" x14ac:dyDescent="0.2">
      <c r="A73" s="69"/>
      <c r="B73" s="9" t="s">
        <v>354</v>
      </c>
      <c r="C73" s="232">
        <v>100</v>
      </c>
      <c r="D73" s="232">
        <v>100</v>
      </c>
      <c r="E73" s="232">
        <v>100</v>
      </c>
      <c r="F73" s="232">
        <f>100-87</f>
        <v>13</v>
      </c>
      <c r="G73" s="232">
        <v>0</v>
      </c>
      <c r="H73" s="232">
        <v>0</v>
      </c>
      <c r="I73" s="232">
        <v>0</v>
      </c>
      <c r="J73" s="232">
        <v>0</v>
      </c>
      <c r="K73" s="232">
        <v>2</v>
      </c>
      <c r="L73" s="245">
        <v>2</v>
      </c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Q73" s="232"/>
      <c r="AR73" s="232"/>
      <c r="AS73" s="232"/>
      <c r="AT73" s="232"/>
      <c r="AU73" s="232"/>
      <c r="AV73" s="232"/>
      <c r="AW73" s="232"/>
      <c r="AX73" s="232"/>
      <c r="AY73" s="232"/>
      <c r="AZ73" s="232"/>
      <c r="BA73" s="363">
        <f t="shared" si="70"/>
        <v>100</v>
      </c>
      <c r="BB73" s="363">
        <f t="shared" si="71"/>
        <v>100</v>
      </c>
      <c r="BC73" s="363">
        <f t="shared" si="71"/>
        <v>100</v>
      </c>
      <c r="BD73" s="363">
        <f t="shared" si="71"/>
        <v>15</v>
      </c>
      <c r="BE73" s="363">
        <f t="shared" si="71"/>
        <v>2</v>
      </c>
      <c r="BF73" s="391"/>
    </row>
    <row r="74" spans="1:58" s="10" customFormat="1" x14ac:dyDescent="0.2">
      <c r="A74" s="69"/>
      <c r="B74" s="9" t="s">
        <v>339</v>
      </c>
      <c r="C74" s="232"/>
      <c r="D74" s="232"/>
      <c r="E74" s="232"/>
      <c r="F74" s="232"/>
      <c r="G74" s="232"/>
      <c r="H74" s="245"/>
      <c r="I74" s="245"/>
      <c r="J74" s="245"/>
      <c r="K74" s="245"/>
      <c r="L74" s="245"/>
      <c r="M74" s="232"/>
      <c r="N74" s="232"/>
      <c r="O74" s="232"/>
      <c r="P74" s="232"/>
      <c r="Q74" s="232"/>
      <c r="R74" s="232"/>
      <c r="S74" s="232"/>
      <c r="T74" s="232"/>
      <c r="U74" s="232"/>
      <c r="V74" s="232"/>
      <c r="W74" s="291"/>
      <c r="X74" s="291"/>
      <c r="Y74" s="291"/>
      <c r="Z74" s="291"/>
      <c r="AA74" s="291"/>
      <c r="AB74" s="232"/>
      <c r="AC74" s="232"/>
      <c r="AD74" s="232"/>
      <c r="AE74" s="232"/>
      <c r="AF74" s="232"/>
      <c r="AG74" s="232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>
        <v>70</v>
      </c>
      <c r="AW74" s="232">
        <v>70</v>
      </c>
      <c r="AX74" s="232">
        <v>70</v>
      </c>
      <c r="AY74" s="232">
        <f>70-11</f>
        <v>59</v>
      </c>
      <c r="AZ74" s="232">
        <v>0</v>
      </c>
      <c r="BA74" s="363">
        <f t="shared" si="70"/>
        <v>70</v>
      </c>
      <c r="BB74" s="363">
        <f t="shared" si="71"/>
        <v>70</v>
      </c>
      <c r="BC74" s="363">
        <f t="shared" si="71"/>
        <v>70</v>
      </c>
      <c r="BD74" s="363">
        <f t="shared" si="71"/>
        <v>59</v>
      </c>
      <c r="BE74" s="363">
        <f t="shared" si="71"/>
        <v>0</v>
      </c>
      <c r="BF74" s="391"/>
    </row>
    <row r="75" spans="1:58" s="10" customFormat="1" x14ac:dyDescent="0.2">
      <c r="A75" s="69"/>
      <c r="B75" s="25" t="s">
        <v>416</v>
      </c>
      <c r="C75" s="232">
        <v>4300</v>
      </c>
      <c r="D75" s="232">
        <v>4300</v>
      </c>
      <c r="E75" s="232">
        <v>4300</v>
      </c>
      <c r="F75" s="232">
        <v>4300</v>
      </c>
      <c r="G75" s="232">
        <v>3739</v>
      </c>
      <c r="H75" s="245"/>
      <c r="I75" s="245"/>
      <c r="J75" s="245"/>
      <c r="K75" s="245"/>
      <c r="L75" s="245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  <c r="AA75" s="232"/>
      <c r="AB75" s="232"/>
      <c r="AC75" s="232"/>
      <c r="AD75" s="232"/>
      <c r="AE75" s="232"/>
      <c r="AF75" s="232"/>
      <c r="AG75" s="232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232"/>
      <c r="AT75" s="232"/>
      <c r="AU75" s="232"/>
      <c r="AV75" s="232"/>
      <c r="AW75" s="232"/>
      <c r="AX75" s="232"/>
      <c r="AY75" s="232"/>
      <c r="AZ75" s="232"/>
      <c r="BA75" s="363">
        <f t="shared" si="70"/>
        <v>4300</v>
      </c>
      <c r="BB75" s="363">
        <f t="shared" si="71"/>
        <v>4300</v>
      </c>
      <c r="BC75" s="363">
        <f t="shared" si="71"/>
        <v>4300</v>
      </c>
      <c r="BD75" s="363">
        <f t="shared" si="71"/>
        <v>4300</v>
      </c>
      <c r="BE75" s="363">
        <f t="shared" si="71"/>
        <v>3739</v>
      </c>
      <c r="BF75" s="391"/>
    </row>
    <row r="76" spans="1:58" s="10" customFormat="1" x14ac:dyDescent="0.2">
      <c r="A76" s="69"/>
      <c r="B76" s="25" t="s">
        <v>1241</v>
      </c>
      <c r="C76" s="171">
        <v>1800</v>
      </c>
      <c r="D76" s="171">
        <v>1800</v>
      </c>
      <c r="E76" s="171">
        <v>1800</v>
      </c>
      <c r="F76" s="171">
        <v>1800</v>
      </c>
      <c r="G76" s="171">
        <v>1482</v>
      </c>
      <c r="H76" s="171">
        <v>10</v>
      </c>
      <c r="I76" s="171">
        <v>10</v>
      </c>
      <c r="J76" s="171">
        <v>10</v>
      </c>
      <c r="K76" s="171">
        <f>10-2</f>
        <v>8</v>
      </c>
      <c r="L76" s="171">
        <v>5</v>
      </c>
      <c r="M76" s="171"/>
      <c r="N76" s="171"/>
      <c r="O76" s="171"/>
      <c r="P76" s="171"/>
      <c r="Q76" s="171"/>
      <c r="R76" s="171">
        <v>0</v>
      </c>
      <c r="S76" s="171">
        <v>0</v>
      </c>
      <c r="T76" s="171">
        <v>11</v>
      </c>
      <c r="U76" s="171">
        <v>11</v>
      </c>
      <c r="V76" s="171">
        <v>11</v>
      </c>
      <c r="W76" s="171"/>
      <c r="X76" s="171"/>
      <c r="Y76" s="171"/>
      <c r="Z76" s="171"/>
      <c r="AA76" s="171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232"/>
      <c r="AR76" s="232"/>
      <c r="AS76" s="232"/>
      <c r="AT76" s="232"/>
      <c r="AU76" s="232"/>
      <c r="AV76" s="232"/>
      <c r="AW76" s="232"/>
      <c r="AX76" s="232"/>
      <c r="AY76" s="232"/>
      <c r="AZ76" s="232"/>
      <c r="BA76" s="363">
        <f t="shared" si="70"/>
        <v>1810</v>
      </c>
      <c r="BB76" s="363">
        <f t="shared" si="71"/>
        <v>1810</v>
      </c>
      <c r="BC76" s="363">
        <f t="shared" si="71"/>
        <v>1821</v>
      </c>
      <c r="BD76" s="363">
        <f t="shared" si="71"/>
        <v>1819</v>
      </c>
      <c r="BE76" s="363">
        <f t="shared" si="71"/>
        <v>1498</v>
      </c>
      <c r="BF76" s="391"/>
    </row>
    <row r="77" spans="1:58" s="10" customFormat="1" x14ac:dyDescent="0.2">
      <c r="A77" s="69"/>
      <c r="B77" s="25" t="s">
        <v>938</v>
      </c>
      <c r="C77" s="171">
        <v>700</v>
      </c>
      <c r="D77" s="171">
        <v>700</v>
      </c>
      <c r="E77" s="171">
        <v>700</v>
      </c>
      <c r="F77" s="171">
        <v>700</v>
      </c>
      <c r="G77" s="171">
        <v>588</v>
      </c>
      <c r="H77" s="281"/>
      <c r="I77" s="281"/>
      <c r="J77" s="281"/>
      <c r="K77" s="281"/>
      <c r="L77" s="28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232"/>
      <c r="AC77" s="232"/>
      <c r="AD77" s="232"/>
      <c r="AE77" s="232"/>
      <c r="AF77" s="232"/>
      <c r="AG77" s="232"/>
      <c r="AH77" s="232"/>
      <c r="AI77" s="232"/>
      <c r="AJ77" s="232"/>
      <c r="AK77" s="232"/>
      <c r="AL77" s="232"/>
      <c r="AM77" s="232"/>
      <c r="AN77" s="232"/>
      <c r="AO77" s="232"/>
      <c r="AP77" s="232"/>
      <c r="AQ77" s="232"/>
      <c r="AR77" s="232"/>
      <c r="AS77" s="232"/>
      <c r="AT77" s="232"/>
      <c r="AU77" s="232"/>
      <c r="AV77" s="232"/>
      <c r="AW77" s="232"/>
      <c r="AX77" s="232"/>
      <c r="AY77" s="232"/>
      <c r="AZ77" s="232"/>
      <c r="BA77" s="363">
        <f t="shared" si="70"/>
        <v>700</v>
      </c>
      <c r="BB77" s="363">
        <f t="shared" si="71"/>
        <v>700</v>
      </c>
      <c r="BC77" s="363">
        <f t="shared" si="71"/>
        <v>700</v>
      </c>
      <c r="BD77" s="363">
        <f t="shared" si="71"/>
        <v>700</v>
      </c>
      <c r="BE77" s="363">
        <f t="shared" si="71"/>
        <v>588</v>
      </c>
      <c r="BF77" s="391"/>
    </row>
    <row r="78" spans="1:58" s="10" customFormat="1" x14ac:dyDescent="0.2">
      <c r="A78" s="69"/>
      <c r="B78" s="9" t="s">
        <v>329</v>
      </c>
      <c r="C78" s="232">
        <v>20</v>
      </c>
      <c r="D78" s="232">
        <v>20</v>
      </c>
      <c r="E78" s="232">
        <v>20</v>
      </c>
      <c r="F78" s="232">
        <v>20</v>
      </c>
      <c r="G78" s="232">
        <v>0</v>
      </c>
      <c r="H78" s="245"/>
      <c r="I78" s="245"/>
      <c r="J78" s="245"/>
      <c r="K78" s="245"/>
      <c r="L78" s="245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232"/>
      <c r="AQ78" s="232"/>
      <c r="AR78" s="232"/>
      <c r="AS78" s="232"/>
      <c r="AT78" s="232"/>
      <c r="AU78" s="232"/>
      <c r="AV78" s="232"/>
      <c r="AW78" s="232"/>
      <c r="AX78" s="232"/>
      <c r="AY78" s="232"/>
      <c r="AZ78" s="232"/>
      <c r="BA78" s="363">
        <f t="shared" si="70"/>
        <v>20</v>
      </c>
      <c r="BB78" s="363">
        <f t="shared" si="71"/>
        <v>20</v>
      </c>
      <c r="BC78" s="363">
        <f t="shared" si="71"/>
        <v>20</v>
      </c>
      <c r="BD78" s="363">
        <f t="shared" si="71"/>
        <v>20</v>
      </c>
      <c r="BE78" s="363">
        <f t="shared" si="71"/>
        <v>0</v>
      </c>
      <c r="BF78" s="391"/>
    </row>
    <row r="79" spans="1:58" s="10" customFormat="1" x14ac:dyDescent="0.2">
      <c r="A79" s="69"/>
      <c r="B79" s="25" t="s">
        <v>490</v>
      </c>
      <c r="C79" s="171"/>
      <c r="D79" s="171"/>
      <c r="E79" s="171"/>
      <c r="F79" s="171"/>
      <c r="G79" s="171"/>
      <c r="H79" s="245"/>
      <c r="I79" s="245"/>
      <c r="J79" s="245"/>
      <c r="K79" s="245"/>
      <c r="L79" s="245"/>
      <c r="M79" s="232"/>
      <c r="N79" s="232"/>
      <c r="O79" s="232"/>
      <c r="P79" s="232"/>
      <c r="Q79" s="232"/>
      <c r="R79" s="232"/>
      <c r="S79" s="232"/>
      <c r="T79" s="232"/>
      <c r="U79" s="232"/>
      <c r="V79" s="232"/>
      <c r="W79" s="232"/>
      <c r="X79" s="232"/>
      <c r="Y79" s="232"/>
      <c r="Z79" s="232"/>
      <c r="AA79" s="232"/>
      <c r="AB79" s="232"/>
      <c r="AC79" s="232"/>
      <c r="AD79" s="232"/>
      <c r="AE79" s="232"/>
      <c r="AF79" s="232"/>
      <c r="AG79" s="232"/>
      <c r="AH79" s="232"/>
      <c r="AI79" s="232"/>
      <c r="AJ79" s="232"/>
      <c r="AK79" s="232"/>
      <c r="AL79" s="232"/>
      <c r="AM79" s="232"/>
      <c r="AN79" s="232"/>
      <c r="AO79" s="232"/>
      <c r="AP79" s="232"/>
      <c r="AQ79" s="232"/>
      <c r="AR79" s="232"/>
      <c r="AS79" s="232"/>
      <c r="AT79" s="232"/>
      <c r="AU79" s="232"/>
      <c r="AV79" s="232">
        <v>250</v>
      </c>
      <c r="AW79" s="232">
        <v>250</v>
      </c>
      <c r="AX79" s="232">
        <v>250</v>
      </c>
      <c r="AY79" s="232">
        <f>250-250</f>
        <v>0</v>
      </c>
      <c r="AZ79" s="232">
        <v>0</v>
      </c>
      <c r="BA79" s="363">
        <f t="shared" si="70"/>
        <v>250</v>
      </c>
      <c r="BB79" s="363">
        <f t="shared" si="71"/>
        <v>250</v>
      </c>
      <c r="BC79" s="363">
        <f t="shared" si="71"/>
        <v>250</v>
      </c>
      <c r="BD79" s="363">
        <f t="shared" si="71"/>
        <v>0</v>
      </c>
      <c r="BE79" s="363">
        <f t="shared" si="71"/>
        <v>0</v>
      </c>
      <c r="BF79" s="391"/>
    </row>
    <row r="80" spans="1:58" s="10" customFormat="1" x14ac:dyDescent="0.2">
      <c r="A80" s="69"/>
      <c r="B80" s="25" t="s">
        <v>317</v>
      </c>
      <c r="C80" s="171">
        <v>800</v>
      </c>
      <c r="D80" s="171">
        <v>800</v>
      </c>
      <c r="E80" s="171">
        <f>800-150</f>
        <v>650</v>
      </c>
      <c r="F80" s="171">
        <f>800-150-650</f>
        <v>0</v>
      </c>
      <c r="G80" s="171">
        <v>0</v>
      </c>
      <c r="H80" s="171">
        <v>40</v>
      </c>
      <c r="I80" s="171">
        <v>40</v>
      </c>
      <c r="J80" s="171">
        <f>40+50</f>
        <v>90</v>
      </c>
      <c r="K80" s="171">
        <f>40+50</f>
        <v>90</v>
      </c>
      <c r="L80" s="171">
        <v>80</v>
      </c>
      <c r="M80" s="232"/>
      <c r="N80" s="232"/>
      <c r="O80" s="232"/>
      <c r="P80" s="232"/>
      <c r="Q80" s="232"/>
      <c r="R80" s="232">
        <v>150</v>
      </c>
      <c r="S80" s="232">
        <v>150</v>
      </c>
      <c r="T80" s="232">
        <f>150+150</f>
        <v>300</v>
      </c>
      <c r="U80" s="232">
        <f>150+150-23</f>
        <v>277</v>
      </c>
      <c r="V80" s="232">
        <v>249</v>
      </c>
      <c r="W80" s="232">
        <v>0</v>
      </c>
      <c r="X80" s="232">
        <v>0</v>
      </c>
      <c r="Y80" s="232">
        <v>0</v>
      </c>
      <c r="Z80" s="232">
        <v>87</v>
      </c>
      <c r="AA80" s="232">
        <v>86</v>
      </c>
      <c r="AB80" s="232"/>
      <c r="AC80" s="232"/>
      <c r="AD80" s="232"/>
      <c r="AE80" s="232"/>
      <c r="AF80" s="232"/>
      <c r="AG80" s="232"/>
      <c r="AH80" s="232"/>
      <c r="AI80" s="232"/>
      <c r="AJ80" s="232"/>
      <c r="AK80" s="232"/>
      <c r="AL80" s="232"/>
      <c r="AM80" s="232"/>
      <c r="AN80" s="232"/>
      <c r="AO80" s="232"/>
      <c r="AP80" s="232"/>
      <c r="AQ80" s="232"/>
      <c r="AR80" s="232"/>
      <c r="AS80" s="232"/>
      <c r="AT80" s="232"/>
      <c r="AU80" s="232"/>
      <c r="AV80" s="232"/>
      <c r="AW80" s="232"/>
      <c r="AX80" s="232"/>
      <c r="AY80" s="232"/>
      <c r="AZ80" s="232"/>
      <c r="BA80" s="363">
        <f t="shared" si="70"/>
        <v>990</v>
      </c>
      <c r="BB80" s="363">
        <f t="shared" si="71"/>
        <v>990</v>
      </c>
      <c r="BC80" s="363">
        <f t="shared" si="71"/>
        <v>1040</v>
      </c>
      <c r="BD80" s="363">
        <f t="shared" si="71"/>
        <v>454</v>
      </c>
      <c r="BE80" s="363">
        <f t="shared" si="71"/>
        <v>415</v>
      </c>
      <c r="BF80" s="391"/>
    </row>
    <row r="81" spans="1:59" s="10" customFormat="1" x14ac:dyDescent="0.2">
      <c r="A81" s="69"/>
      <c r="B81" s="25" t="s">
        <v>861</v>
      </c>
      <c r="C81" s="171">
        <v>700</v>
      </c>
      <c r="D81" s="171">
        <v>700</v>
      </c>
      <c r="E81" s="171">
        <v>700</v>
      </c>
      <c r="F81" s="171">
        <f>700-108</f>
        <v>592</v>
      </c>
      <c r="G81" s="171">
        <v>255</v>
      </c>
      <c r="H81" s="245"/>
      <c r="I81" s="245"/>
      <c r="J81" s="245"/>
      <c r="K81" s="245"/>
      <c r="L81" s="245"/>
      <c r="M81" s="232"/>
      <c r="N81" s="232"/>
      <c r="O81" s="232"/>
      <c r="P81" s="232"/>
      <c r="Q81" s="232"/>
      <c r="R81" s="232">
        <v>25</v>
      </c>
      <c r="S81" s="232">
        <v>25</v>
      </c>
      <c r="T81" s="232">
        <v>25</v>
      </c>
      <c r="U81" s="232">
        <f>25+23</f>
        <v>48</v>
      </c>
      <c r="V81" s="232">
        <v>47</v>
      </c>
      <c r="W81" s="232"/>
      <c r="X81" s="232"/>
      <c r="Y81" s="232"/>
      <c r="Z81" s="232"/>
      <c r="AA81" s="232"/>
      <c r="AB81" s="232"/>
      <c r="AC81" s="232"/>
      <c r="AD81" s="232"/>
      <c r="AE81" s="232"/>
      <c r="AF81" s="232"/>
      <c r="AG81" s="232"/>
      <c r="AH81" s="232"/>
      <c r="AI81" s="232"/>
      <c r="AJ81" s="232"/>
      <c r="AK81" s="232"/>
      <c r="AL81" s="232"/>
      <c r="AM81" s="232"/>
      <c r="AN81" s="232"/>
      <c r="AO81" s="232"/>
      <c r="AP81" s="232"/>
      <c r="AQ81" s="232"/>
      <c r="AR81" s="232"/>
      <c r="AS81" s="232"/>
      <c r="AT81" s="232"/>
      <c r="AU81" s="232"/>
      <c r="AV81" s="232"/>
      <c r="AW81" s="232"/>
      <c r="AX81" s="232"/>
      <c r="AY81" s="232"/>
      <c r="AZ81" s="232"/>
      <c r="BA81" s="363">
        <f t="shared" si="70"/>
        <v>725</v>
      </c>
      <c r="BB81" s="363">
        <f t="shared" si="71"/>
        <v>725</v>
      </c>
      <c r="BC81" s="363">
        <f t="shared" si="71"/>
        <v>725</v>
      </c>
      <c r="BD81" s="363">
        <f t="shared" si="71"/>
        <v>640</v>
      </c>
      <c r="BE81" s="363">
        <f t="shared" si="71"/>
        <v>302</v>
      </c>
      <c r="BF81" s="391"/>
    </row>
    <row r="82" spans="1:59" s="10" customFormat="1" x14ac:dyDescent="0.2">
      <c r="A82" s="69"/>
      <c r="B82" s="25" t="s">
        <v>1208</v>
      </c>
      <c r="C82" s="171">
        <v>2000</v>
      </c>
      <c r="D82" s="171">
        <f>2000+440</f>
        <v>2440</v>
      </c>
      <c r="E82" s="171">
        <f>(2000+440)+950+900</f>
        <v>4290</v>
      </c>
      <c r="F82" s="171">
        <f>((2000+440)+950+900)+475+525+650+1300+250+108</f>
        <v>7598</v>
      </c>
      <c r="G82" s="171">
        <v>7597</v>
      </c>
      <c r="H82" s="245"/>
      <c r="I82" s="245"/>
      <c r="J82" s="245"/>
      <c r="K82" s="245"/>
      <c r="L82" s="245"/>
      <c r="M82" s="232">
        <v>0</v>
      </c>
      <c r="N82" s="232">
        <v>2000</v>
      </c>
      <c r="O82" s="232">
        <v>2000</v>
      </c>
      <c r="P82" s="232">
        <f>2000-183</f>
        <v>1817</v>
      </c>
      <c r="Q82" s="232">
        <v>1792</v>
      </c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>
        <v>0</v>
      </c>
      <c r="AH82" s="232">
        <v>0</v>
      </c>
      <c r="AI82" s="232">
        <v>0</v>
      </c>
      <c r="AJ82" s="232">
        <v>183</v>
      </c>
      <c r="AK82" s="232">
        <v>183</v>
      </c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2"/>
      <c r="AY82" s="232"/>
      <c r="AZ82" s="232"/>
      <c r="BA82" s="363">
        <f t="shared" si="70"/>
        <v>2000</v>
      </c>
      <c r="BB82" s="363">
        <f t="shared" si="71"/>
        <v>4440</v>
      </c>
      <c r="BC82" s="363">
        <f t="shared" si="71"/>
        <v>6290</v>
      </c>
      <c r="BD82" s="363">
        <f t="shared" si="71"/>
        <v>9598</v>
      </c>
      <c r="BE82" s="363">
        <f t="shared" si="71"/>
        <v>9572</v>
      </c>
      <c r="BF82" s="391"/>
    </row>
    <row r="83" spans="1:59" s="10" customFormat="1" x14ac:dyDescent="0.2">
      <c r="A83" s="69"/>
      <c r="B83" s="25" t="s">
        <v>795</v>
      </c>
      <c r="C83" s="171">
        <v>1300</v>
      </c>
      <c r="D83" s="171">
        <v>1300</v>
      </c>
      <c r="E83" s="171">
        <v>1300</v>
      </c>
      <c r="F83" s="171">
        <f>1300-1300</f>
        <v>0</v>
      </c>
      <c r="G83" s="171">
        <v>0</v>
      </c>
      <c r="H83" s="245"/>
      <c r="I83" s="245"/>
      <c r="J83" s="245"/>
      <c r="K83" s="245"/>
      <c r="L83" s="245"/>
      <c r="M83" s="232"/>
      <c r="N83" s="232"/>
      <c r="O83" s="232"/>
      <c r="P83" s="232"/>
      <c r="Q83" s="232"/>
      <c r="R83" s="232"/>
      <c r="S83" s="232"/>
      <c r="T83" s="232"/>
      <c r="U83" s="232"/>
      <c r="V83" s="232"/>
      <c r="W83" s="232"/>
      <c r="X83" s="232"/>
      <c r="Y83" s="232"/>
      <c r="Z83" s="232"/>
      <c r="AA83" s="232"/>
      <c r="AB83" s="232"/>
      <c r="AC83" s="232"/>
      <c r="AD83" s="232"/>
      <c r="AE83" s="232"/>
      <c r="AF83" s="232"/>
      <c r="AG83" s="232"/>
      <c r="AH83" s="232"/>
      <c r="AI83" s="232"/>
      <c r="AJ83" s="232"/>
      <c r="AK83" s="232"/>
      <c r="AL83" s="232"/>
      <c r="AM83" s="232"/>
      <c r="AN83" s="232"/>
      <c r="AO83" s="232"/>
      <c r="AP83" s="232"/>
      <c r="AQ83" s="232"/>
      <c r="AR83" s="232"/>
      <c r="AS83" s="232"/>
      <c r="AT83" s="232"/>
      <c r="AU83" s="232"/>
      <c r="AV83" s="232"/>
      <c r="AW83" s="232"/>
      <c r="AX83" s="232"/>
      <c r="AY83" s="232"/>
      <c r="AZ83" s="232"/>
      <c r="BA83" s="363">
        <f t="shared" si="70"/>
        <v>1300</v>
      </c>
      <c r="BB83" s="363">
        <f>D83+I83+N83+S83+X83+AC83+AH83+AM83+AR83+AW83</f>
        <v>1300</v>
      </c>
      <c r="BC83" s="363">
        <f t="shared" ref="BC83:BC84" si="75">E83+J83+O83+T83+Y83+AD83+AI83+AN83+AS83+AX83</f>
        <v>1300</v>
      </c>
      <c r="BD83" s="363">
        <f t="shared" ref="BD83:BE85" si="76">F83+K83+P83+U83+Z83+AE83+AJ83+AO83+AT83+AY83</f>
        <v>0</v>
      </c>
      <c r="BE83" s="363">
        <f t="shared" si="71"/>
        <v>0</v>
      </c>
      <c r="BF83" s="391"/>
    </row>
    <row r="84" spans="1:59" s="10" customFormat="1" x14ac:dyDescent="0.2">
      <c r="A84" s="69"/>
      <c r="B84" s="25" t="s">
        <v>1200</v>
      </c>
      <c r="C84" s="171">
        <v>0</v>
      </c>
      <c r="D84" s="171">
        <v>9815</v>
      </c>
      <c r="E84" s="171">
        <v>9815</v>
      </c>
      <c r="F84" s="171">
        <v>9815</v>
      </c>
      <c r="G84" s="942">
        <v>12564</v>
      </c>
      <c r="H84" s="245"/>
      <c r="I84" s="245"/>
      <c r="J84" s="245"/>
      <c r="K84" s="245"/>
      <c r="L84" s="245"/>
      <c r="M84" s="232"/>
      <c r="N84" s="232"/>
      <c r="O84" s="232"/>
      <c r="P84" s="232"/>
      <c r="Q84" s="232"/>
      <c r="R84" s="171"/>
      <c r="S84" s="171"/>
      <c r="T84" s="171"/>
      <c r="U84" s="171"/>
      <c r="V84" s="171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Q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363">
        <f t="shared" ref="BA84" si="77">C84+H84+M84+R84+W84+AB84+AG84+AL84+AQ84+AV84</f>
        <v>0</v>
      </c>
      <c r="BB84" s="363">
        <f>D84+I84+N84+S84+X84+AC84+AH84+AM84+AR84+AW84</f>
        <v>9815</v>
      </c>
      <c r="BC84" s="363">
        <f t="shared" si="75"/>
        <v>9815</v>
      </c>
      <c r="BD84" s="363">
        <f t="shared" si="76"/>
        <v>9815</v>
      </c>
      <c r="BE84" s="363">
        <f t="shared" si="76"/>
        <v>12564</v>
      </c>
      <c r="BF84" s="391"/>
    </row>
    <row r="85" spans="1:59" s="10" customFormat="1" x14ac:dyDescent="0.2">
      <c r="A85" s="69"/>
      <c r="B85" s="25" t="s">
        <v>1306</v>
      </c>
      <c r="C85" s="171">
        <v>0</v>
      </c>
      <c r="D85" s="171">
        <v>0</v>
      </c>
      <c r="E85" s="171">
        <f>1231+1518</f>
        <v>2749</v>
      </c>
      <c r="F85" s="171">
        <f>1231+1518</f>
        <v>2749</v>
      </c>
      <c r="G85" s="944"/>
      <c r="H85" s="245"/>
      <c r="I85" s="245"/>
      <c r="J85" s="245"/>
      <c r="K85" s="245"/>
      <c r="L85" s="245"/>
      <c r="M85" s="232"/>
      <c r="N85" s="232"/>
      <c r="O85" s="232"/>
      <c r="P85" s="232"/>
      <c r="Q85" s="232"/>
      <c r="R85" s="171"/>
      <c r="S85" s="171"/>
      <c r="T85" s="171"/>
      <c r="U85" s="171"/>
      <c r="V85" s="171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P85" s="232"/>
      <c r="AQ85" s="232"/>
      <c r="AR85" s="232"/>
      <c r="AS85" s="232"/>
      <c r="AT85" s="232"/>
      <c r="AU85" s="232"/>
      <c r="AV85" s="232"/>
      <c r="AW85" s="232"/>
      <c r="AX85" s="232"/>
      <c r="AY85" s="232"/>
      <c r="AZ85" s="232"/>
      <c r="BA85" s="363">
        <f t="shared" si="70"/>
        <v>0</v>
      </c>
      <c r="BB85" s="363">
        <f>D85+I85+N85+S85+X85+AC85+AH85+AM85+AR85+AW85</f>
        <v>0</v>
      </c>
      <c r="BC85" s="363">
        <f t="shared" ref="BB85:BE101" si="78">E85+J85+O85+T85+Y85+AD85+AI85+AN85+AS85+AX85</f>
        <v>2749</v>
      </c>
      <c r="BD85" s="363">
        <f t="shared" si="78"/>
        <v>2749</v>
      </c>
      <c r="BE85" s="363">
        <f t="shared" si="76"/>
        <v>0</v>
      </c>
      <c r="BF85" s="391"/>
    </row>
    <row r="86" spans="1:59" s="10" customFormat="1" x14ac:dyDescent="0.2">
      <c r="A86" s="347" t="s">
        <v>276</v>
      </c>
      <c r="B86" s="29" t="s">
        <v>261</v>
      </c>
      <c r="C86" s="88">
        <f t="shared" ref="C86:AD86" si="79">SUM(C87:C88)</f>
        <v>1000</v>
      </c>
      <c r="D86" s="88">
        <f>SUM(D87:D88)</f>
        <v>1000</v>
      </c>
      <c r="E86" s="88">
        <f>SUM(E87:E88)</f>
        <v>1000</v>
      </c>
      <c r="F86" s="88">
        <f>SUM(F87:F88)</f>
        <v>525</v>
      </c>
      <c r="G86" s="88">
        <f t="shared" ref="G86:L86" si="80">SUM(G87:G88)</f>
        <v>225</v>
      </c>
      <c r="H86" s="88">
        <f t="shared" si="80"/>
        <v>30</v>
      </c>
      <c r="I86" s="88">
        <f t="shared" si="80"/>
        <v>30</v>
      </c>
      <c r="J86" s="88">
        <f t="shared" si="80"/>
        <v>30</v>
      </c>
      <c r="K86" s="88">
        <f t="shared" ref="K86" si="81">SUM(K87:K88)</f>
        <v>30</v>
      </c>
      <c r="L86" s="88">
        <f t="shared" si="80"/>
        <v>16</v>
      </c>
      <c r="M86" s="88">
        <f t="shared" si="79"/>
        <v>0</v>
      </c>
      <c r="N86" s="88">
        <f t="shared" si="79"/>
        <v>0</v>
      </c>
      <c r="O86" s="88">
        <f t="shared" ref="O86:P86" si="82">SUM(O87:O88)</f>
        <v>0</v>
      </c>
      <c r="P86" s="88">
        <f t="shared" si="82"/>
        <v>0</v>
      </c>
      <c r="Q86" s="88">
        <f>SUM(Q87:Q88)</f>
        <v>0</v>
      </c>
      <c r="R86" s="88">
        <f t="shared" si="79"/>
        <v>0</v>
      </c>
      <c r="S86" s="88">
        <f t="shared" si="79"/>
        <v>0</v>
      </c>
      <c r="T86" s="88">
        <f t="shared" ref="T86:U86" si="83">SUM(T87:T88)</f>
        <v>0</v>
      </c>
      <c r="U86" s="88">
        <f t="shared" si="83"/>
        <v>0</v>
      </c>
      <c r="V86" s="88">
        <f>SUM(V87:V88)</f>
        <v>0</v>
      </c>
      <c r="W86" s="88">
        <f t="shared" si="79"/>
        <v>150</v>
      </c>
      <c r="X86" s="88">
        <f t="shared" si="79"/>
        <v>150</v>
      </c>
      <c r="Y86" s="88">
        <f t="shared" si="79"/>
        <v>150</v>
      </c>
      <c r="Z86" s="88">
        <f>SUM(Z87:Z88)</f>
        <v>150</v>
      </c>
      <c r="AA86" s="88">
        <f>SUM(AA87:AA88)</f>
        <v>0</v>
      </c>
      <c r="AB86" s="88">
        <f t="shared" si="79"/>
        <v>0</v>
      </c>
      <c r="AC86" s="88">
        <f t="shared" si="79"/>
        <v>0</v>
      </c>
      <c r="AD86" s="88">
        <f t="shared" si="79"/>
        <v>0</v>
      </c>
      <c r="AE86" s="88">
        <f t="shared" ref="AE86:AZ86" si="84">SUM(AE87:AE88)</f>
        <v>0</v>
      </c>
      <c r="AF86" s="88">
        <f t="shared" si="84"/>
        <v>0</v>
      </c>
      <c r="AG86" s="88">
        <f t="shared" si="84"/>
        <v>0</v>
      </c>
      <c r="AH86" s="88">
        <f t="shared" si="84"/>
        <v>0</v>
      </c>
      <c r="AI86" s="88">
        <f>SUM(AI87:AI88)</f>
        <v>0</v>
      </c>
      <c r="AJ86" s="88">
        <f t="shared" si="84"/>
        <v>0</v>
      </c>
      <c r="AK86" s="88">
        <f t="shared" si="84"/>
        <v>0</v>
      </c>
      <c r="AL86" s="88">
        <f t="shared" si="84"/>
        <v>0</v>
      </c>
      <c r="AM86" s="88">
        <f>SUM(AM87:AM88)</f>
        <v>0</v>
      </c>
      <c r="AN86" s="88">
        <f>SUM(AN87:AN88)</f>
        <v>0</v>
      </c>
      <c r="AO86" s="88">
        <f>SUM(AO87:AO88)</f>
        <v>0</v>
      </c>
      <c r="AP86" s="88">
        <f t="shared" si="84"/>
        <v>0</v>
      </c>
      <c r="AQ86" s="88">
        <f t="shared" si="84"/>
        <v>0</v>
      </c>
      <c r="AR86" s="88">
        <f>SUM(AR87:AR88)</f>
        <v>0</v>
      </c>
      <c r="AS86" s="88">
        <f>SUM(AS87:AS88)</f>
        <v>0</v>
      </c>
      <c r="AT86" s="88">
        <f>SUM(AT87:AT88)</f>
        <v>0</v>
      </c>
      <c r="AU86" s="88">
        <f t="shared" si="84"/>
        <v>0</v>
      </c>
      <c r="AV86" s="88">
        <f t="shared" si="84"/>
        <v>0</v>
      </c>
      <c r="AW86" s="88">
        <f t="shared" si="84"/>
        <v>0</v>
      </c>
      <c r="AX86" s="88">
        <f t="shared" si="84"/>
        <v>0</v>
      </c>
      <c r="AY86" s="88">
        <f t="shared" ref="AY86" si="85">SUM(AY87:AY88)</f>
        <v>0</v>
      </c>
      <c r="AZ86" s="88">
        <f t="shared" si="84"/>
        <v>0</v>
      </c>
      <c r="BA86" s="913">
        <f t="shared" si="70"/>
        <v>1180</v>
      </c>
      <c r="BB86" s="913">
        <f t="shared" si="78"/>
        <v>1180</v>
      </c>
      <c r="BC86" s="913">
        <f t="shared" si="78"/>
        <v>1180</v>
      </c>
      <c r="BD86" s="913">
        <f t="shared" si="78"/>
        <v>705</v>
      </c>
      <c r="BE86" s="913">
        <f t="shared" si="78"/>
        <v>241</v>
      </c>
      <c r="BF86" s="391">
        <f>SUM(BA87:BA88)</f>
        <v>1180</v>
      </c>
    </row>
    <row r="87" spans="1:59" s="10" customFormat="1" x14ac:dyDescent="0.2">
      <c r="A87" s="69" t="s">
        <v>277</v>
      </c>
      <c r="B87" s="25" t="s">
        <v>300</v>
      </c>
      <c r="C87" s="171"/>
      <c r="D87" s="171"/>
      <c r="E87" s="171"/>
      <c r="F87" s="171"/>
      <c r="G87" s="171"/>
      <c r="H87" s="171">
        <v>30</v>
      </c>
      <c r="I87" s="171">
        <v>30</v>
      </c>
      <c r="J87" s="171">
        <v>30</v>
      </c>
      <c r="K87" s="171">
        <v>30</v>
      </c>
      <c r="L87" s="171">
        <v>16</v>
      </c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>
        <v>100</v>
      </c>
      <c r="X87" s="232">
        <v>100</v>
      </c>
      <c r="Y87" s="232">
        <v>100</v>
      </c>
      <c r="Z87" s="232">
        <v>100</v>
      </c>
      <c r="AA87" s="232">
        <v>0</v>
      </c>
      <c r="AB87" s="232"/>
      <c r="AC87" s="232"/>
      <c r="AD87" s="232"/>
      <c r="AE87" s="232"/>
      <c r="AF87" s="232"/>
      <c r="AG87" s="232"/>
      <c r="AH87" s="232"/>
      <c r="AI87" s="232"/>
      <c r="AJ87" s="232"/>
      <c r="AK87" s="232"/>
      <c r="AL87" s="232"/>
      <c r="AM87" s="232"/>
      <c r="AN87" s="232"/>
      <c r="AO87" s="232"/>
      <c r="AP87" s="232"/>
      <c r="AQ87" s="232"/>
      <c r="AR87" s="232"/>
      <c r="AS87" s="232"/>
      <c r="AT87" s="232"/>
      <c r="AU87" s="232"/>
      <c r="AV87" s="232"/>
      <c r="AW87" s="232"/>
      <c r="AX87" s="232"/>
      <c r="AY87" s="232"/>
      <c r="AZ87" s="232"/>
      <c r="BA87" s="363">
        <f t="shared" si="70"/>
        <v>130</v>
      </c>
      <c r="BB87" s="363">
        <f t="shared" si="78"/>
        <v>130</v>
      </c>
      <c r="BC87" s="363">
        <f t="shared" si="78"/>
        <v>130</v>
      </c>
      <c r="BD87" s="363">
        <f t="shared" si="78"/>
        <v>130</v>
      </c>
      <c r="BE87" s="363">
        <f t="shared" si="78"/>
        <v>16</v>
      </c>
      <c r="BF87" s="391"/>
    </row>
    <row r="88" spans="1:59" s="10" customFormat="1" x14ac:dyDescent="0.2">
      <c r="A88" s="69" t="s">
        <v>278</v>
      </c>
      <c r="B88" s="25" t="s">
        <v>314</v>
      </c>
      <c r="C88" s="171">
        <v>1000</v>
      </c>
      <c r="D88" s="171">
        <v>1000</v>
      </c>
      <c r="E88" s="171">
        <v>1000</v>
      </c>
      <c r="F88" s="171">
        <f>1000-475</f>
        <v>525</v>
      </c>
      <c r="G88" s="171">
        <v>225</v>
      </c>
      <c r="H88" s="245"/>
      <c r="I88" s="245"/>
      <c r="J88" s="245"/>
      <c r="K88" s="245"/>
      <c r="L88" s="245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>
        <v>50</v>
      </c>
      <c r="X88" s="232">
        <v>50</v>
      </c>
      <c r="Y88" s="232">
        <v>50</v>
      </c>
      <c r="Z88" s="232">
        <v>50</v>
      </c>
      <c r="AA88" s="232">
        <v>0</v>
      </c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2"/>
      <c r="AY88" s="232"/>
      <c r="AZ88" s="232"/>
      <c r="BA88" s="363">
        <f t="shared" si="70"/>
        <v>1050</v>
      </c>
      <c r="BB88" s="363">
        <f t="shared" si="78"/>
        <v>1050</v>
      </c>
      <c r="BC88" s="363">
        <f t="shared" si="78"/>
        <v>1050</v>
      </c>
      <c r="BD88" s="363">
        <f t="shared" si="78"/>
        <v>575</v>
      </c>
      <c r="BE88" s="363">
        <f t="shared" si="78"/>
        <v>225</v>
      </c>
      <c r="BF88" s="391"/>
    </row>
    <row r="89" spans="1:59" x14ac:dyDescent="0.2">
      <c r="A89" s="347" t="s">
        <v>279</v>
      </c>
      <c r="B89" s="29" t="s">
        <v>262</v>
      </c>
      <c r="C89" s="88">
        <f t="shared" ref="C89:AH89" si="86">SUM(C90:C96)</f>
        <v>179336</v>
      </c>
      <c r="D89" s="88">
        <f>SUM(D90:D96)</f>
        <v>183586</v>
      </c>
      <c r="E89" s="88">
        <f>SUM(E90:E96)</f>
        <v>187978</v>
      </c>
      <c r="F89" s="88">
        <f>SUM(F90:F96)</f>
        <v>187681</v>
      </c>
      <c r="G89" s="88">
        <f t="shared" si="86"/>
        <v>54452</v>
      </c>
      <c r="H89" s="88">
        <f t="shared" si="86"/>
        <v>100</v>
      </c>
      <c r="I89" s="88">
        <f t="shared" si="86"/>
        <v>125</v>
      </c>
      <c r="J89" s="88">
        <f t="shared" si="86"/>
        <v>125</v>
      </c>
      <c r="K89" s="88">
        <f t="shared" ref="K89" si="87">SUM(K90:K96)</f>
        <v>139</v>
      </c>
      <c r="L89" s="88">
        <f t="shared" si="86"/>
        <v>107</v>
      </c>
      <c r="M89" s="88">
        <f t="shared" si="86"/>
        <v>5594</v>
      </c>
      <c r="N89" s="88">
        <f t="shared" si="86"/>
        <v>5594</v>
      </c>
      <c r="O89" s="88">
        <f t="shared" ref="O89:P89" si="88">SUM(O90:O96)</f>
        <v>5594</v>
      </c>
      <c r="P89" s="88">
        <f t="shared" si="88"/>
        <v>6722</v>
      </c>
      <c r="Q89" s="88">
        <f t="shared" si="86"/>
        <v>6722</v>
      </c>
      <c r="R89" s="88">
        <f t="shared" si="86"/>
        <v>750</v>
      </c>
      <c r="S89" s="88">
        <f t="shared" si="86"/>
        <v>770</v>
      </c>
      <c r="T89" s="88">
        <f t="shared" ref="T89:U89" si="89">SUM(T90:T96)</f>
        <v>770</v>
      </c>
      <c r="U89" s="88">
        <f t="shared" si="89"/>
        <v>846</v>
      </c>
      <c r="V89" s="88">
        <f t="shared" si="86"/>
        <v>786</v>
      </c>
      <c r="W89" s="88">
        <f t="shared" si="86"/>
        <v>1200</v>
      </c>
      <c r="X89" s="88">
        <f t="shared" si="86"/>
        <v>1200</v>
      </c>
      <c r="Y89" s="88">
        <f t="shared" si="86"/>
        <v>1200</v>
      </c>
      <c r="Z89" s="88">
        <f t="shared" si="86"/>
        <v>1200</v>
      </c>
      <c r="AA89" s="88">
        <f t="shared" si="86"/>
        <v>861</v>
      </c>
      <c r="AB89" s="88">
        <f t="shared" si="86"/>
        <v>1782</v>
      </c>
      <c r="AC89" s="88">
        <f t="shared" si="86"/>
        <v>1782</v>
      </c>
      <c r="AD89" s="88">
        <f t="shared" si="86"/>
        <v>1782</v>
      </c>
      <c r="AE89" s="88">
        <f t="shared" si="86"/>
        <v>2275</v>
      </c>
      <c r="AF89" s="88">
        <f t="shared" si="86"/>
        <v>2274</v>
      </c>
      <c r="AG89" s="88">
        <f t="shared" si="86"/>
        <v>0</v>
      </c>
      <c r="AH89" s="88">
        <f t="shared" si="86"/>
        <v>0</v>
      </c>
      <c r="AI89" s="88">
        <f t="shared" ref="AI89:AZ89" si="90">SUM(AI90:AI96)</f>
        <v>320</v>
      </c>
      <c r="AJ89" s="88">
        <f t="shared" si="90"/>
        <v>483</v>
      </c>
      <c r="AK89" s="88">
        <f t="shared" si="90"/>
        <v>482</v>
      </c>
      <c r="AL89" s="88">
        <f t="shared" si="90"/>
        <v>0</v>
      </c>
      <c r="AM89" s="88">
        <f t="shared" si="90"/>
        <v>0</v>
      </c>
      <c r="AN89" s="88">
        <f t="shared" si="90"/>
        <v>0</v>
      </c>
      <c r="AO89" s="88">
        <f t="shared" si="90"/>
        <v>0</v>
      </c>
      <c r="AP89" s="88">
        <f t="shared" si="90"/>
        <v>0</v>
      </c>
      <c r="AQ89" s="88">
        <f t="shared" si="90"/>
        <v>20</v>
      </c>
      <c r="AR89" s="88">
        <f t="shared" si="90"/>
        <v>0</v>
      </c>
      <c r="AS89" s="88">
        <f t="shared" si="90"/>
        <v>0</v>
      </c>
      <c r="AT89" s="88">
        <f t="shared" si="90"/>
        <v>0</v>
      </c>
      <c r="AU89" s="88">
        <f t="shared" si="90"/>
        <v>0</v>
      </c>
      <c r="AV89" s="88">
        <f t="shared" si="90"/>
        <v>550</v>
      </c>
      <c r="AW89" s="88">
        <f t="shared" si="90"/>
        <v>525</v>
      </c>
      <c r="AX89" s="88">
        <f t="shared" si="90"/>
        <v>525</v>
      </c>
      <c r="AY89" s="88">
        <f t="shared" ref="AY89" si="91">SUM(AY90:AY96)</f>
        <v>525</v>
      </c>
      <c r="AZ89" s="88">
        <f t="shared" si="90"/>
        <v>114</v>
      </c>
      <c r="BA89" s="913">
        <f t="shared" si="70"/>
        <v>189332</v>
      </c>
      <c r="BB89" s="913">
        <f t="shared" si="78"/>
        <v>193582</v>
      </c>
      <c r="BC89" s="913">
        <f t="shared" si="78"/>
        <v>198294</v>
      </c>
      <c r="BD89" s="913">
        <f t="shared" si="78"/>
        <v>199871</v>
      </c>
      <c r="BE89" s="913">
        <f t="shared" si="78"/>
        <v>65798</v>
      </c>
      <c r="BF89" s="391">
        <f>SUM(BA90:BA96)</f>
        <v>189332</v>
      </c>
      <c r="BG89" s="86"/>
    </row>
    <row r="90" spans="1:59" x14ac:dyDescent="0.2">
      <c r="A90" s="69" t="s">
        <v>280</v>
      </c>
      <c r="B90" s="25" t="s">
        <v>290</v>
      </c>
      <c r="C90" s="171">
        <f>(6000+9511)</f>
        <v>15511</v>
      </c>
      <c r="D90" s="171">
        <f>(6000+9511)+2650+97</f>
        <v>18258</v>
      </c>
      <c r="E90" s="171">
        <f>((6000+9511)+2650+97)+255+255+2673+170+269+410</f>
        <v>22290</v>
      </c>
      <c r="F90" s="171">
        <f>(((6000+9511)+2650+97)+255+255+2673+170+269+410)-14-1128-76-493-163</f>
        <v>20416</v>
      </c>
      <c r="G90" s="171">
        <v>12354</v>
      </c>
      <c r="H90" s="171">
        <v>50</v>
      </c>
      <c r="I90" s="171">
        <v>50</v>
      </c>
      <c r="J90" s="171">
        <v>50</v>
      </c>
      <c r="K90" s="171">
        <f>50+14</f>
        <v>64</v>
      </c>
      <c r="L90" s="171">
        <v>63</v>
      </c>
      <c r="M90" s="232">
        <f>(2160+3434)</f>
        <v>5594</v>
      </c>
      <c r="N90" s="232">
        <f>(2160+3434)</f>
        <v>5594</v>
      </c>
      <c r="O90" s="232">
        <f>(2160+3434)</f>
        <v>5594</v>
      </c>
      <c r="P90" s="232">
        <f>(2160+3434)+1128</f>
        <v>6722</v>
      </c>
      <c r="Q90" s="232">
        <v>6722</v>
      </c>
      <c r="R90" s="232">
        <v>700</v>
      </c>
      <c r="S90" s="232">
        <f>700+10</f>
        <v>710</v>
      </c>
      <c r="T90" s="232">
        <f>700+10</f>
        <v>710</v>
      </c>
      <c r="U90" s="232">
        <f>700+10+76</f>
        <v>786</v>
      </c>
      <c r="V90" s="232">
        <v>786</v>
      </c>
      <c r="W90" s="232">
        <v>1200</v>
      </c>
      <c r="X90" s="232">
        <v>1200</v>
      </c>
      <c r="Y90" s="232">
        <v>1200</v>
      </c>
      <c r="Z90" s="232">
        <v>1200</v>
      </c>
      <c r="AA90" s="232">
        <v>861</v>
      </c>
      <c r="AB90" s="232">
        <v>1782</v>
      </c>
      <c r="AC90" s="232">
        <v>1782</v>
      </c>
      <c r="AD90" s="232">
        <v>1782</v>
      </c>
      <c r="AE90" s="232">
        <f>1782+493</f>
        <v>2275</v>
      </c>
      <c r="AF90" s="232">
        <v>2274</v>
      </c>
      <c r="AG90" s="232">
        <v>0</v>
      </c>
      <c r="AH90" s="232">
        <v>0</v>
      </c>
      <c r="AI90" s="232">
        <v>320</v>
      </c>
      <c r="AJ90" s="232">
        <f>320+163</f>
        <v>483</v>
      </c>
      <c r="AK90" s="232">
        <v>482</v>
      </c>
      <c r="AL90" s="232"/>
      <c r="AM90" s="232"/>
      <c r="AN90" s="232"/>
      <c r="AO90" s="232"/>
      <c r="AP90" s="232"/>
      <c r="AQ90" s="232">
        <v>10</v>
      </c>
      <c r="AR90" s="232">
        <f>10-10</f>
        <v>0</v>
      </c>
      <c r="AS90" s="232">
        <f>10-10</f>
        <v>0</v>
      </c>
      <c r="AT90" s="232">
        <v>0</v>
      </c>
      <c r="AU90" s="232">
        <v>0</v>
      </c>
      <c r="AV90" s="232">
        <v>350</v>
      </c>
      <c r="AW90" s="232">
        <v>350</v>
      </c>
      <c r="AX90" s="232">
        <v>350</v>
      </c>
      <c r="AY90" s="232">
        <v>350</v>
      </c>
      <c r="AZ90" s="232">
        <v>65</v>
      </c>
      <c r="BA90" s="363">
        <f t="shared" si="70"/>
        <v>25197</v>
      </c>
      <c r="BB90" s="363">
        <f t="shared" si="78"/>
        <v>27944</v>
      </c>
      <c r="BC90" s="363">
        <f t="shared" si="78"/>
        <v>32296</v>
      </c>
      <c r="BD90" s="363">
        <f t="shared" si="78"/>
        <v>32296</v>
      </c>
      <c r="BE90" s="363">
        <f t="shared" si="78"/>
        <v>23607</v>
      </c>
      <c r="BF90" s="391"/>
    </row>
    <row r="91" spans="1:59" x14ac:dyDescent="0.2">
      <c r="A91" s="69" t="s">
        <v>281</v>
      </c>
      <c r="B91" s="787" t="s">
        <v>939</v>
      </c>
      <c r="C91" s="647">
        <v>157132</v>
      </c>
      <c r="D91" s="647">
        <v>157132</v>
      </c>
      <c r="E91" s="647">
        <v>157132</v>
      </c>
      <c r="F91" s="647">
        <f>AQ116</f>
        <v>157132</v>
      </c>
      <c r="G91" s="647">
        <v>32441</v>
      </c>
      <c r="H91" s="245"/>
      <c r="I91" s="245"/>
      <c r="J91" s="245"/>
      <c r="K91" s="245"/>
      <c r="L91" s="245"/>
      <c r="M91" s="232"/>
      <c r="N91" s="232"/>
      <c r="O91" s="232"/>
      <c r="P91" s="232"/>
      <c r="Q91" s="232"/>
      <c r="R91" s="232"/>
      <c r="S91" s="232"/>
      <c r="T91" s="232"/>
      <c r="U91" s="232"/>
      <c r="V91" s="232"/>
      <c r="W91" s="232"/>
      <c r="X91" s="232"/>
      <c r="Y91" s="232"/>
      <c r="Z91" s="232"/>
      <c r="AA91" s="232"/>
      <c r="AB91" s="232"/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  <c r="AU91" s="232"/>
      <c r="AV91" s="232"/>
      <c r="AW91" s="232"/>
      <c r="AX91" s="232"/>
      <c r="AY91" s="232"/>
      <c r="AZ91" s="232"/>
      <c r="BA91" s="363">
        <f t="shared" si="70"/>
        <v>157132</v>
      </c>
      <c r="BB91" s="363">
        <f t="shared" si="78"/>
        <v>157132</v>
      </c>
      <c r="BC91" s="363">
        <f t="shared" si="78"/>
        <v>157132</v>
      </c>
      <c r="BD91" s="363">
        <f t="shared" si="78"/>
        <v>157132</v>
      </c>
      <c r="BE91" s="363">
        <f t="shared" si="78"/>
        <v>32441</v>
      </c>
      <c r="BF91" s="391"/>
    </row>
    <row r="92" spans="1:59" x14ac:dyDescent="0.2">
      <c r="A92" s="69" t="s">
        <v>282</v>
      </c>
      <c r="B92" s="25" t="s">
        <v>934</v>
      </c>
      <c r="C92" s="171">
        <v>3643</v>
      </c>
      <c r="D92" s="171">
        <v>3643</v>
      </c>
      <c r="E92" s="171">
        <v>3643</v>
      </c>
      <c r="F92" s="171">
        <f>3643+1281</f>
        <v>4924</v>
      </c>
      <c r="G92" s="171">
        <v>4923</v>
      </c>
      <c r="H92" s="245"/>
      <c r="I92" s="245"/>
      <c r="J92" s="245"/>
      <c r="K92" s="245"/>
      <c r="L92" s="245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  <c r="AA92" s="232"/>
      <c r="AB92" s="232"/>
      <c r="AC92" s="232"/>
      <c r="AD92" s="232"/>
      <c r="AE92" s="232"/>
      <c r="AF92" s="232"/>
      <c r="AG92" s="232"/>
      <c r="AH92" s="232"/>
      <c r="AI92" s="232"/>
      <c r="AJ92" s="232"/>
      <c r="AK92" s="232"/>
      <c r="AL92" s="232"/>
      <c r="AM92" s="232"/>
      <c r="AN92" s="232"/>
      <c r="AO92" s="232"/>
      <c r="AP92" s="232"/>
      <c r="AQ92" s="232"/>
      <c r="AR92" s="232"/>
      <c r="AS92" s="232"/>
      <c r="AT92" s="232"/>
      <c r="AU92" s="232"/>
      <c r="AV92" s="232"/>
      <c r="AW92" s="232"/>
      <c r="AX92" s="232"/>
      <c r="AY92" s="232"/>
      <c r="AZ92" s="232"/>
      <c r="BA92" s="363">
        <f t="shared" si="70"/>
        <v>3643</v>
      </c>
      <c r="BB92" s="363">
        <f t="shared" si="78"/>
        <v>3643</v>
      </c>
      <c r="BC92" s="363">
        <f t="shared" si="78"/>
        <v>3643</v>
      </c>
      <c r="BD92" s="363">
        <f t="shared" si="78"/>
        <v>4924</v>
      </c>
      <c r="BE92" s="363">
        <f t="shared" si="78"/>
        <v>4923</v>
      </c>
      <c r="BF92" s="391"/>
    </row>
    <row r="93" spans="1:59" x14ac:dyDescent="0.2">
      <c r="A93" s="69" t="s">
        <v>284</v>
      </c>
      <c r="B93" s="25" t="s">
        <v>59</v>
      </c>
      <c r="C93" s="171"/>
      <c r="D93" s="171"/>
      <c r="E93" s="171"/>
      <c r="F93" s="171"/>
      <c r="G93" s="171"/>
      <c r="H93" s="171">
        <v>25</v>
      </c>
      <c r="I93" s="171">
        <f>25+25</f>
        <v>50</v>
      </c>
      <c r="J93" s="171">
        <f>25+25</f>
        <v>50</v>
      </c>
      <c r="K93" s="171">
        <f>25+25</f>
        <v>50</v>
      </c>
      <c r="L93" s="171">
        <v>31</v>
      </c>
      <c r="M93" s="171"/>
      <c r="N93" s="171"/>
      <c r="O93" s="171"/>
      <c r="P93" s="171"/>
      <c r="Q93" s="171"/>
      <c r="R93" s="171">
        <v>25</v>
      </c>
      <c r="S93" s="171">
        <v>25</v>
      </c>
      <c r="T93" s="171">
        <v>25</v>
      </c>
      <c r="U93" s="171">
        <v>25</v>
      </c>
      <c r="V93" s="171">
        <v>0</v>
      </c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>
        <v>100</v>
      </c>
      <c r="AW93" s="171">
        <f>100-25</f>
        <v>75</v>
      </c>
      <c r="AX93" s="171">
        <f>100-25</f>
        <v>75</v>
      </c>
      <c r="AY93" s="171">
        <f>100-25</f>
        <v>75</v>
      </c>
      <c r="AZ93" s="171">
        <v>0</v>
      </c>
      <c r="BA93" s="363">
        <f t="shared" si="70"/>
        <v>150</v>
      </c>
      <c r="BB93" s="363">
        <f t="shared" si="78"/>
        <v>150</v>
      </c>
      <c r="BC93" s="363">
        <f t="shared" si="78"/>
        <v>150</v>
      </c>
      <c r="BD93" s="363">
        <f t="shared" si="78"/>
        <v>150</v>
      </c>
      <c r="BE93" s="363">
        <f t="shared" si="78"/>
        <v>31</v>
      </c>
      <c r="BF93" s="391"/>
    </row>
    <row r="94" spans="1:59" x14ac:dyDescent="0.2">
      <c r="A94" s="69"/>
      <c r="B94" s="25" t="s">
        <v>933</v>
      </c>
      <c r="C94" s="171">
        <v>50</v>
      </c>
      <c r="D94" s="171">
        <v>50</v>
      </c>
      <c r="E94" s="171">
        <f>50+20</f>
        <v>70</v>
      </c>
      <c r="F94" s="171">
        <f>50+20</f>
        <v>70</v>
      </c>
      <c r="G94" s="171">
        <v>70</v>
      </c>
      <c r="H94" s="245"/>
      <c r="I94" s="245"/>
      <c r="J94" s="245"/>
      <c r="K94" s="245"/>
      <c r="L94" s="245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2"/>
      <c r="AD94" s="232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232"/>
      <c r="AR94" s="232"/>
      <c r="AS94" s="232"/>
      <c r="AT94" s="232"/>
      <c r="AU94" s="232"/>
      <c r="AV94" s="232"/>
      <c r="AW94" s="232"/>
      <c r="AX94" s="232"/>
      <c r="AY94" s="232"/>
      <c r="AZ94" s="232"/>
      <c r="BA94" s="363">
        <f t="shared" si="70"/>
        <v>50</v>
      </c>
      <c r="BB94" s="363">
        <f t="shared" si="78"/>
        <v>50</v>
      </c>
      <c r="BC94" s="363">
        <f t="shared" si="78"/>
        <v>70</v>
      </c>
      <c r="BD94" s="363">
        <f t="shared" si="78"/>
        <v>70</v>
      </c>
      <c r="BE94" s="363">
        <f t="shared" si="78"/>
        <v>70</v>
      </c>
      <c r="BF94" s="391"/>
    </row>
    <row r="95" spans="1:59" x14ac:dyDescent="0.2">
      <c r="A95" s="69"/>
      <c r="B95" s="25" t="s">
        <v>942</v>
      </c>
      <c r="C95" s="171">
        <v>3000</v>
      </c>
      <c r="D95" s="171">
        <f>3000+143+1000</f>
        <v>4143</v>
      </c>
      <c r="E95" s="171">
        <f>3000+143+1000+360-20</f>
        <v>4483</v>
      </c>
      <c r="F95" s="171">
        <f>(3000+143+1000+360-20)+296</f>
        <v>4779</v>
      </c>
      <c r="G95" s="171">
        <v>4484</v>
      </c>
      <c r="H95" s="171">
        <v>25</v>
      </c>
      <c r="I95" s="171">
        <v>25</v>
      </c>
      <c r="J95" s="171">
        <v>25</v>
      </c>
      <c r="K95" s="171">
        <v>25</v>
      </c>
      <c r="L95" s="171">
        <v>13</v>
      </c>
      <c r="M95" s="232"/>
      <c r="N95" s="232"/>
      <c r="O95" s="232"/>
      <c r="P95" s="232"/>
      <c r="Q95" s="232"/>
      <c r="R95" s="232">
        <v>25</v>
      </c>
      <c r="S95" s="232">
        <f>25+10</f>
        <v>35</v>
      </c>
      <c r="T95" s="232">
        <f>25+10</f>
        <v>35</v>
      </c>
      <c r="U95" s="232">
        <f>25+10</f>
        <v>35</v>
      </c>
      <c r="V95" s="232">
        <v>0</v>
      </c>
      <c r="W95" s="232"/>
      <c r="X95" s="232"/>
      <c r="Y95" s="232"/>
      <c r="Z95" s="232"/>
      <c r="AA95" s="232"/>
      <c r="AB95" s="232"/>
      <c r="AC95" s="232"/>
      <c r="AD95" s="232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  <c r="AQ95" s="232">
        <v>10</v>
      </c>
      <c r="AR95" s="232">
        <f>10-10</f>
        <v>0</v>
      </c>
      <c r="AS95" s="232">
        <f>10-10</f>
        <v>0</v>
      </c>
      <c r="AT95" s="232">
        <v>0</v>
      </c>
      <c r="AU95" s="232">
        <v>0</v>
      </c>
      <c r="AV95" s="232">
        <v>100</v>
      </c>
      <c r="AW95" s="232">
        <v>100</v>
      </c>
      <c r="AX95" s="232">
        <v>100</v>
      </c>
      <c r="AY95" s="232">
        <v>100</v>
      </c>
      <c r="AZ95" s="232">
        <v>49</v>
      </c>
      <c r="BA95" s="363">
        <f t="shared" si="70"/>
        <v>3160</v>
      </c>
      <c r="BB95" s="363">
        <f>D95+I95+N95+S95+X95+AC95+AH95+AM95+AR95+AW95</f>
        <v>4303</v>
      </c>
      <c r="BC95" s="363">
        <f t="shared" si="78"/>
        <v>4643</v>
      </c>
      <c r="BD95" s="363">
        <f t="shared" si="78"/>
        <v>4939</v>
      </c>
      <c r="BE95" s="363">
        <f t="shared" si="78"/>
        <v>4546</v>
      </c>
      <c r="BF95" s="391"/>
    </row>
    <row r="96" spans="1:59" x14ac:dyDescent="0.2">
      <c r="A96" s="69"/>
      <c r="B96" s="25" t="s">
        <v>466</v>
      </c>
      <c r="C96" s="171">
        <v>0</v>
      </c>
      <c r="D96" s="171">
        <v>360</v>
      </c>
      <c r="E96" s="171">
        <v>360</v>
      </c>
      <c r="F96" s="171">
        <v>360</v>
      </c>
      <c r="G96" s="171">
        <v>180</v>
      </c>
      <c r="H96" s="171"/>
      <c r="I96" s="171"/>
      <c r="J96" s="171"/>
      <c r="K96" s="171"/>
      <c r="L96" s="171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363">
        <f t="shared" ref="BA96:BA103" si="92">C96+H96+M96+R96+W96+AB96+AG96+AL96+AQ96+AV96</f>
        <v>0</v>
      </c>
      <c r="BB96" s="363">
        <f t="shared" si="78"/>
        <v>360</v>
      </c>
      <c r="BC96" s="363">
        <f t="shared" si="78"/>
        <v>360</v>
      </c>
      <c r="BD96" s="363">
        <f t="shared" si="78"/>
        <v>360</v>
      </c>
      <c r="BE96" s="363">
        <f t="shared" si="78"/>
        <v>180</v>
      </c>
      <c r="BF96" s="391"/>
    </row>
    <row r="97" spans="1:59" x14ac:dyDescent="0.2">
      <c r="A97" s="347" t="s">
        <v>295</v>
      </c>
      <c r="B97" s="133" t="s">
        <v>31</v>
      </c>
      <c r="C97" s="170">
        <f t="shared" ref="C97:AH97" si="93">SUM(C30+C39+C42+C86+C89)</f>
        <v>244081</v>
      </c>
      <c r="D97" s="170">
        <f t="shared" si="93"/>
        <v>260422</v>
      </c>
      <c r="E97" s="170">
        <f t="shared" si="93"/>
        <v>284506</v>
      </c>
      <c r="F97" s="170">
        <f t="shared" ref="F97" si="94">SUM(F30+F39+F42+F86+F89)</f>
        <v>285757</v>
      </c>
      <c r="G97" s="170">
        <f t="shared" si="93"/>
        <v>117600</v>
      </c>
      <c r="H97" s="170">
        <f t="shared" si="93"/>
        <v>385</v>
      </c>
      <c r="I97" s="170">
        <f t="shared" si="93"/>
        <v>419</v>
      </c>
      <c r="J97" s="170">
        <f t="shared" si="93"/>
        <v>469</v>
      </c>
      <c r="K97" s="170">
        <f t="shared" ref="K97" si="95">SUM(K30+K39+K42+K86+K89)</f>
        <v>483</v>
      </c>
      <c r="L97" s="170">
        <f t="shared" si="93"/>
        <v>370</v>
      </c>
      <c r="M97" s="170">
        <f t="shared" si="93"/>
        <v>26314</v>
      </c>
      <c r="N97" s="170">
        <f t="shared" si="93"/>
        <v>32314</v>
      </c>
      <c r="O97" s="170">
        <f t="shared" si="93"/>
        <v>32314</v>
      </c>
      <c r="P97" s="170">
        <f t="shared" ref="P97" si="96">SUM(P30+P39+P42+P86+P89)</f>
        <v>33259</v>
      </c>
      <c r="Q97" s="170">
        <f t="shared" si="93"/>
        <v>32056</v>
      </c>
      <c r="R97" s="170">
        <f t="shared" si="93"/>
        <v>13758</v>
      </c>
      <c r="S97" s="170">
        <f t="shared" si="93"/>
        <v>13853</v>
      </c>
      <c r="T97" s="170">
        <f t="shared" si="93"/>
        <v>13969</v>
      </c>
      <c r="U97" s="170">
        <f t="shared" si="93"/>
        <v>14180</v>
      </c>
      <c r="V97" s="170">
        <f t="shared" si="93"/>
        <v>13581</v>
      </c>
      <c r="W97" s="170">
        <f t="shared" si="93"/>
        <v>5681</v>
      </c>
      <c r="X97" s="170">
        <f t="shared" si="93"/>
        <v>5491</v>
      </c>
      <c r="Y97" s="170">
        <f t="shared" si="93"/>
        <v>6036</v>
      </c>
      <c r="Z97" s="170">
        <f t="shared" si="93"/>
        <v>6084</v>
      </c>
      <c r="AA97" s="170">
        <f t="shared" si="93"/>
        <v>4079</v>
      </c>
      <c r="AB97" s="170">
        <f t="shared" si="93"/>
        <v>8382</v>
      </c>
      <c r="AC97" s="170">
        <f t="shared" si="93"/>
        <v>10382</v>
      </c>
      <c r="AD97" s="170">
        <f t="shared" si="93"/>
        <v>10582</v>
      </c>
      <c r="AE97" s="170">
        <f t="shared" si="93"/>
        <v>18295</v>
      </c>
      <c r="AF97" s="170">
        <f t="shared" si="93"/>
        <v>10871</v>
      </c>
      <c r="AG97" s="170">
        <f t="shared" si="93"/>
        <v>0</v>
      </c>
      <c r="AH97" s="170">
        <f t="shared" si="93"/>
        <v>0</v>
      </c>
      <c r="AI97" s="170">
        <f t="shared" ref="AI97:AZ97" si="97">SUM(AI30+AI39+AI42+AI86+AI89)</f>
        <v>1504</v>
      </c>
      <c r="AJ97" s="170">
        <f t="shared" si="97"/>
        <v>1850</v>
      </c>
      <c r="AK97" s="170">
        <f t="shared" si="97"/>
        <v>1843</v>
      </c>
      <c r="AL97" s="170">
        <f t="shared" si="97"/>
        <v>3120</v>
      </c>
      <c r="AM97" s="170">
        <f t="shared" si="97"/>
        <v>3120</v>
      </c>
      <c r="AN97" s="170">
        <f t="shared" si="97"/>
        <v>3120</v>
      </c>
      <c r="AO97" s="170">
        <f t="shared" si="97"/>
        <v>3120</v>
      </c>
      <c r="AP97" s="170">
        <f t="shared" si="97"/>
        <v>3120</v>
      </c>
      <c r="AQ97" s="170">
        <f t="shared" si="97"/>
        <v>95</v>
      </c>
      <c r="AR97" s="170">
        <f t="shared" si="97"/>
        <v>0</v>
      </c>
      <c r="AS97" s="170">
        <f t="shared" si="97"/>
        <v>0</v>
      </c>
      <c r="AT97" s="170">
        <f t="shared" si="97"/>
        <v>0</v>
      </c>
      <c r="AU97" s="170">
        <f t="shared" si="97"/>
        <v>0</v>
      </c>
      <c r="AV97" s="170">
        <f t="shared" si="97"/>
        <v>1910</v>
      </c>
      <c r="AW97" s="170">
        <f t="shared" si="97"/>
        <v>1885</v>
      </c>
      <c r="AX97" s="170">
        <f t="shared" si="97"/>
        <v>1815</v>
      </c>
      <c r="AY97" s="170">
        <f t="shared" si="97"/>
        <v>1558</v>
      </c>
      <c r="AZ97" s="170">
        <f t="shared" si="97"/>
        <v>922</v>
      </c>
      <c r="BA97" s="170">
        <f t="shared" si="92"/>
        <v>303726</v>
      </c>
      <c r="BB97" s="170">
        <f t="shared" si="78"/>
        <v>327886</v>
      </c>
      <c r="BC97" s="170">
        <f t="shared" si="78"/>
        <v>354315</v>
      </c>
      <c r="BD97" s="170">
        <f t="shared" si="78"/>
        <v>364586</v>
      </c>
      <c r="BE97" s="170">
        <f t="shared" si="78"/>
        <v>184442</v>
      </c>
      <c r="BF97" s="391">
        <f>SUM(BA30+BA39+BA42+BA86+BA89)</f>
        <v>303726</v>
      </c>
    </row>
    <row r="98" spans="1:59" x14ac:dyDescent="0.2">
      <c r="A98" s="349" t="s">
        <v>294</v>
      </c>
      <c r="B98" s="133" t="s">
        <v>513</v>
      </c>
      <c r="C98" s="170">
        <v>300</v>
      </c>
      <c r="D98" s="170">
        <v>300</v>
      </c>
      <c r="E98" s="170">
        <v>300</v>
      </c>
      <c r="F98" s="170">
        <v>300</v>
      </c>
      <c r="G98" s="170">
        <v>0</v>
      </c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0">
        <v>9000</v>
      </c>
      <c r="AH98" s="170">
        <v>9000</v>
      </c>
      <c r="AI98" s="170">
        <v>9000</v>
      </c>
      <c r="AJ98" s="170">
        <f>9000+1005</f>
        <v>10005</v>
      </c>
      <c r="AK98" s="170">
        <v>10004</v>
      </c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  <c r="AX98" s="170"/>
      <c r="AY98" s="170"/>
      <c r="AZ98" s="170"/>
      <c r="BA98" s="170">
        <f t="shared" si="92"/>
        <v>9300</v>
      </c>
      <c r="BB98" s="170">
        <f t="shared" si="78"/>
        <v>9300</v>
      </c>
      <c r="BC98" s="170">
        <f t="shared" si="78"/>
        <v>9300</v>
      </c>
      <c r="BD98" s="170">
        <f t="shared" si="78"/>
        <v>10305</v>
      </c>
      <c r="BE98" s="170">
        <f t="shared" si="78"/>
        <v>10004</v>
      </c>
      <c r="BF98" s="391"/>
    </row>
    <row r="99" spans="1:59" ht="13.5" thickBot="1" x14ac:dyDescent="0.25">
      <c r="A99" s="349" t="s">
        <v>324</v>
      </c>
      <c r="B99" s="174" t="s">
        <v>423</v>
      </c>
      <c r="C99" s="170">
        <f>SUM('4. Átadott p.eszk.'!B79)</f>
        <v>385336</v>
      </c>
      <c r="D99" s="170">
        <f>SUM('4. Átadott p.eszk.'!C79)</f>
        <v>388888</v>
      </c>
      <c r="E99" s="170">
        <f>SUM('4. Átadott p.eszk.'!D79)</f>
        <v>408819</v>
      </c>
      <c r="F99" s="170">
        <f>SUM('4. Átadott p.eszk.'!E79)</f>
        <v>411002</v>
      </c>
      <c r="G99" s="170">
        <f>SUM('4. Átadott p.eszk.'!F79)</f>
        <v>387714</v>
      </c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70">
        <f t="shared" si="92"/>
        <v>385336</v>
      </c>
      <c r="BB99" s="170">
        <f t="shared" si="78"/>
        <v>388888</v>
      </c>
      <c r="BC99" s="170">
        <f t="shared" si="78"/>
        <v>408819</v>
      </c>
      <c r="BD99" s="170">
        <f t="shared" si="78"/>
        <v>411002</v>
      </c>
      <c r="BE99" s="170">
        <f t="shared" si="78"/>
        <v>387714</v>
      </c>
      <c r="BF99" s="391"/>
    </row>
    <row r="100" spans="1:59" ht="15.75" customHeight="1" thickBot="1" x14ac:dyDescent="0.3">
      <c r="A100" s="349"/>
      <c r="B100" s="261" t="s">
        <v>10</v>
      </c>
      <c r="C100" s="180">
        <f t="shared" ref="C100:AH100" si="98">SUM(C25+C29+C97+C98+C99)</f>
        <v>650375</v>
      </c>
      <c r="D100" s="180">
        <f t="shared" si="98"/>
        <v>669755</v>
      </c>
      <c r="E100" s="180">
        <f t="shared" si="98"/>
        <v>713547</v>
      </c>
      <c r="F100" s="180">
        <f t="shared" si="98"/>
        <v>716525</v>
      </c>
      <c r="G100" s="180">
        <f t="shared" si="98"/>
        <v>522381</v>
      </c>
      <c r="H100" s="180">
        <f t="shared" si="98"/>
        <v>9341</v>
      </c>
      <c r="I100" s="180">
        <f t="shared" si="98"/>
        <v>10086</v>
      </c>
      <c r="J100" s="180">
        <f t="shared" si="98"/>
        <v>10601</v>
      </c>
      <c r="K100" s="180">
        <f t="shared" si="98"/>
        <v>10744</v>
      </c>
      <c r="L100" s="180">
        <f t="shared" si="98"/>
        <v>10580</v>
      </c>
      <c r="M100" s="180">
        <f t="shared" si="98"/>
        <v>26314</v>
      </c>
      <c r="N100" s="180">
        <f t="shared" si="98"/>
        <v>32314</v>
      </c>
      <c r="O100" s="180">
        <f t="shared" si="98"/>
        <v>32314</v>
      </c>
      <c r="P100" s="180">
        <f t="shared" si="98"/>
        <v>33259</v>
      </c>
      <c r="Q100" s="180">
        <f t="shared" si="98"/>
        <v>32056</v>
      </c>
      <c r="R100" s="180">
        <f t="shared" si="98"/>
        <v>13758</v>
      </c>
      <c r="S100" s="180">
        <f t="shared" si="98"/>
        <v>13853</v>
      </c>
      <c r="T100" s="180">
        <f t="shared" si="98"/>
        <v>13969</v>
      </c>
      <c r="U100" s="180">
        <f t="shared" si="98"/>
        <v>14180</v>
      </c>
      <c r="V100" s="180">
        <f t="shared" si="98"/>
        <v>13581</v>
      </c>
      <c r="W100" s="180">
        <f t="shared" si="98"/>
        <v>16519</v>
      </c>
      <c r="X100" s="180">
        <f t="shared" si="98"/>
        <v>16644</v>
      </c>
      <c r="Y100" s="180">
        <f t="shared" si="98"/>
        <v>17069</v>
      </c>
      <c r="Z100" s="180">
        <f t="shared" si="98"/>
        <v>17371</v>
      </c>
      <c r="AA100" s="180">
        <f t="shared" si="98"/>
        <v>15334</v>
      </c>
      <c r="AB100" s="180">
        <f t="shared" si="98"/>
        <v>10139</v>
      </c>
      <c r="AC100" s="180">
        <f t="shared" si="98"/>
        <v>12337</v>
      </c>
      <c r="AD100" s="180">
        <f t="shared" si="98"/>
        <v>12552</v>
      </c>
      <c r="AE100" s="180">
        <f t="shared" si="98"/>
        <v>20352</v>
      </c>
      <c r="AF100" s="180">
        <f t="shared" si="98"/>
        <v>12829</v>
      </c>
      <c r="AG100" s="180">
        <f t="shared" si="98"/>
        <v>9000</v>
      </c>
      <c r="AH100" s="180">
        <f t="shared" si="98"/>
        <v>9000</v>
      </c>
      <c r="AI100" s="180">
        <f t="shared" ref="AI100:AZ100" si="99">SUM(AI25+AI29+AI97+AI98+AI99)</f>
        <v>10504</v>
      </c>
      <c r="AJ100" s="180">
        <f t="shared" si="99"/>
        <v>11855</v>
      </c>
      <c r="AK100" s="180">
        <f t="shared" si="99"/>
        <v>11847</v>
      </c>
      <c r="AL100" s="180">
        <f t="shared" si="99"/>
        <v>3120</v>
      </c>
      <c r="AM100" s="180">
        <f t="shared" si="99"/>
        <v>3120</v>
      </c>
      <c r="AN100" s="180">
        <f t="shared" si="99"/>
        <v>3120</v>
      </c>
      <c r="AO100" s="180">
        <f t="shared" si="99"/>
        <v>3120</v>
      </c>
      <c r="AP100" s="180">
        <f t="shared" si="99"/>
        <v>3120</v>
      </c>
      <c r="AQ100" s="180">
        <f t="shared" si="99"/>
        <v>95</v>
      </c>
      <c r="AR100" s="180">
        <f t="shared" si="99"/>
        <v>0</v>
      </c>
      <c r="AS100" s="180">
        <f t="shared" si="99"/>
        <v>0</v>
      </c>
      <c r="AT100" s="180">
        <f t="shared" si="99"/>
        <v>0</v>
      </c>
      <c r="AU100" s="180">
        <f t="shared" si="99"/>
        <v>0</v>
      </c>
      <c r="AV100" s="180">
        <f t="shared" si="99"/>
        <v>5586</v>
      </c>
      <c r="AW100" s="180">
        <f t="shared" si="99"/>
        <v>5681</v>
      </c>
      <c r="AX100" s="180">
        <f t="shared" si="99"/>
        <v>5631</v>
      </c>
      <c r="AY100" s="180">
        <f t="shared" si="99"/>
        <v>5360</v>
      </c>
      <c r="AZ100" s="180">
        <f t="shared" si="99"/>
        <v>4713</v>
      </c>
      <c r="BA100" s="180">
        <f t="shared" si="92"/>
        <v>744247</v>
      </c>
      <c r="BB100" s="180">
        <f t="shared" si="78"/>
        <v>772790</v>
      </c>
      <c r="BC100" s="180">
        <f t="shared" si="78"/>
        <v>819307</v>
      </c>
      <c r="BD100" s="180">
        <f t="shared" si="78"/>
        <v>832766</v>
      </c>
      <c r="BE100" s="180">
        <f t="shared" si="78"/>
        <v>626441</v>
      </c>
      <c r="BF100" s="391">
        <f>SUM(BA25+BA29+BA97+BA98+BA99)</f>
        <v>744247</v>
      </c>
      <c r="BG100" s="86"/>
    </row>
    <row r="101" spans="1:59" ht="15.75" thickBot="1" x14ac:dyDescent="0.3">
      <c r="A101" s="349" t="s">
        <v>325</v>
      </c>
      <c r="B101" s="259" t="s">
        <v>422</v>
      </c>
      <c r="C101" s="260">
        <f>SUM('3.felh'!C40+'3.felh'!C63+'3.felh'!C80)</f>
        <v>862038</v>
      </c>
      <c r="D101" s="260">
        <f>SUM('3.felh'!D40+'3.felh'!D63+'3.felh'!D80)</f>
        <v>982742</v>
      </c>
      <c r="E101" s="260">
        <f>SUM('3.felh'!E40+'3.felh'!E63+'3.felh'!E80)</f>
        <v>1345786</v>
      </c>
      <c r="F101" s="260">
        <f>SUM('3.felh'!F40+'3.felh'!F63+'3.felh'!F80)</f>
        <v>1345851</v>
      </c>
      <c r="G101" s="260">
        <f>SUM('3.felh'!G40+'3.felh'!G63+'3.felh'!G80)</f>
        <v>389736</v>
      </c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  <c r="AO101" s="260"/>
      <c r="AP101" s="260"/>
      <c r="AQ101" s="260"/>
      <c r="AR101" s="260"/>
      <c r="AS101" s="260"/>
      <c r="AT101" s="260"/>
      <c r="AU101" s="260"/>
      <c r="AV101" s="260"/>
      <c r="AW101" s="260"/>
      <c r="AX101" s="260"/>
      <c r="AY101" s="260"/>
      <c r="AZ101" s="260"/>
      <c r="BA101" s="260">
        <f t="shared" si="92"/>
        <v>862038</v>
      </c>
      <c r="BB101" s="260">
        <f t="shared" si="78"/>
        <v>982742</v>
      </c>
      <c r="BC101" s="260">
        <f t="shared" si="78"/>
        <v>1345786</v>
      </c>
      <c r="BD101" s="260">
        <f t="shared" si="78"/>
        <v>1345851</v>
      </c>
      <c r="BE101" s="260">
        <f t="shared" si="78"/>
        <v>389736</v>
      </c>
      <c r="BF101" s="391"/>
    </row>
    <row r="102" spans="1:59" ht="20.25" thickBot="1" x14ac:dyDescent="0.4">
      <c r="A102" s="348"/>
      <c r="B102" s="251" t="s">
        <v>7</v>
      </c>
      <c r="C102" s="252">
        <f t="shared" ref="C102:AD102" si="100">SUM(C100+C101)</f>
        <v>1512413</v>
      </c>
      <c r="D102" s="252">
        <f t="shared" si="100"/>
        <v>1652497</v>
      </c>
      <c r="E102" s="252">
        <f t="shared" si="100"/>
        <v>2059333</v>
      </c>
      <c r="F102" s="252">
        <f t="shared" si="100"/>
        <v>2062376</v>
      </c>
      <c r="G102" s="252">
        <f t="shared" si="100"/>
        <v>912117</v>
      </c>
      <c r="H102" s="252">
        <f>SUM(H100+H101)</f>
        <v>9341</v>
      </c>
      <c r="I102" s="252">
        <f>SUM(I100+I101)</f>
        <v>10086</v>
      </c>
      <c r="J102" s="252">
        <f>SUM(J100+J101)</f>
        <v>10601</v>
      </c>
      <c r="K102" s="252">
        <f>SUM(K100+K101)</f>
        <v>10744</v>
      </c>
      <c r="L102" s="252">
        <f>SUM(L100+L101)</f>
        <v>10580</v>
      </c>
      <c r="M102" s="252">
        <f t="shared" si="100"/>
        <v>26314</v>
      </c>
      <c r="N102" s="252">
        <f t="shared" si="100"/>
        <v>32314</v>
      </c>
      <c r="O102" s="252">
        <f t="shared" si="100"/>
        <v>32314</v>
      </c>
      <c r="P102" s="252">
        <f t="shared" si="100"/>
        <v>33259</v>
      </c>
      <c r="Q102" s="252">
        <f t="shared" si="100"/>
        <v>32056</v>
      </c>
      <c r="R102" s="252">
        <f t="shared" si="100"/>
        <v>13758</v>
      </c>
      <c r="S102" s="252">
        <f t="shared" si="100"/>
        <v>13853</v>
      </c>
      <c r="T102" s="252">
        <f t="shared" si="100"/>
        <v>13969</v>
      </c>
      <c r="U102" s="252">
        <f t="shared" si="100"/>
        <v>14180</v>
      </c>
      <c r="V102" s="252">
        <f t="shared" si="100"/>
        <v>13581</v>
      </c>
      <c r="W102" s="252">
        <f t="shared" si="100"/>
        <v>16519</v>
      </c>
      <c r="X102" s="252">
        <f t="shared" si="100"/>
        <v>16644</v>
      </c>
      <c r="Y102" s="252">
        <f t="shared" si="100"/>
        <v>17069</v>
      </c>
      <c r="Z102" s="252">
        <f t="shared" si="100"/>
        <v>17371</v>
      </c>
      <c r="AA102" s="252">
        <f t="shared" si="100"/>
        <v>15334</v>
      </c>
      <c r="AB102" s="252">
        <f t="shared" si="100"/>
        <v>10139</v>
      </c>
      <c r="AC102" s="252">
        <f t="shared" si="100"/>
        <v>12337</v>
      </c>
      <c r="AD102" s="252">
        <f t="shared" si="100"/>
        <v>12552</v>
      </c>
      <c r="AE102" s="252">
        <f t="shared" ref="AE102:AZ102" si="101">SUM(AE100+AE101)</f>
        <v>20352</v>
      </c>
      <c r="AF102" s="252">
        <f t="shared" si="101"/>
        <v>12829</v>
      </c>
      <c r="AG102" s="252">
        <f t="shared" si="101"/>
        <v>9000</v>
      </c>
      <c r="AH102" s="252">
        <f t="shared" si="101"/>
        <v>9000</v>
      </c>
      <c r="AI102" s="252">
        <f>SUM(AI100+AI101)</f>
        <v>10504</v>
      </c>
      <c r="AJ102" s="252">
        <f t="shared" si="101"/>
        <v>11855</v>
      </c>
      <c r="AK102" s="252">
        <f t="shared" si="101"/>
        <v>11847</v>
      </c>
      <c r="AL102" s="252">
        <f t="shared" si="101"/>
        <v>3120</v>
      </c>
      <c r="AM102" s="252">
        <f>SUM(AM100+AM101)</f>
        <v>3120</v>
      </c>
      <c r="AN102" s="252">
        <f>SUM(AN100+AN101)</f>
        <v>3120</v>
      </c>
      <c r="AO102" s="252">
        <f>SUM(AO100+AO101)</f>
        <v>3120</v>
      </c>
      <c r="AP102" s="252">
        <f t="shared" si="101"/>
        <v>3120</v>
      </c>
      <c r="AQ102" s="252">
        <f t="shared" si="101"/>
        <v>95</v>
      </c>
      <c r="AR102" s="252">
        <f>SUM(AR100+AR101)</f>
        <v>0</v>
      </c>
      <c r="AS102" s="252">
        <f>SUM(AS100+AS101)</f>
        <v>0</v>
      </c>
      <c r="AT102" s="252">
        <f>SUM(AT100+AT101)</f>
        <v>0</v>
      </c>
      <c r="AU102" s="252">
        <f t="shared" si="101"/>
        <v>0</v>
      </c>
      <c r="AV102" s="252">
        <f t="shared" si="101"/>
        <v>5586</v>
      </c>
      <c r="AW102" s="252">
        <f t="shared" si="101"/>
        <v>5681</v>
      </c>
      <c r="AX102" s="252">
        <f t="shared" si="101"/>
        <v>5631</v>
      </c>
      <c r="AY102" s="252">
        <f t="shared" si="101"/>
        <v>5360</v>
      </c>
      <c r="AZ102" s="252">
        <f t="shared" si="101"/>
        <v>4713</v>
      </c>
      <c r="BA102" s="252">
        <f t="shared" si="92"/>
        <v>1606285</v>
      </c>
      <c r="BB102" s="252">
        <f t="shared" ref="BB102:BE103" si="102">D102+I102+N102+S102+X102+AC102+AH102+AM102+AR102+AW102</f>
        <v>1755532</v>
      </c>
      <c r="BC102" s="252">
        <f t="shared" si="102"/>
        <v>2165093</v>
      </c>
      <c r="BD102" s="252">
        <f t="shared" si="102"/>
        <v>2178617</v>
      </c>
      <c r="BE102" s="252">
        <f t="shared" si="102"/>
        <v>1016177</v>
      </c>
      <c r="BF102" s="391">
        <f>SUM(BA25+BA29+BA97+BA98+BA99+BA101)</f>
        <v>1606285</v>
      </c>
    </row>
    <row r="103" spans="1:59" ht="13.5" thickBot="1" x14ac:dyDescent="0.25">
      <c r="A103" s="362"/>
      <c r="B103" s="249" t="s">
        <v>60</v>
      </c>
      <c r="C103" s="292">
        <v>1</v>
      </c>
      <c r="D103" s="292">
        <v>1</v>
      </c>
      <c r="E103" s="292">
        <v>1</v>
      </c>
      <c r="F103" s="292">
        <v>1</v>
      </c>
      <c r="G103" s="292">
        <v>1</v>
      </c>
      <c r="H103" s="292">
        <v>2</v>
      </c>
      <c r="I103" s="292">
        <v>2</v>
      </c>
      <c r="J103" s="292">
        <v>2</v>
      </c>
      <c r="K103" s="292">
        <v>2</v>
      </c>
      <c r="L103" s="292">
        <v>2</v>
      </c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>
        <v>3</v>
      </c>
      <c r="X103" s="292">
        <v>3</v>
      </c>
      <c r="Y103" s="292">
        <v>3</v>
      </c>
      <c r="Z103" s="292">
        <v>3</v>
      </c>
      <c r="AA103" s="292">
        <v>3</v>
      </c>
      <c r="AB103" s="292">
        <v>1</v>
      </c>
      <c r="AC103" s="292">
        <v>1</v>
      </c>
      <c r="AD103" s="292">
        <v>1</v>
      </c>
      <c r="AE103" s="292">
        <v>1</v>
      </c>
      <c r="AF103" s="292">
        <v>1</v>
      </c>
      <c r="AG103" s="292"/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292"/>
      <c r="AT103" s="292"/>
      <c r="AU103" s="292"/>
      <c r="AV103" s="292">
        <v>1</v>
      </c>
      <c r="AW103" s="292">
        <v>1</v>
      </c>
      <c r="AX103" s="292">
        <v>1</v>
      </c>
      <c r="AY103" s="292">
        <v>1</v>
      </c>
      <c r="AZ103" s="292">
        <v>1</v>
      </c>
      <c r="BA103" s="292">
        <f t="shared" si="92"/>
        <v>8</v>
      </c>
      <c r="BB103" s="292">
        <f t="shared" si="102"/>
        <v>8</v>
      </c>
      <c r="BC103" s="292">
        <f t="shared" si="102"/>
        <v>8</v>
      </c>
      <c r="BD103" s="292">
        <f t="shared" si="102"/>
        <v>8</v>
      </c>
      <c r="BE103" s="292">
        <f t="shared" si="102"/>
        <v>8</v>
      </c>
      <c r="BF103" s="391"/>
      <c r="BG103" s="86"/>
    </row>
    <row r="104" spans="1:59" s="10" customFormat="1" ht="6" customHeight="1" x14ac:dyDescent="0.2">
      <c r="A104" s="199"/>
      <c r="B104" s="250"/>
      <c r="C104" s="3"/>
      <c r="D104" s="3"/>
      <c r="E104" s="3"/>
      <c r="F104" s="3"/>
      <c r="G104" s="3"/>
      <c r="H104" s="11"/>
      <c r="I104" s="11"/>
      <c r="J104" s="11"/>
      <c r="K104" s="1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50"/>
      <c r="BF104" s="391"/>
    </row>
    <row r="105" spans="1:59" s="10" customFormat="1" hidden="1" x14ac:dyDescent="0.2">
      <c r="A105" s="199"/>
      <c r="B105"/>
      <c r="C105"/>
      <c r="D105"/>
      <c r="E105"/>
      <c r="F105"/>
      <c r="G105"/>
      <c r="L105"/>
      <c r="M105"/>
      <c r="N105"/>
      <c r="O105"/>
      <c r="P105" s="244"/>
      <c r="Q105" s="244"/>
      <c r="R105" s="244"/>
      <c r="S105" s="244"/>
      <c r="T105" s="244"/>
      <c r="U105" s="244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 s="391"/>
    </row>
    <row r="106" spans="1:59" s="10" customFormat="1" hidden="1" x14ac:dyDescent="0.2">
      <c r="A106" s="199"/>
      <c r="B106"/>
      <c r="C106" s="86"/>
      <c r="D106" s="86"/>
      <c r="E106" s="86"/>
      <c r="F106" s="86"/>
      <c r="G106" s="86"/>
      <c r="H106" s="45"/>
      <c r="I106" s="45"/>
      <c r="J106" s="45"/>
      <c r="K106" s="45"/>
      <c r="L106" s="86"/>
      <c r="M106" s="86"/>
      <c r="N106" s="86"/>
      <c r="O106" s="86"/>
      <c r="P106"/>
      <c r="Q106"/>
      <c r="R106"/>
      <c r="S106"/>
      <c r="T106"/>
      <c r="U106"/>
      <c r="V106" s="253" t="s">
        <v>414</v>
      </c>
      <c r="W106" s="253"/>
      <c r="X106" s="253"/>
      <c r="Y106" s="253"/>
      <c r="Z106" s="253">
        <v>300</v>
      </c>
      <c r="AA106" s="253"/>
      <c r="AB106" s="253"/>
      <c r="AC106" s="253"/>
      <c r="AD106" s="253"/>
      <c r="AE106" s="253">
        <v>236</v>
      </c>
      <c r="AF106" s="253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253"/>
      <c r="AS106" s="253"/>
      <c r="AT106" s="253"/>
      <c r="AU106" s="253"/>
      <c r="AV106" s="253"/>
      <c r="AW106" s="253"/>
      <c r="AX106" s="253"/>
      <c r="AY106" s="253"/>
      <c r="AZ106" s="253"/>
      <c r="BA106"/>
      <c r="BB106"/>
      <c r="BC106"/>
      <c r="BD106"/>
      <c r="BE106"/>
      <c r="BF106" s="391"/>
    </row>
    <row r="107" spans="1:59" s="10" customFormat="1" hidden="1" x14ac:dyDescent="0.2">
      <c r="A107" s="199"/>
      <c r="B10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/>
      <c r="Q107"/>
      <c r="R107"/>
      <c r="S107"/>
      <c r="T107"/>
      <c r="U107"/>
      <c r="V107" s="253" t="s">
        <v>415</v>
      </c>
      <c r="W107" s="253"/>
      <c r="X107" s="253"/>
      <c r="Y107" s="253"/>
      <c r="Z107" s="253">
        <v>700</v>
      </c>
      <c r="AA107" s="253"/>
      <c r="AB107" s="253"/>
      <c r="AC107" s="253"/>
      <c r="AD107" s="253"/>
      <c r="AE107" s="253">
        <v>551</v>
      </c>
      <c r="AF107" s="253"/>
      <c r="AG107" s="253"/>
      <c r="AH107" s="253"/>
      <c r="AI107" s="253"/>
      <c r="AJ107" s="253"/>
      <c r="AK107" s="253"/>
      <c r="AL107" s="253"/>
      <c r="AM107" s="253"/>
      <c r="AN107" s="253"/>
      <c r="AO107" s="253"/>
      <c r="AP107" s="253"/>
      <c r="AQ107" s="253"/>
      <c r="AR107" s="253"/>
      <c r="AS107" s="253"/>
      <c r="AT107" s="253"/>
      <c r="AU107" s="253"/>
      <c r="AV107" s="253"/>
      <c r="AW107" s="253"/>
      <c r="AX107" s="253"/>
      <c r="AY107" s="253"/>
      <c r="AZ107" s="253"/>
      <c r="BA107"/>
      <c r="BB107"/>
      <c r="BC107"/>
      <c r="BD107"/>
      <c r="BE107"/>
      <c r="BF107" s="391"/>
    </row>
    <row r="108" spans="1:59" s="10" customFormat="1" hidden="1" x14ac:dyDescent="0.2">
      <c r="A108" s="199"/>
      <c r="B108"/>
      <c r="C108" s="247"/>
      <c r="D108" s="247"/>
      <c r="E108" s="247"/>
      <c r="F108" s="247"/>
      <c r="G108" s="247"/>
      <c r="H108" s="197"/>
      <c r="I108" s="197"/>
      <c r="J108" s="197"/>
      <c r="K108" s="197"/>
      <c r="L108" s="197"/>
      <c r="M108" s="197"/>
      <c r="N108" s="197"/>
      <c r="O108" s="197"/>
      <c r="P108"/>
      <c r="Q108"/>
      <c r="R108"/>
      <c r="S108"/>
      <c r="T108"/>
      <c r="U108"/>
      <c r="V108" s="254"/>
      <c r="W108" s="254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4"/>
      <c r="AP108" s="254"/>
      <c r="AQ108" s="254"/>
      <c r="AR108" s="254"/>
      <c r="AS108" s="254"/>
      <c r="AT108" s="254"/>
      <c r="AU108" s="254"/>
      <c r="AV108" s="254"/>
      <c r="AW108" s="254"/>
      <c r="AX108" s="254"/>
      <c r="AY108" s="254"/>
      <c r="AZ108" s="254"/>
      <c r="BA108"/>
      <c r="BB108"/>
      <c r="BC108"/>
      <c r="BD108"/>
      <c r="BE108"/>
      <c r="BF108" s="391"/>
    </row>
    <row r="109" spans="1:59" s="10" customFormat="1" x14ac:dyDescent="0.2">
      <c r="A109" s="199"/>
      <c r="B109" s="365" t="s">
        <v>509</v>
      </c>
      <c r="C109" s="600"/>
      <c r="E109" s="601"/>
      <c r="F109" s="601"/>
      <c r="G109" s="601"/>
      <c r="Q109"/>
      <c r="R109"/>
      <c r="S109"/>
      <c r="T109"/>
      <c r="U109"/>
      <c r="V109" s="365"/>
      <c r="W109" s="254"/>
      <c r="X109" s="254"/>
      <c r="Y109" s="254"/>
      <c r="Z109" s="254"/>
      <c r="AE109" s="600"/>
      <c r="AF109" s="601"/>
      <c r="AL109"/>
      <c r="AM109"/>
      <c r="AN109"/>
      <c r="AO109"/>
      <c r="AP109"/>
      <c r="AQ109" s="254"/>
      <c r="AR109" s="254"/>
      <c r="AS109" s="254"/>
      <c r="AT109" s="254"/>
      <c r="AU109" s="254"/>
      <c r="BF109" s="391"/>
    </row>
    <row r="110" spans="1:59" s="10" customFormat="1" x14ac:dyDescent="0.2">
      <c r="A110" s="199"/>
      <c r="B110" s="365" t="s">
        <v>1101</v>
      </c>
      <c r="C110" s="197" t="s">
        <v>413</v>
      </c>
      <c r="F110" s="197"/>
      <c r="G110" s="197"/>
      <c r="H110" s="197" t="s">
        <v>316</v>
      </c>
      <c r="M110" s="197" t="s">
        <v>885</v>
      </c>
      <c r="Q110"/>
      <c r="R110"/>
      <c r="S110"/>
      <c r="T110"/>
      <c r="V110" s="365"/>
      <c r="X110" s="360"/>
      <c r="Y110" s="360"/>
      <c r="Z110" s="360"/>
      <c r="AA110" s="608"/>
      <c r="AB110" s="608"/>
      <c r="AC110" s="608"/>
      <c r="AD110" s="608"/>
      <c r="AE110" s="678"/>
      <c r="AF110" s="678"/>
      <c r="AG110" s="608"/>
      <c r="AH110" s="608"/>
      <c r="AI110" s="608"/>
      <c r="AJ110" s="608"/>
      <c r="AK110" s="608"/>
      <c r="AL110" s="360"/>
      <c r="AM110" s="360"/>
      <c r="AN110" s="360"/>
      <c r="AO110" s="360"/>
      <c r="AP110" s="360"/>
      <c r="AQ110" s="360"/>
      <c r="AR110" s="360"/>
      <c r="AS110" s="360"/>
      <c r="AT110" s="360"/>
      <c r="AU110" s="360"/>
      <c r="AV110" s="608"/>
      <c r="AW110" s="608"/>
      <c r="AX110" s="608"/>
      <c r="AY110" s="608"/>
      <c r="AZ110" s="608"/>
      <c r="BA110" s="388"/>
      <c r="BB110" s="45"/>
      <c r="BC110" s="45"/>
      <c r="BD110" s="45"/>
      <c r="BF110" s="391"/>
    </row>
    <row r="111" spans="1:59" s="10" customFormat="1" x14ac:dyDescent="0.2">
      <c r="A111" s="199"/>
      <c r="B111" s="796" t="s">
        <v>946</v>
      </c>
      <c r="C111" s="790">
        <f>9440-925-200-6685-390-390</f>
        <v>850</v>
      </c>
      <c r="D111" s="791"/>
      <c r="E111" s="791"/>
      <c r="F111" s="790"/>
      <c r="G111" s="792"/>
      <c r="H111" s="793">
        <f>2549-995-105-105</f>
        <v>1344</v>
      </c>
      <c r="I111" s="793"/>
      <c r="J111" s="793"/>
      <c r="K111" s="793"/>
      <c r="L111" s="794"/>
      <c r="M111" s="793">
        <f t="shared" ref="M111:M134" si="103">SUM(C111+H111)</f>
        <v>2194</v>
      </c>
      <c r="N111" s="45"/>
      <c r="O111" s="45"/>
      <c r="P111" s="45"/>
      <c r="Q111" s="86"/>
      <c r="R111" s="705"/>
      <c r="S111" s="86"/>
      <c r="T111" s="86"/>
      <c r="U111" s="45"/>
      <c r="V111" s="45"/>
      <c r="X111" s="707"/>
      <c r="Y111" s="707"/>
      <c r="Z111" s="707"/>
      <c r="AA111" s="388"/>
      <c r="AB111" s="708" t="s">
        <v>1100</v>
      </c>
      <c r="AC111" s="388"/>
      <c r="AD111" s="388"/>
      <c r="AE111" s="388"/>
      <c r="AF111" s="388"/>
      <c r="AG111" s="388"/>
      <c r="AH111" s="608"/>
      <c r="AI111" s="608"/>
      <c r="AJ111" s="608"/>
      <c r="AK111" s="608"/>
      <c r="AL111" s="360"/>
      <c r="AM111" s="360"/>
      <c r="AN111" s="360"/>
      <c r="AO111" s="360"/>
      <c r="AP111" s="360"/>
      <c r="AQ111" s="360"/>
      <c r="AR111" s="360"/>
      <c r="AS111" s="360"/>
      <c r="AT111" s="360"/>
      <c r="AU111" s="360"/>
      <c r="AV111" s="608"/>
      <c r="AW111" s="608"/>
      <c r="AX111" s="608"/>
      <c r="AY111" s="608"/>
      <c r="AZ111" s="608"/>
      <c r="BA111" s="360"/>
      <c r="BB111"/>
      <c r="BC111"/>
      <c r="BD111"/>
      <c r="BE111"/>
      <c r="BF111" s="391"/>
    </row>
    <row r="112" spans="1:59" s="10" customFormat="1" x14ac:dyDescent="0.2">
      <c r="A112" s="199"/>
      <c r="B112" s="796" t="s">
        <v>953</v>
      </c>
      <c r="C112" s="790">
        <v>1449</v>
      </c>
      <c r="D112" s="791"/>
      <c r="E112" s="791"/>
      <c r="F112" s="790"/>
      <c r="G112" s="792"/>
      <c r="H112" s="793">
        <f>SUM(C112*0.27)</f>
        <v>391.23</v>
      </c>
      <c r="I112" s="793"/>
      <c r="J112" s="793"/>
      <c r="K112" s="793"/>
      <c r="L112" s="794"/>
      <c r="M112" s="793">
        <f t="shared" si="103"/>
        <v>1840.23</v>
      </c>
      <c r="N112" s="45"/>
      <c r="O112" s="45"/>
      <c r="P112" s="45"/>
      <c r="Q112" s="86"/>
      <c r="R112" s="705"/>
      <c r="S112" s="86"/>
      <c r="T112" s="86"/>
      <c r="U112" s="45"/>
      <c r="V112" s="45"/>
      <c r="X112" s="707"/>
      <c r="Y112" s="707"/>
      <c r="Z112" s="707"/>
      <c r="AA112" s="388"/>
      <c r="AB112" s="664"/>
      <c r="AC112" s="388"/>
      <c r="AD112" s="388"/>
      <c r="AE112" s="388"/>
      <c r="AF112" s="388"/>
      <c r="AG112" s="388"/>
      <c r="AH112" s="608"/>
      <c r="AI112" s="608"/>
      <c r="AJ112" s="608"/>
      <c r="AK112" s="608"/>
      <c r="AL112" s="360"/>
      <c r="AM112" s="360"/>
      <c r="AN112" s="360"/>
      <c r="AO112" s="360"/>
      <c r="AP112" s="360"/>
      <c r="AQ112" s="360"/>
      <c r="AR112" s="360"/>
      <c r="AS112" s="360"/>
      <c r="AT112" s="360"/>
      <c r="AU112" s="360"/>
      <c r="AV112" s="608"/>
      <c r="AW112" s="608"/>
      <c r="AX112" s="608"/>
      <c r="AY112" s="608"/>
      <c r="AZ112" s="608"/>
      <c r="BA112" s="360"/>
      <c r="BB112"/>
      <c r="BC112"/>
      <c r="BD112"/>
      <c r="BE112"/>
      <c r="BF112" s="391"/>
    </row>
    <row r="113" spans="1:58" s="10" customFormat="1" x14ac:dyDescent="0.2">
      <c r="A113" s="199"/>
      <c r="B113" s="796" t="s">
        <v>954</v>
      </c>
      <c r="C113" s="790">
        <v>300</v>
      </c>
      <c r="D113" s="791"/>
      <c r="E113" s="791"/>
      <c r="F113" s="790"/>
      <c r="G113" s="792"/>
      <c r="H113" s="793">
        <v>0</v>
      </c>
      <c r="I113" s="793"/>
      <c r="J113" s="793"/>
      <c r="K113" s="793"/>
      <c r="L113" s="794"/>
      <c r="M113" s="793">
        <f t="shared" si="103"/>
        <v>300</v>
      </c>
      <c r="N113" s="45"/>
      <c r="O113" s="45"/>
      <c r="P113" s="45"/>
      <c r="Q113" s="86"/>
      <c r="R113" s="705"/>
      <c r="S113" s="86"/>
      <c r="T113" s="86"/>
      <c r="U113" s="45"/>
      <c r="V113" s="45"/>
      <c r="X113" s="707"/>
      <c r="Y113" s="707"/>
      <c r="Z113" s="707"/>
      <c r="AA113" s="388"/>
      <c r="AB113" s="664" t="s">
        <v>940</v>
      </c>
      <c r="AC113" s="388"/>
      <c r="AD113" s="388"/>
      <c r="AE113" s="388"/>
      <c r="AF113" s="388"/>
      <c r="AG113" s="388"/>
      <c r="AH113" s="608"/>
      <c r="AI113" s="608"/>
      <c r="AJ113" s="608"/>
      <c r="AK113" s="608"/>
      <c r="AL113" s="360"/>
      <c r="AM113" s="360"/>
      <c r="AN113" s="360"/>
      <c r="AO113" s="360"/>
      <c r="AP113" s="360"/>
      <c r="AQ113" s="707">
        <v>112886</v>
      </c>
      <c r="AR113" s="707"/>
      <c r="AS113" s="707"/>
      <c r="AT113" s="707"/>
      <c r="AU113" s="707"/>
      <c r="AV113" s="388"/>
      <c r="AW113" s="608"/>
      <c r="AX113" s="608"/>
      <c r="AY113" s="608"/>
      <c r="AZ113" s="608"/>
      <c r="BA113" s="360"/>
      <c r="BB113"/>
      <c r="BC113"/>
      <c r="BD113"/>
      <c r="BE113"/>
      <c r="BF113" s="391"/>
    </row>
    <row r="114" spans="1:58" s="10" customFormat="1" x14ac:dyDescent="0.2">
      <c r="A114" s="199"/>
      <c r="B114" s="796" t="s">
        <v>1109</v>
      </c>
      <c r="C114" s="790">
        <v>450</v>
      </c>
      <c r="D114" s="791"/>
      <c r="E114" s="791"/>
      <c r="F114" s="790"/>
      <c r="G114" s="792"/>
      <c r="H114" s="793">
        <v>0</v>
      </c>
      <c r="I114" s="793"/>
      <c r="J114" s="793"/>
      <c r="K114" s="793"/>
      <c r="L114" s="794"/>
      <c r="M114" s="793">
        <f t="shared" si="103"/>
        <v>450</v>
      </c>
      <c r="N114" s="45"/>
      <c r="O114" s="45"/>
      <c r="P114" s="45"/>
      <c r="Q114" s="86"/>
      <c r="R114" s="705"/>
      <c r="S114" s="86"/>
      <c r="T114" s="86"/>
      <c r="U114" s="45"/>
      <c r="V114" s="45"/>
      <c r="X114" s="707"/>
      <c r="Y114" s="707"/>
      <c r="Z114" s="707"/>
      <c r="AA114" s="388"/>
      <c r="AB114" s="707" t="s">
        <v>1107</v>
      </c>
      <c r="AC114" s="388"/>
      <c r="AD114" s="388"/>
      <c r="AE114" s="388"/>
      <c r="AF114" s="388"/>
      <c r="AG114" s="388"/>
      <c r="AH114" s="608"/>
      <c r="AI114" s="608"/>
      <c r="AJ114" s="608"/>
      <c r="AK114" s="608"/>
      <c r="AL114" s="360"/>
      <c r="AM114" s="360"/>
      <c r="AN114" s="360"/>
      <c r="AO114" s="360"/>
      <c r="AP114" s="360"/>
      <c r="AQ114" s="707">
        <v>39246</v>
      </c>
      <c r="AR114" s="707"/>
      <c r="AS114" s="707"/>
      <c r="AT114" s="707"/>
      <c r="AU114" s="707"/>
      <c r="AV114" s="388"/>
      <c r="AW114" s="608"/>
      <c r="AX114" s="608"/>
      <c r="AY114" s="608"/>
      <c r="AZ114" s="608"/>
      <c r="BA114" s="360"/>
      <c r="BB114"/>
      <c r="BC114"/>
      <c r="BD114"/>
      <c r="BE114"/>
      <c r="BF114" s="391"/>
    </row>
    <row r="115" spans="1:58" s="10" customFormat="1" x14ac:dyDescent="0.2">
      <c r="A115" s="199"/>
      <c r="B115" s="796" t="s">
        <v>955</v>
      </c>
      <c r="C115" s="790">
        <v>171</v>
      </c>
      <c r="D115" s="791"/>
      <c r="E115" s="791"/>
      <c r="F115" s="790"/>
      <c r="G115" s="792"/>
      <c r="H115" s="793">
        <f>SUM(C115*0.27)</f>
        <v>46.17</v>
      </c>
      <c r="I115" s="793"/>
      <c r="J115" s="793"/>
      <c r="K115" s="793"/>
      <c r="L115" s="794"/>
      <c r="M115" s="793">
        <f t="shared" si="103"/>
        <v>217.17000000000002</v>
      </c>
      <c r="N115" s="45"/>
      <c r="O115" s="45"/>
      <c r="P115" s="45"/>
      <c r="Q115" s="86"/>
      <c r="R115" s="705"/>
      <c r="S115" s="86"/>
      <c r="T115" s="86"/>
      <c r="U115" s="45"/>
      <c r="V115" s="45"/>
      <c r="X115" s="707"/>
      <c r="Y115" s="707"/>
      <c r="Z115" s="707"/>
      <c r="AA115" s="388"/>
      <c r="AB115" s="707" t="s">
        <v>943</v>
      </c>
      <c r="AC115" s="388"/>
      <c r="AD115" s="388"/>
      <c r="AE115" s="388"/>
      <c r="AF115" s="388"/>
      <c r="AG115" s="388"/>
      <c r="AH115" s="608"/>
      <c r="AI115" s="608"/>
      <c r="AJ115" s="608"/>
      <c r="AK115" s="608"/>
      <c r="AL115" s="360"/>
      <c r="AM115" s="360"/>
      <c r="AN115" s="360"/>
      <c r="AO115" s="360"/>
      <c r="AP115" s="360"/>
      <c r="AQ115" s="707">
        <v>5000</v>
      </c>
      <c r="AR115" s="707"/>
      <c r="AS115" s="707"/>
      <c r="AT115" s="707"/>
      <c r="AU115" s="707"/>
      <c r="AV115" s="388"/>
      <c r="AW115" s="608"/>
      <c r="AX115" s="608"/>
      <c r="AY115" s="608"/>
      <c r="AZ115" s="608"/>
      <c r="BA115" s="360"/>
      <c r="BB115"/>
      <c r="BC115"/>
      <c r="BD115"/>
      <c r="BE115"/>
      <c r="BF115" s="391"/>
    </row>
    <row r="116" spans="1:58" s="10" customFormat="1" x14ac:dyDescent="0.2">
      <c r="A116" s="199"/>
      <c r="B116" s="796" t="s">
        <v>956</v>
      </c>
      <c r="C116" s="790">
        <f>1811</f>
        <v>1811</v>
      </c>
      <c r="D116" s="791"/>
      <c r="E116" s="791"/>
      <c r="F116" s="790"/>
      <c r="G116" s="792"/>
      <c r="H116" s="793">
        <f>SUM(C116*0.27)</f>
        <v>488.97</v>
      </c>
      <c r="I116" s="793"/>
      <c r="J116" s="793"/>
      <c r="K116" s="793"/>
      <c r="L116" s="794"/>
      <c r="M116" s="793">
        <f t="shared" si="103"/>
        <v>2299.9700000000003</v>
      </c>
      <c r="N116" s="45"/>
      <c r="O116" s="45"/>
      <c r="P116" s="45"/>
      <c r="Q116" s="86"/>
      <c r="R116" s="705"/>
      <c r="S116" s="86"/>
      <c r="T116" s="86"/>
      <c r="U116" s="45"/>
      <c r="V116" s="45"/>
      <c r="X116" s="707"/>
      <c r="Y116" s="707"/>
      <c r="Z116" s="707"/>
      <c r="AA116" s="388"/>
      <c r="AB116" s="709" t="s">
        <v>47</v>
      </c>
      <c r="AC116" s="388"/>
      <c r="AD116" s="388"/>
      <c r="AE116" s="388"/>
      <c r="AF116" s="388"/>
      <c r="AG116" s="388"/>
      <c r="AH116" s="608"/>
      <c r="AI116" s="608"/>
      <c r="AJ116" s="608"/>
      <c r="AK116" s="608"/>
      <c r="AL116" s="360"/>
      <c r="AM116" s="360"/>
      <c r="AN116" s="360"/>
      <c r="AO116" s="360"/>
      <c r="AP116" s="360"/>
      <c r="AQ116" s="709">
        <f>SUM(AQ112:AQ115)</f>
        <v>157132</v>
      </c>
      <c r="AR116" s="707"/>
      <c r="AS116" s="707"/>
      <c r="AT116" s="707"/>
      <c r="AU116" s="707"/>
      <c r="AV116" s="388"/>
      <c r="AW116" s="608"/>
      <c r="AX116" s="608"/>
      <c r="AY116" s="608"/>
      <c r="AZ116" s="608"/>
      <c r="BA116" s="360"/>
      <c r="BB116"/>
      <c r="BC116"/>
      <c r="BD116"/>
      <c r="BE116"/>
      <c r="BF116" s="391"/>
    </row>
    <row r="117" spans="1:58" s="10" customFormat="1" x14ac:dyDescent="0.2">
      <c r="A117" s="199"/>
      <c r="B117" s="789" t="s">
        <v>892</v>
      </c>
      <c r="C117" s="790">
        <v>860</v>
      </c>
      <c r="D117" s="791"/>
      <c r="E117" s="791"/>
      <c r="F117" s="790"/>
      <c r="G117" s="792"/>
      <c r="H117" s="793">
        <f t="shared" ref="H117:H122" si="104">SUM(C117*0.27)</f>
        <v>232.20000000000002</v>
      </c>
      <c r="I117" s="793"/>
      <c r="J117" s="793"/>
      <c r="K117" s="793"/>
      <c r="L117" s="794"/>
      <c r="M117" s="793">
        <f t="shared" si="103"/>
        <v>1092.2</v>
      </c>
      <c r="N117" s="86"/>
      <c r="O117" s="86"/>
      <c r="P117" s="86"/>
      <c r="Q117" s="86"/>
      <c r="R117" s="86"/>
      <c r="S117" s="86"/>
      <c r="T117" s="86"/>
      <c r="U117" s="86"/>
      <c r="V117" s="86"/>
      <c r="W117" s="707"/>
      <c r="X117" s="707"/>
      <c r="Y117" s="707"/>
      <c r="Z117" s="707"/>
      <c r="AA117" s="707"/>
      <c r="AB117" s="707"/>
      <c r="AC117" s="707"/>
      <c r="AD117" s="707"/>
      <c r="AE117" s="707"/>
      <c r="AF117" s="707"/>
      <c r="AG117" s="707"/>
      <c r="AH117" s="360"/>
      <c r="AI117" s="360"/>
      <c r="AJ117" s="360"/>
      <c r="AK117" s="360"/>
      <c r="AL117" s="360"/>
      <c r="AM117" s="360"/>
      <c r="AN117" s="360"/>
      <c r="AO117" s="360"/>
      <c r="AP117" s="360"/>
      <c r="AQ117" s="707"/>
      <c r="AR117" s="707"/>
      <c r="AS117" s="707"/>
      <c r="AT117" s="707"/>
      <c r="AU117" s="707"/>
      <c r="AV117" s="707"/>
      <c r="AW117" s="360"/>
      <c r="AX117" s="360"/>
      <c r="AY117" s="360"/>
      <c r="AZ117" s="360"/>
      <c r="BA117" s="360"/>
      <c r="BB117"/>
      <c r="BC117"/>
      <c r="BD117"/>
      <c r="BE117"/>
      <c r="BF117" s="391"/>
    </row>
    <row r="118" spans="1:58" s="10" customFormat="1" x14ac:dyDescent="0.2">
      <c r="A118" s="199"/>
      <c r="B118" s="789" t="s">
        <v>891</v>
      </c>
      <c r="C118" s="790">
        <v>5350</v>
      </c>
      <c r="D118" s="791"/>
      <c r="E118" s="791"/>
      <c r="F118" s="790"/>
      <c r="G118" s="792"/>
      <c r="H118" s="793">
        <f t="shared" si="104"/>
        <v>1444.5</v>
      </c>
      <c r="I118" s="793"/>
      <c r="J118" s="793"/>
      <c r="K118" s="793"/>
      <c r="L118" s="794"/>
      <c r="M118" s="793">
        <f t="shared" si="103"/>
        <v>6794.5</v>
      </c>
      <c r="N118" s="86"/>
      <c r="O118" s="86"/>
      <c r="P118" s="86"/>
      <c r="Q118" s="86"/>
      <c r="R118" s="86"/>
      <c r="S118" s="86"/>
      <c r="T118" s="86"/>
      <c r="U118" s="86"/>
      <c r="V118" s="86"/>
      <c r="W118" s="707"/>
      <c r="X118" s="707"/>
      <c r="Y118" s="707"/>
      <c r="Z118" s="707"/>
      <c r="AA118" s="707"/>
      <c r="AB118" s="707"/>
      <c r="AC118" s="707"/>
      <c r="AD118" s="707"/>
      <c r="AE118" s="707"/>
      <c r="AF118" s="707"/>
      <c r="AG118" s="360"/>
      <c r="AH118" s="678"/>
      <c r="AI118" s="678"/>
      <c r="AJ118" s="608"/>
      <c r="AK118" s="678">
        <v>5350</v>
      </c>
      <c r="AL118" s="707"/>
      <c r="AM118" s="707"/>
      <c r="AN118" s="707"/>
      <c r="AO118" s="707"/>
      <c r="AP118" s="707"/>
      <c r="AQ118" s="388"/>
      <c r="AR118" s="388"/>
      <c r="AS118" s="388"/>
      <c r="AT118" s="388"/>
      <c r="AU118" s="388"/>
      <c r="AV118" s="360"/>
      <c r="AW118" s="360"/>
      <c r="AX118" s="360"/>
      <c r="AY118" s="360"/>
      <c r="AZ118" s="360"/>
      <c r="BA118" s="360"/>
      <c r="BB118"/>
      <c r="BC118"/>
      <c r="BD118"/>
      <c r="BE118"/>
      <c r="BF118" s="391"/>
    </row>
    <row r="119" spans="1:58" s="10" customFormat="1" x14ac:dyDescent="0.2">
      <c r="A119" s="199"/>
      <c r="B119" s="796" t="s">
        <v>1092</v>
      </c>
      <c r="C119" s="790">
        <v>2025</v>
      </c>
      <c r="D119" s="791"/>
      <c r="E119" s="791"/>
      <c r="F119" s="790"/>
      <c r="G119" s="792"/>
      <c r="H119" s="793">
        <f t="shared" si="104"/>
        <v>546.75</v>
      </c>
      <c r="I119" s="793"/>
      <c r="J119" s="793"/>
      <c r="K119" s="793"/>
      <c r="L119" s="794"/>
      <c r="M119" s="793">
        <f t="shared" si="103"/>
        <v>2571.75</v>
      </c>
      <c r="N119" s="86"/>
      <c r="O119" s="86"/>
      <c r="P119" s="86"/>
      <c r="Q119" s="86"/>
      <c r="R119" s="86"/>
      <c r="S119" s="86"/>
      <c r="T119" s="86"/>
      <c r="U119" s="86"/>
      <c r="V119" s="86"/>
      <c r="W119" s="707"/>
      <c r="X119" s="707"/>
      <c r="Y119" s="707"/>
      <c r="Z119" s="707"/>
      <c r="AA119" s="707"/>
      <c r="AB119" s="707"/>
      <c r="AC119" s="707"/>
      <c r="AD119" s="707"/>
      <c r="AE119" s="707"/>
      <c r="AF119" s="707"/>
      <c r="AG119" s="360"/>
      <c r="AH119" s="678"/>
      <c r="AI119" s="678"/>
      <c r="AJ119" s="608"/>
      <c r="AK119" s="678"/>
      <c r="AL119" s="707"/>
      <c r="AM119" s="707"/>
      <c r="AN119" s="707"/>
      <c r="AO119" s="707"/>
      <c r="AP119" s="707"/>
      <c r="AQ119" s="388"/>
      <c r="AR119" s="388"/>
      <c r="AS119" s="388"/>
      <c r="AT119" s="388"/>
      <c r="AU119" s="388"/>
      <c r="AV119" s="360"/>
      <c r="AW119" s="360"/>
      <c r="AX119" s="360"/>
      <c r="AY119" s="360"/>
      <c r="AZ119" s="360"/>
      <c r="BA119" s="360"/>
      <c r="BB119"/>
      <c r="BC119"/>
      <c r="BD119"/>
      <c r="BE119"/>
      <c r="BF119" s="391"/>
    </row>
    <row r="120" spans="1:58" s="10" customFormat="1" x14ac:dyDescent="0.2">
      <c r="A120" s="199"/>
      <c r="B120" s="796" t="s">
        <v>894</v>
      </c>
      <c r="C120" s="790">
        <v>2835</v>
      </c>
      <c r="D120" s="791"/>
      <c r="E120" s="791"/>
      <c r="F120" s="790"/>
      <c r="G120" s="792"/>
      <c r="H120" s="793">
        <f t="shared" si="104"/>
        <v>765.45</v>
      </c>
      <c r="I120" s="793"/>
      <c r="J120" s="793"/>
      <c r="K120" s="793"/>
      <c r="L120" s="794"/>
      <c r="M120" s="793">
        <f t="shared" si="103"/>
        <v>3600.45</v>
      </c>
      <c r="N120" s="86"/>
      <c r="O120" s="86"/>
      <c r="P120" s="86"/>
      <c r="Q120" s="86"/>
      <c r="R120" s="86"/>
      <c r="S120" s="86"/>
      <c r="T120" s="86"/>
      <c r="U120" s="86"/>
      <c r="V120" s="86"/>
      <c r="W120" s="707"/>
      <c r="X120" s="707"/>
      <c r="Y120" s="707"/>
      <c r="Z120" s="707"/>
      <c r="AA120" s="707"/>
      <c r="AB120" s="707"/>
      <c r="AC120" s="707"/>
      <c r="AD120" s="707"/>
      <c r="AE120" s="707"/>
      <c r="AF120" s="707"/>
      <c r="AG120" s="360"/>
      <c r="AH120" s="678"/>
      <c r="AI120" s="678"/>
      <c r="AJ120" s="608"/>
      <c r="AK120" s="678"/>
      <c r="AL120" s="707"/>
      <c r="AM120" s="707"/>
      <c r="AN120" s="707"/>
      <c r="AO120" s="707"/>
      <c r="AP120" s="707"/>
      <c r="AQ120" s="388"/>
      <c r="AR120" s="388"/>
      <c r="AS120" s="388"/>
      <c r="AT120" s="388"/>
      <c r="AU120" s="388"/>
      <c r="AV120" s="360"/>
      <c r="AW120" s="360"/>
      <c r="AX120" s="360"/>
      <c r="AY120" s="360"/>
      <c r="AZ120" s="360"/>
      <c r="BA120" s="360"/>
      <c r="BB120"/>
      <c r="BC120"/>
      <c r="BD120"/>
      <c r="BE120"/>
      <c r="BF120" s="391"/>
    </row>
    <row r="121" spans="1:58" s="10" customFormat="1" x14ac:dyDescent="0.2">
      <c r="A121" s="199"/>
      <c r="B121" s="789" t="s">
        <v>893</v>
      </c>
      <c r="C121" s="790">
        <v>1555</v>
      </c>
      <c r="D121" s="791"/>
      <c r="E121" s="791"/>
      <c r="F121" s="790"/>
      <c r="G121" s="792"/>
      <c r="H121" s="793">
        <f t="shared" si="104"/>
        <v>419.85</v>
      </c>
      <c r="I121" s="793"/>
      <c r="J121" s="793"/>
      <c r="K121" s="793"/>
      <c r="L121" s="794"/>
      <c r="M121" s="793">
        <f t="shared" si="103"/>
        <v>1974.85</v>
      </c>
      <c r="N121" s="86"/>
      <c r="O121" s="86"/>
      <c r="P121" s="86"/>
      <c r="Q121" s="86"/>
      <c r="R121" s="86"/>
      <c r="S121" s="86"/>
      <c r="T121" s="86"/>
      <c r="U121" s="86"/>
      <c r="V121" s="86"/>
      <c r="W121" s="707"/>
      <c r="X121" s="707"/>
      <c r="Y121" s="707"/>
      <c r="Z121" s="707"/>
      <c r="AA121" s="707"/>
      <c r="AB121" s="707"/>
      <c r="AC121" s="707"/>
      <c r="AD121" s="707"/>
      <c r="AE121" s="707"/>
      <c r="AF121" s="707"/>
      <c r="AG121" s="360"/>
      <c r="AH121" s="678"/>
      <c r="AI121" s="678"/>
      <c r="AJ121" s="608"/>
      <c r="AK121" s="678">
        <v>1555</v>
      </c>
      <c r="AL121" s="707"/>
      <c r="AM121" s="707"/>
      <c r="AN121" s="707"/>
      <c r="AO121" s="707"/>
      <c r="AP121" s="707"/>
      <c r="AQ121" s="388"/>
      <c r="AR121" s="388"/>
      <c r="AS121" s="388"/>
      <c r="AT121" s="388"/>
      <c r="AU121" s="388"/>
      <c r="AV121" s="360"/>
      <c r="AW121" s="360"/>
      <c r="AX121" s="360"/>
      <c r="AY121" s="360"/>
      <c r="AZ121" s="360"/>
      <c r="BA121" s="360"/>
      <c r="BB121"/>
      <c r="BC121"/>
      <c r="BD121"/>
      <c r="BE121"/>
      <c r="BF121" s="391"/>
    </row>
    <row r="122" spans="1:58" s="10" customFormat="1" x14ac:dyDescent="0.2">
      <c r="A122" s="199"/>
      <c r="B122" s="795" t="s">
        <v>1110</v>
      </c>
      <c r="C122" s="790">
        <v>315</v>
      </c>
      <c r="D122" s="795"/>
      <c r="E122" s="791"/>
      <c r="F122" s="790"/>
      <c r="G122" s="792"/>
      <c r="H122" s="793">
        <f t="shared" si="104"/>
        <v>85.050000000000011</v>
      </c>
      <c r="I122" s="793"/>
      <c r="J122" s="793"/>
      <c r="K122" s="793"/>
      <c r="L122" s="794"/>
      <c r="M122" s="793">
        <f t="shared" si="103"/>
        <v>400.05</v>
      </c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 s="391"/>
    </row>
    <row r="123" spans="1:58" s="10" customFormat="1" x14ac:dyDescent="0.2">
      <c r="A123" s="199"/>
      <c r="B123" s="795" t="s">
        <v>952</v>
      </c>
      <c r="C123" s="790">
        <v>315</v>
      </c>
      <c r="D123" s="795"/>
      <c r="E123" s="791"/>
      <c r="F123" s="790"/>
      <c r="G123" s="792"/>
      <c r="H123" s="793">
        <f>SUM(C123*0.27)</f>
        <v>85.050000000000011</v>
      </c>
      <c r="I123" s="793"/>
      <c r="J123" s="793"/>
      <c r="K123" s="793"/>
      <c r="L123" s="794"/>
      <c r="M123" s="793">
        <f t="shared" si="103"/>
        <v>400.05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 t="s">
        <v>1194</v>
      </c>
      <c r="AC123"/>
      <c r="AD123"/>
      <c r="AE123"/>
      <c r="AF123"/>
      <c r="AG123" s="86">
        <f>SUM(M118+M119+M120+M121)</f>
        <v>14941.550000000001</v>
      </c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 s="391"/>
    </row>
    <row r="124" spans="1:58" s="10" customFormat="1" x14ac:dyDescent="0.2">
      <c r="A124" s="199"/>
      <c r="B124" s="795" t="s">
        <v>1118</v>
      </c>
      <c r="C124" s="790">
        <v>4500</v>
      </c>
      <c r="D124" s="795"/>
      <c r="E124" s="791"/>
      <c r="F124" s="790"/>
      <c r="G124" s="792"/>
      <c r="H124" s="793">
        <f>SUM(C124*0.27)</f>
        <v>1215</v>
      </c>
      <c r="I124" s="793"/>
      <c r="J124" s="793"/>
      <c r="K124" s="793"/>
      <c r="L124" s="794"/>
      <c r="M124" s="793">
        <f t="shared" si="103"/>
        <v>5715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 s="391"/>
    </row>
    <row r="125" spans="1:58" s="10" customFormat="1" x14ac:dyDescent="0.2">
      <c r="A125" s="199"/>
      <c r="B125" s="795" t="s">
        <v>1126</v>
      </c>
      <c r="C125" s="790">
        <v>4500</v>
      </c>
      <c r="D125" s="795"/>
      <c r="E125" s="791"/>
      <c r="F125" s="790"/>
      <c r="G125" s="792"/>
      <c r="H125" s="793">
        <f>SUM(C125*0.27)</f>
        <v>1215</v>
      </c>
      <c r="I125" s="793"/>
      <c r="J125" s="793"/>
      <c r="K125" s="793"/>
      <c r="L125" s="794"/>
      <c r="M125" s="793">
        <f t="shared" si="103"/>
        <v>5715</v>
      </c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 s="391"/>
    </row>
    <row r="126" spans="1:58" s="10" customFormat="1" x14ac:dyDescent="0.2">
      <c r="A126" s="199"/>
      <c r="B126" s="795" t="s">
        <v>1131</v>
      </c>
      <c r="C126" s="790">
        <v>860</v>
      </c>
      <c r="D126" s="795"/>
      <c r="E126" s="791"/>
      <c r="F126" s="790"/>
      <c r="G126" s="792"/>
      <c r="H126" s="793">
        <v>0</v>
      </c>
      <c r="I126" s="793"/>
      <c r="J126" s="793"/>
      <c r="K126" s="793"/>
      <c r="L126" s="794"/>
      <c r="M126" s="793">
        <f t="shared" si="103"/>
        <v>860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391"/>
    </row>
    <row r="127" spans="1:58" s="10" customFormat="1" x14ac:dyDescent="0.2">
      <c r="A127" s="199"/>
      <c r="B127" s="795" t="s">
        <v>1113</v>
      </c>
      <c r="C127" s="790">
        <v>100</v>
      </c>
      <c r="D127" s="795"/>
      <c r="E127" s="791"/>
      <c r="F127" s="790"/>
      <c r="G127"/>
      <c r="H127" s="791">
        <f>SUM(C127*0.27)</f>
        <v>27</v>
      </c>
      <c r="I127" s="793"/>
      <c r="J127" s="793"/>
      <c r="K127" s="793"/>
      <c r="L127"/>
      <c r="M127" s="793">
        <f t="shared" si="103"/>
        <v>127</v>
      </c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8" s="10" customFormat="1" x14ac:dyDescent="0.2">
      <c r="A128" s="199"/>
      <c r="B128" s="795" t="s">
        <v>1212</v>
      </c>
      <c r="C128" s="790">
        <v>515</v>
      </c>
      <c r="D128" s="795"/>
      <c r="E128" s="791"/>
      <c r="F128" s="790"/>
      <c r="G128"/>
      <c r="H128" s="791">
        <v>97</v>
      </c>
      <c r="I128" s="793"/>
      <c r="J128" s="793"/>
      <c r="K128" s="793"/>
      <c r="L128"/>
      <c r="M128" s="793">
        <f t="shared" si="103"/>
        <v>612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8" s="10" customFormat="1" x14ac:dyDescent="0.2">
      <c r="A129" s="199"/>
      <c r="B129" s="795" t="s">
        <v>1242</v>
      </c>
      <c r="C129" s="790">
        <v>140</v>
      </c>
      <c r="D129" s="795"/>
      <c r="E129" s="791"/>
      <c r="F129" s="790"/>
      <c r="G129"/>
      <c r="H129" s="791">
        <v>0</v>
      </c>
      <c r="I129" s="793"/>
      <c r="J129" s="793"/>
      <c r="K129" s="793"/>
      <c r="L129"/>
      <c r="M129" s="793">
        <f t="shared" si="103"/>
        <v>140</v>
      </c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8" s="10" customFormat="1" ht="25.5" x14ac:dyDescent="0.2">
      <c r="A130" s="199"/>
      <c r="B130" s="919" t="s">
        <v>1264</v>
      </c>
      <c r="C130" s="790">
        <v>9900</v>
      </c>
      <c r="D130" s="795"/>
      <c r="E130" s="791"/>
      <c r="F130" s="790"/>
      <c r="G130" s="229"/>
      <c r="H130" s="791">
        <v>2673</v>
      </c>
      <c r="I130" s="793"/>
      <c r="J130" s="793"/>
      <c r="K130" s="793"/>
      <c r="L130" s="229"/>
      <c r="M130" s="793">
        <f t="shared" si="103"/>
        <v>12573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8" s="10" customFormat="1" x14ac:dyDescent="0.2">
      <c r="A131" s="199"/>
      <c r="B131" s="919" t="s">
        <v>1283</v>
      </c>
      <c r="C131" s="790">
        <v>300</v>
      </c>
      <c r="D131" s="795"/>
      <c r="E131" s="791"/>
      <c r="F131" s="790"/>
      <c r="G131" s="229"/>
      <c r="H131" s="791">
        <v>81</v>
      </c>
      <c r="I131" s="793"/>
      <c r="J131" s="793"/>
      <c r="K131" s="793"/>
      <c r="L131" s="229"/>
      <c r="M131" s="793">
        <f t="shared" si="103"/>
        <v>381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8" s="10" customFormat="1" x14ac:dyDescent="0.2">
      <c r="A132" s="199"/>
      <c r="B132" s="795" t="s">
        <v>1387</v>
      </c>
      <c r="C132" s="790">
        <v>6685</v>
      </c>
      <c r="D132" s="795"/>
      <c r="E132" s="791"/>
      <c r="F132" s="790"/>
      <c r="G132"/>
      <c r="H132" s="791">
        <v>995</v>
      </c>
      <c r="I132" s="793"/>
      <c r="J132" s="793"/>
      <c r="K132" s="793"/>
      <c r="L132"/>
      <c r="M132" s="793">
        <f t="shared" si="103"/>
        <v>7680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8" s="10" customFormat="1" x14ac:dyDescent="0.2">
      <c r="A133" s="199"/>
      <c r="B133" s="795" t="s">
        <v>1388</v>
      </c>
      <c r="C133" s="790">
        <v>390</v>
      </c>
      <c r="D133" s="795"/>
      <c r="E133" s="791"/>
      <c r="F133" s="790"/>
      <c r="G133"/>
      <c r="H133" s="791">
        <v>105</v>
      </c>
      <c r="I133" s="793"/>
      <c r="J133" s="793"/>
      <c r="K133" s="793"/>
      <c r="L133"/>
      <c r="M133" s="793">
        <f t="shared" si="103"/>
        <v>495</v>
      </c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8" s="10" customFormat="1" ht="11.25" customHeight="1" x14ac:dyDescent="0.2">
      <c r="A134" s="199"/>
      <c r="B134" s="795" t="s">
        <v>1389</v>
      </c>
      <c r="C134" s="790">
        <v>390</v>
      </c>
      <c r="D134" s="795"/>
      <c r="E134" s="791"/>
      <c r="F134" s="790"/>
      <c r="G134"/>
      <c r="H134" s="791">
        <v>105</v>
      </c>
      <c r="I134" s="793"/>
      <c r="J134" s="793"/>
      <c r="K134" s="793"/>
      <c r="L134"/>
      <c r="M134" s="793">
        <f t="shared" si="103"/>
        <v>495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8" ht="13.5" thickBot="1" x14ac:dyDescent="0.25">
      <c r="B135" s="229"/>
    </row>
    <row r="136" spans="1:58" ht="13.5" thickBot="1" x14ac:dyDescent="0.25">
      <c r="B136" s="366" t="s">
        <v>47</v>
      </c>
      <c r="C136" s="248">
        <f>SUM(C111:C135)</f>
        <v>46566</v>
      </c>
      <c r="D136" s="657"/>
      <c r="E136" s="657"/>
      <c r="F136" s="248"/>
      <c r="G136" s="248"/>
      <c r="H136" s="660">
        <f>SUM(H111:H135)</f>
        <v>12362.220000000001</v>
      </c>
      <c r="M136" s="197">
        <f>SUM(C136:H136)</f>
        <v>58928.22</v>
      </c>
      <c r="N136" s="10"/>
      <c r="O136" s="10"/>
      <c r="P136" s="10"/>
      <c r="Q136" s="10"/>
      <c r="R136" s="45"/>
    </row>
    <row r="137" spans="1:58" x14ac:dyDescent="0.2">
      <c r="M137" s="388">
        <f>SUM(C136:H136)</f>
        <v>58928.22</v>
      </c>
    </row>
    <row r="142" spans="1:58" x14ac:dyDescent="0.2">
      <c r="BF142"/>
    </row>
    <row r="143" spans="1:58" x14ac:dyDescent="0.2">
      <c r="BF143"/>
    </row>
    <row r="144" spans="1:58" x14ac:dyDescent="0.2">
      <c r="BF144"/>
    </row>
    <row r="145" spans="1:58" x14ac:dyDescent="0.2">
      <c r="BF145"/>
    </row>
    <row r="146" spans="1:58" x14ac:dyDescent="0.2">
      <c r="BF146"/>
    </row>
    <row r="147" spans="1:58" x14ac:dyDescent="0.2">
      <c r="A147"/>
      <c r="H147"/>
      <c r="I147"/>
      <c r="J147"/>
      <c r="K147"/>
      <c r="BF147"/>
    </row>
    <row r="148" spans="1:58" x14ac:dyDescent="0.2">
      <c r="A148"/>
      <c r="H148"/>
      <c r="I148"/>
      <c r="J148"/>
      <c r="K148"/>
      <c r="BF148"/>
    </row>
    <row r="149" spans="1:58" x14ac:dyDescent="0.2">
      <c r="A149"/>
      <c r="H149"/>
      <c r="I149"/>
      <c r="J149"/>
      <c r="K149"/>
      <c r="BF149"/>
    </row>
    <row r="150" spans="1:58" x14ac:dyDescent="0.2">
      <c r="A150"/>
      <c r="H150"/>
      <c r="I150"/>
      <c r="J150"/>
      <c r="K150"/>
      <c r="BF150"/>
    </row>
    <row r="151" spans="1:58" x14ac:dyDescent="0.2">
      <c r="A151"/>
      <c r="H151"/>
      <c r="I151"/>
      <c r="J151"/>
      <c r="K151"/>
      <c r="BF151"/>
    </row>
    <row r="152" spans="1:58" x14ac:dyDescent="0.2">
      <c r="A152"/>
      <c r="H152"/>
      <c r="I152"/>
      <c r="J152"/>
      <c r="K152"/>
      <c r="BF152"/>
    </row>
    <row r="153" spans="1:58" x14ac:dyDescent="0.2">
      <c r="A153"/>
      <c r="H153"/>
      <c r="I153"/>
      <c r="J153"/>
      <c r="K153"/>
      <c r="BF153"/>
    </row>
    <row r="154" spans="1:58" x14ac:dyDescent="0.2">
      <c r="A154"/>
      <c r="H154"/>
      <c r="I154"/>
      <c r="J154"/>
      <c r="K154"/>
      <c r="BF154"/>
    </row>
    <row r="155" spans="1:58" x14ac:dyDescent="0.2">
      <c r="A155"/>
      <c r="H155"/>
      <c r="I155"/>
      <c r="J155"/>
      <c r="K155"/>
      <c r="BF155"/>
    </row>
    <row r="156" spans="1:58" x14ac:dyDescent="0.2">
      <c r="A156"/>
      <c r="H156"/>
      <c r="I156"/>
      <c r="J156"/>
      <c r="K156"/>
      <c r="BF156"/>
    </row>
    <row r="157" spans="1:58" x14ac:dyDescent="0.2">
      <c r="A157"/>
      <c r="H157"/>
      <c r="I157"/>
      <c r="J157"/>
      <c r="K157"/>
      <c r="BF157"/>
    </row>
    <row r="158" spans="1:58" x14ac:dyDescent="0.2">
      <c r="A158"/>
      <c r="H158"/>
      <c r="I158"/>
      <c r="J158"/>
      <c r="K158"/>
      <c r="BF158"/>
    </row>
    <row r="159" spans="1:58" x14ac:dyDescent="0.2">
      <c r="A159"/>
      <c r="H159"/>
      <c r="I159"/>
      <c r="J159"/>
      <c r="K159"/>
      <c r="BF159"/>
    </row>
    <row r="160" spans="1:58" x14ac:dyDescent="0.2">
      <c r="A160"/>
      <c r="H160"/>
      <c r="I160"/>
      <c r="J160"/>
      <c r="K160"/>
      <c r="BF160"/>
    </row>
    <row r="161" customFormat="1" x14ac:dyDescent="0.2"/>
    <row r="162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</sheetData>
  <mergeCells count="21">
    <mergeCell ref="C4:X4"/>
    <mergeCell ref="C5:X5"/>
    <mergeCell ref="C6:X6"/>
    <mergeCell ref="AB4:BB4"/>
    <mergeCell ref="AB5:BB5"/>
    <mergeCell ref="AB6:BB6"/>
    <mergeCell ref="BA8:BE8"/>
    <mergeCell ref="H8:L8"/>
    <mergeCell ref="M8:Q8"/>
    <mergeCell ref="R8:V8"/>
    <mergeCell ref="AL8:AP8"/>
    <mergeCell ref="W8:AA8"/>
    <mergeCell ref="AB8:AF8"/>
    <mergeCell ref="AG8:AK8"/>
    <mergeCell ref="AQ8:AU8"/>
    <mergeCell ref="AV8:AZ8"/>
    <mergeCell ref="G22:G23"/>
    <mergeCell ref="G84:G85"/>
    <mergeCell ref="A8:A9"/>
    <mergeCell ref="B8:B9"/>
    <mergeCell ref="C8:G8"/>
  </mergeCells>
  <pageMargins left="0.19685039370078741" right="0.15748031496062992" top="0.43307086614173229" bottom="0.15748031496062992" header="0.39370078740157483" footer="0.15748031496062992"/>
  <pageSetup paperSize="9" scale="65" orientation="landscape" r:id="rId1"/>
  <headerFooter alignWithMargins="0"/>
  <rowBreaks count="2" manualBreakCount="2">
    <brk id="47" max="60" man="1"/>
    <brk id="96" max="60" man="1"/>
  </rowBreaks>
  <colBreaks count="1" manualBreakCount="1">
    <brk id="27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12. Maradványkimutatás</vt:lpstr>
      <vt:lpstr>13.Mérleg</vt:lpstr>
      <vt:lpstr>14. Eredménykimutatás</vt:lpstr>
      <vt:lpstr>15. Vagyonkimutatás</vt:lpstr>
      <vt:lpstr>16. Előirányzat felh.terv</vt:lpstr>
      <vt:lpstr>17. Részesedések</vt:lpstr>
      <vt:lpstr>11.Likviditás</vt:lpstr>
      <vt:lpstr>12. gördülő tervezés</vt:lpstr>
      <vt:lpstr>13. Eu projekt</vt:lpstr>
      <vt:lpstr>Társulási fel. tájékoztatásul</vt:lpstr>
      <vt:lpstr>beruházások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gördülő tervezés'!Nyomtatási_terület</vt:lpstr>
      <vt:lpstr>'12. Maradványkimutatás'!Nyomtatási_terület</vt:lpstr>
      <vt:lpstr>'13. Eu projekt'!Nyomtatási_terület</vt:lpstr>
      <vt:lpstr>'15. Vagyonkimutatás'!Nyomtatási_terület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beruházások!Nyomtatási_terület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2022-05-19T13:08:29Z</cp:lastPrinted>
  <dcterms:created xsi:type="dcterms:W3CDTF">2009-11-11T14:39:35Z</dcterms:created>
  <dcterms:modified xsi:type="dcterms:W3CDTF">2022-05-19T13:22:05Z</dcterms:modified>
</cp:coreProperties>
</file>