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D:\2025\2025_Kereki\2025_ktgvetés_Ke\"/>
    </mc:Choice>
  </mc:AlternateContent>
  <xr:revisionPtr revIDLastSave="0" documentId="13_ncr:1_{20BEBD0E-379D-4FA9-B80B-6DB798A6C67F}" xr6:coauthVersionLast="47" xr6:coauthVersionMax="47" xr10:uidLastSave="{00000000-0000-0000-0000-000000000000}"/>
  <bookViews>
    <workbookView xWindow="-120" yWindow="-120" windowWidth="29040" windowHeight="15720" tabRatio="898" firstSheet="1" activeTab="1" xr2:uid="{00000000-000D-0000-FFFF-FFFF00000000}"/>
  </bookViews>
  <sheets>
    <sheet name="Összesítő" sheetId="62" state="hidden" r:id="rId1"/>
    <sheet name="1.Bev-kiad." sheetId="36" r:id="rId2"/>
    <sheet name="2.működés" sheetId="57" r:id="rId3"/>
    <sheet name="3.felh" sheetId="58" r:id="rId4"/>
    <sheet name="4. Átadott p.eszk." sheetId="39" r:id="rId5"/>
    <sheet name="5.Bev.össz." sheetId="51" r:id="rId6"/>
    <sheet name="6.Kiad.össz." sheetId="44" r:id="rId7"/>
    <sheet name="7.Önk." sheetId="46" r:id="rId8"/>
    <sheet name="8.Többéves" sheetId="64" r:id="rId9"/>
    <sheet name="9.Adósság" sheetId="52" r:id="rId10"/>
    <sheet name="10.Likviditás" sheetId="53" r:id="rId11"/>
    <sheet name="11.Eu projekt" sheetId="56" r:id="rId12"/>
    <sheet name="12.Gördülő" sheetId="60" r:id="rId13"/>
    <sheet name="13.Mérlegszerű kimutatás" sheetId="65" r:id="rId14"/>
    <sheet name="14.Tartalék" sheetId="66" r:id="rId15"/>
    <sheet name="TKT ktgfelosztás tájékoztatásul" sheetId="63" r:id="rId16"/>
  </sheets>
  <externalReferences>
    <externalReference r:id="rId17"/>
    <externalReference r:id="rId18"/>
    <externalReference r:id="rId19"/>
  </externalReferences>
  <definedNames>
    <definedName name="_xlnm._FilterDatabase" localSheetId="1" hidden="1">'1.Bev-kiad.'!$B$1:$B$65</definedName>
    <definedName name="_xlnm._FilterDatabase" localSheetId="12" hidden="1">'12.Gördülő'!$B$1:$B$62</definedName>
    <definedName name="_xlnm._FilterDatabase" localSheetId="2" hidden="1">'2.működés'!$B$1:$B$102</definedName>
    <definedName name="_xlnm._FilterDatabase" localSheetId="3" hidden="1">'3.felh'!$B$1:$B$40</definedName>
    <definedName name="beruh" localSheetId="11">'[1]4.1. táj.'!#REF!</definedName>
    <definedName name="beruh" localSheetId="12">'[1]4.1. táj.'!#REF!</definedName>
    <definedName name="beruh" localSheetId="2">'[1]4.1. táj.'!#REF!</definedName>
    <definedName name="beruh" localSheetId="3">'[1]4.1. táj.'!#REF!</definedName>
    <definedName name="beruh">'[1]4.1. táj.'!#REF!</definedName>
    <definedName name="intézmények" localSheetId="11">'[2]4.1. táj.'!#REF!</definedName>
    <definedName name="intézmények" localSheetId="12">'[2]4.1. táj.'!#REF!</definedName>
    <definedName name="intézmények" localSheetId="2">'[2]4.1. táj.'!#REF!</definedName>
    <definedName name="intézmények" localSheetId="3">'[2]4.1. táj.'!#REF!</definedName>
    <definedName name="intézmények" localSheetId="5">'[2]4.1. táj.'!#REF!</definedName>
    <definedName name="intézmények">'[2]4.1. táj.'!#REF!</definedName>
    <definedName name="_xlnm.Print_Titles" localSheetId="2">'2.működés'!$7:$7</definedName>
    <definedName name="_xlnm.Print_Titles" localSheetId="5">'5.Bev.össz.'!$A:$A,'5.Bev.össz.'!$1:$7</definedName>
    <definedName name="_xlnm.Print_Titles" localSheetId="6">'6.Kiad.össz.'!$A:$A,'6.Kiad.össz.'!$1:$11</definedName>
    <definedName name="_xlnm.Print_Area" localSheetId="1">'1.Bev-kiad.'!$A$1:$D$82</definedName>
    <definedName name="_xlnm.Print_Area" localSheetId="10">'10.Likviditás'!$A$1:$N$29</definedName>
    <definedName name="_xlnm.Print_Area" localSheetId="11">'11.Eu projekt'!$A$1:$K$16</definedName>
    <definedName name="_xlnm.Print_Area" localSheetId="12">'12.Gördülő'!$A$1:$F$79</definedName>
    <definedName name="_xlnm.Print_Area" localSheetId="2">'2.működés'!$A$1:$H$116</definedName>
    <definedName name="_xlnm.Print_Area" localSheetId="3">'3.felh'!$A$1:$H$71</definedName>
    <definedName name="_xlnm.Print_Area" localSheetId="4">'4. Átadott p.eszk.'!$A$1:$G$62</definedName>
    <definedName name="_xlnm.Print_Area" localSheetId="5">'5.Bev.össz.'!$A$1:$M$21</definedName>
    <definedName name="_xlnm.Print_Area" localSheetId="6">'6.Kiad.össz.'!$A$1:$P$28</definedName>
    <definedName name="_xlnm.Print_Area" localSheetId="7">'7.Önk.'!$A$1:$Q$219</definedName>
    <definedName name="_xlnm.Print_Area" localSheetId="8">'8.Többéves'!$A$1:$H$19</definedName>
    <definedName name="_xlnm.Print_Area" localSheetId="9">'9.Adósság'!$A$1:$H$18</definedName>
    <definedName name="_xlnm.Print_Area" localSheetId="15">'TKT ktgfelosztás tájékoztatásul'!$A$1:$S$39</definedName>
    <definedName name="qewrqewr" localSheetId="12">'[1]4.1. táj.'!#REF!</definedName>
    <definedName name="qewrqewr">'[1]4.1. táj.'!#REF!</definedName>
    <definedName name="Z_ABF21C5C_6078_4D03_96DF_78390D4F8F84_.wvu.Cols" localSheetId="4" hidden="1">'4. Átadott p.eszk.'!#REF!,'4. Átadott p.eszk.'!$HS:$IV</definedName>
    <definedName name="Z_ABF21C5C_6078_4D03_96DF_78390D4F8F84_.wvu.FilterData" localSheetId="1" hidden="1">'1.Bev-kiad.'!$B$1:$B$65</definedName>
    <definedName name="Z_ABF21C5C_6078_4D03_96DF_78390D4F8F84_.wvu.FilterData" localSheetId="12" hidden="1">'12.Gördülő'!$B$1:$B$62</definedName>
    <definedName name="Z_ABF21C5C_6078_4D03_96DF_78390D4F8F84_.wvu.FilterData" localSheetId="2" hidden="1">'2.működés'!$B$1:$B$102</definedName>
    <definedName name="Z_ABF21C5C_6078_4D03_96DF_78390D4F8F84_.wvu.FilterData" localSheetId="3" hidden="1">'3.felh'!$B$1:$B$40</definedName>
    <definedName name="Z_ABF21C5C_6078_4D03_96DF_78390D4F8F84_.wvu.PrintArea" localSheetId="1" hidden="1">'1.Bev-kiad.'!$B$1:$B$82</definedName>
    <definedName name="Z_ABF21C5C_6078_4D03_96DF_78390D4F8F84_.wvu.PrintArea" localSheetId="12" hidden="1">'12.Gördülő'!$B$1:$B$78</definedName>
    <definedName name="Z_ABF21C5C_6078_4D03_96DF_78390D4F8F84_.wvu.PrintArea" localSheetId="2" hidden="1">'2.működés'!$B$1:$B$115</definedName>
    <definedName name="Z_ABF21C5C_6078_4D03_96DF_78390D4F8F84_.wvu.PrintArea" localSheetId="3" hidden="1">'3.felh'!$B$1:$B$63</definedName>
    <definedName name="Z_ABF21C5C_6078_4D03_96DF_78390D4F8F84_.wvu.PrintArea" localSheetId="4" hidden="1">'4. Átadott p.eszk.'!$A$1:$A$41</definedName>
    <definedName name="Z_ABF21C5C_6078_4D03_96DF_78390D4F8F84_.wvu.PrintArea" localSheetId="7" hidden="1">'7.Önk.'!$B$1:$B$78</definedName>
    <definedName name="Z_ABF21C5C_6078_4D03_96DF_78390D4F8F84_.wvu.Rows" localSheetId="1" hidden="1">'1.Bev-kiad.'!#REF!</definedName>
    <definedName name="Z_ABF21C5C_6078_4D03_96DF_78390D4F8F84_.wvu.Rows" localSheetId="12" hidden="1">'12.Gördülő'!#REF!</definedName>
    <definedName name="Z_ABF21C5C_6078_4D03_96DF_78390D4F8F84_.wvu.Rows" localSheetId="2" hidden="1">'2.működés'!#REF!</definedName>
    <definedName name="Z_ABF21C5C_6078_4D03_96DF_78390D4F8F84_.wvu.Rows" localSheetId="3" hidden="1">'3.felh'!#REF!</definedName>
    <definedName name="Z_ABF21C5C_6078_4D03_96DF_78390D4F8F84_.wvu.Rows" localSheetId="4" hidden="1">'4. Átadott p.eszk.'!#REF!,'4. Átadott p.eszk.'!#REF!,'4. Átadott p.eszk.'!#REF!,'4. Átadott p.eszk.'!#REF!,'4. Átadott p.eszk.'!#REF!</definedName>
    <definedName name="Z_ABF21C5C_6078_4D03_96DF_78390D4F8F84_.wvu.Rows" localSheetId="7" hidden="1">'7.Önk.'!#REF!,'7.Önk.'!$26:$26</definedName>
  </definedNames>
  <calcPr calcId="181029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</workbook>
</file>

<file path=xl/calcChain.xml><?xml version="1.0" encoding="utf-8"?>
<calcChain xmlns="http://schemas.openxmlformats.org/spreadsheetml/2006/main">
  <c r="D64" i="60" l="1"/>
  <c r="D63" i="60" s="1"/>
  <c r="D62" i="60" s="1"/>
  <c r="E64" i="60"/>
  <c r="E63" i="60" s="1"/>
  <c r="F64" i="60"/>
  <c r="F63" i="60" s="1"/>
  <c r="C66" i="60"/>
  <c r="C67" i="60"/>
  <c r="C68" i="60"/>
  <c r="D59" i="46"/>
  <c r="D390" i="46" s="1"/>
  <c r="C390" i="46"/>
  <c r="N82" i="57"/>
  <c r="C58" i="46"/>
  <c r="C82" i="57"/>
  <c r="K82" i="57"/>
  <c r="C81" i="57"/>
  <c r="C46" i="46"/>
  <c r="I53" i="57"/>
  <c r="I57" i="57"/>
  <c r="I55" i="57" s="1"/>
  <c r="I60" i="57"/>
  <c r="I58" i="57" s="1"/>
  <c r="C69" i="46" l="1"/>
  <c r="E58" i="46"/>
  <c r="D14" i="46" l="1"/>
  <c r="C16" i="46"/>
  <c r="J390" i="46"/>
  <c r="H73" i="46"/>
  <c r="K59" i="46"/>
  <c r="E390" i="46"/>
  <c r="F390" i="46"/>
  <c r="G390" i="46"/>
  <c r="H390" i="46"/>
  <c r="I390" i="46"/>
  <c r="K390" i="46"/>
  <c r="L390" i="46"/>
  <c r="G59" i="46"/>
  <c r="K48" i="46"/>
  <c r="P51" i="46"/>
  <c r="D50" i="46"/>
  <c r="I86" i="57"/>
  <c r="I85" i="57"/>
  <c r="I84" i="57"/>
  <c r="F94" i="57" l="1"/>
  <c r="G113" i="57"/>
  <c r="G106" i="57"/>
  <c r="G105" i="57"/>
  <c r="G104" i="57"/>
  <c r="G103" i="57"/>
  <c r="F113" i="57"/>
  <c r="F106" i="57"/>
  <c r="F105" i="57"/>
  <c r="F104" i="57"/>
  <c r="F103" i="57"/>
  <c r="E113" i="57"/>
  <c r="E106" i="57"/>
  <c r="E105" i="57"/>
  <c r="E104" i="57"/>
  <c r="E103" i="57"/>
  <c r="D113" i="57"/>
  <c r="D106" i="57"/>
  <c r="D105" i="57"/>
  <c r="D104" i="57"/>
  <c r="D103" i="57"/>
  <c r="G62" i="57"/>
  <c r="G58" i="57"/>
  <c r="G55" i="57"/>
  <c r="G53" i="57"/>
  <c r="G48" i="57"/>
  <c r="G43" i="57"/>
  <c r="G38" i="57"/>
  <c r="G37" i="57" s="1"/>
  <c r="G32" i="57"/>
  <c r="G28" i="57" s="1"/>
  <c r="G26" i="57" s="1"/>
  <c r="G30" i="57"/>
  <c r="G12" i="57"/>
  <c r="G11" i="57"/>
  <c r="F62" i="57"/>
  <c r="F58" i="57"/>
  <c r="F55" i="57"/>
  <c r="F53" i="57"/>
  <c r="F48" i="57"/>
  <c r="F43" i="57"/>
  <c r="F38" i="57"/>
  <c r="F37" i="57" s="1"/>
  <c r="F32" i="57"/>
  <c r="F28" i="57" s="1"/>
  <c r="F26" i="57" s="1"/>
  <c r="F30" i="57"/>
  <c r="F12" i="57"/>
  <c r="F11" i="57"/>
  <c r="E62" i="57"/>
  <c r="E58" i="57"/>
  <c r="E55" i="57"/>
  <c r="E53" i="57"/>
  <c r="E48" i="57"/>
  <c r="E43" i="57"/>
  <c r="E38" i="57"/>
  <c r="E37" i="57" s="1"/>
  <c r="E32" i="57"/>
  <c r="E28" i="57" s="1"/>
  <c r="E26" i="57" s="1"/>
  <c r="E30" i="57"/>
  <c r="E12" i="57"/>
  <c r="E11" i="57"/>
  <c r="D62" i="57"/>
  <c r="D58" i="57"/>
  <c r="D55" i="57"/>
  <c r="D53" i="57"/>
  <c r="D48" i="57"/>
  <c r="D43" i="57"/>
  <c r="D38" i="57"/>
  <c r="D37" i="57" s="1"/>
  <c r="D32" i="57"/>
  <c r="D28" i="57" s="1"/>
  <c r="D26" i="57" s="1"/>
  <c r="D30" i="57"/>
  <c r="D12" i="57"/>
  <c r="D11" i="57"/>
  <c r="I62" i="57"/>
  <c r="I48" i="57"/>
  <c r="I43" i="57"/>
  <c r="I38" i="57"/>
  <c r="I37" i="57" s="1"/>
  <c r="I32" i="57"/>
  <c r="I30" i="57"/>
  <c r="I28" i="57" s="1"/>
  <c r="I26" i="57" s="1"/>
  <c r="I12" i="57"/>
  <c r="I11" i="57"/>
  <c r="C62" i="57"/>
  <c r="C58" i="57"/>
  <c r="C55" i="57"/>
  <c r="C53" i="57"/>
  <c r="C48" i="57"/>
  <c r="C43" i="57"/>
  <c r="C38" i="57"/>
  <c r="C37" i="57"/>
  <c r="C32" i="57"/>
  <c r="C30" i="57"/>
  <c r="C28" i="57"/>
  <c r="C26" i="57" s="1"/>
  <c r="C12" i="57"/>
  <c r="C11" i="57" s="1"/>
  <c r="C47" i="57" l="1"/>
  <c r="D47" i="57"/>
  <c r="E47" i="57"/>
  <c r="F47" i="57"/>
  <c r="F10" i="57" s="1"/>
  <c r="F9" i="57" s="1"/>
  <c r="G47" i="57"/>
  <c r="G10" i="57" s="1"/>
  <c r="G9" i="57" s="1"/>
  <c r="E10" i="57"/>
  <c r="E9" i="57" s="1"/>
  <c r="D10" i="57"/>
  <c r="D9" i="57" s="1"/>
  <c r="I47" i="57"/>
  <c r="I10" i="57" s="1"/>
  <c r="I9" i="57" s="1"/>
  <c r="C10" i="57"/>
  <c r="C9" i="57" s="1"/>
  <c r="C37" i="63" l="1"/>
  <c r="B37" i="63"/>
  <c r="T20" i="63"/>
  <c r="R20" i="63"/>
  <c r="O20" i="63"/>
  <c r="N20" i="63"/>
  <c r="L20" i="63"/>
  <c r="H20" i="63"/>
  <c r="G20" i="63"/>
  <c r="F20" i="63"/>
  <c r="E20" i="63"/>
  <c r="D20" i="63"/>
  <c r="E21" i="63" s="1"/>
  <c r="B20" i="63"/>
  <c r="O19" i="63"/>
  <c r="M19" i="63"/>
  <c r="M20" i="63" s="1"/>
  <c r="L19" i="63"/>
  <c r="P18" i="63"/>
  <c r="I18" i="63"/>
  <c r="Q18" i="63" s="1"/>
  <c r="S18" i="63" s="1"/>
  <c r="S17" i="63"/>
  <c r="Q17" i="63"/>
  <c r="P17" i="63"/>
  <c r="I17" i="63"/>
  <c r="S16" i="63"/>
  <c r="Q16" i="63"/>
  <c r="P16" i="63"/>
  <c r="I16" i="63"/>
  <c r="P15" i="63"/>
  <c r="I15" i="63"/>
  <c r="Q15" i="63" s="1"/>
  <c r="S15" i="63" s="1"/>
  <c r="S14" i="63"/>
  <c r="Q14" i="63"/>
  <c r="P14" i="63"/>
  <c r="I14" i="63"/>
  <c r="S13" i="63"/>
  <c r="Q13" i="63"/>
  <c r="P13" i="63"/>
  <c r="I13" i="63"/>
  <c r="P12" i="63"/>
  <c r="I12" i="63"/>
  <c r="Q12" i="63" s="1"/>
  <c r="S12" i="63" s="1"/>
  <c r="S11" i="63"/>
  <c r="Q11" i="63"/>
  <c r="P11" i="63"/>
  <c r="I11" i="63"/>
  <c r="S10" i="63"/>
  <c r="Q10" i="63"/>
  <c r="P10" i="63"/>
  <c r="I10" i="63"/>
  <c r="P9" i="63"/>
  <c r="I9" i="63"/>
  <c r="Q9" i="63" s="1"/>
  <c r="S9" i="63" s="1"/>
  <c r="S8" i="63"/>
  <c r="Q8" i="63"/>
  <c r="P8" i="63"/>
  <c r="I8" i="63"/>
  <c r="S7" i="63"/>
  <c r="Q7" i="63"/>
  <c r="P7" i="63"/>
  <c r="I7" i="63"/>
  <c r="P6" i="63"/>
  <c r="K6" i="63"/>
  <c r="K20" i="63" s="1"/>
  <c r="I6" i="63"/>
  <c r="I20" i="63" s="1"/>
  <c r="C99" i="46"/>
  <c r="C90" i="46"/>
  <c r="D104" i="62"/>
  <c r="D73" i="62"/>
  <c r="C95" i="46"/>
  <c r="G13" i="44"/>
  <c r="G118" i="46"/>
  <c r="E118" i="46"/>
  <c r="D118" i="46"/>
  <c r="C118" i="46"/>
  <c r="L115" i="46"/>
  <c r="K115" i="46"/>
  <c r="F115" i="46"/>
  <c r="D115" i="46"/>
  <c r="J112" i="46"/>
  <c r="C112" i="46"/>
  <c r="D107" i="46"/>
  <c r="C107" i="46"/>
  <c r="E106" i="46"/>
  <c r="D106" i="46"/>
  <c r="L103" i="46"/>
  <c r="J103" i="46"/>
  <c r="C97" i="46"/>
  <c r="C12" i="39"/>
  <c r="C27" i="39"/>
  <c r="D95" i="62"/>
  <c r="D137" i="46"/>
  <c r="D59" i="58"/>
  <c r="F139" i="46"/>
  <c r="C132" i="46"/>
  <c r="D84" i="46"/>
  <c r="D94" i="57"/>
  <c r="D119" i="46"/>
  <c r="D90" i="57"/>
  <c r="D87" i="57"/>
  <c r="D82" i="57"/>
  <c r="D78" i="57"/>
  <c r="J139" i="46"/>
  <c r="J133" i="46"/>
  <c r="J108" i="46"/>
  <c r="J97" i="46"/>
  <c r="P19" i="63" l="1"/>
  <c r="Q19" i="63" s="1"/>
  <c r="S19" i="63" s="1"/>
  <c r="P20" i="63"/>
  <c r="Q6" i="63"/>
  <c r="H116" i="46"/>
  <c r="D81" i="57"/>
  <c r="D117" i="46"/>
  <c r="Q20" i="63" l="1"/>
  <c r="S20" i="63" s="1"/>
  <c r="S6" i="63"/>
  <c r="D81" i="36"/>
  <c r="D80" i="36" s="1"/>
  <c r="D79" i="36"/>
  <c r="D78" i="36"/>
  <c r="D77" i="36"/>
  <c r="D76" i="36" s="1"/>
  <c r="D71" i="36"/>
  <c r="D96" i="57"/>
  <c r="D95" i="57" s="1"/>
  <c r="D91" i="57"/>
  <c r="D79" i="57"/>
  <c r="D74" i="57"/>
  <c r="D69" i="57"/>
  <c r="D65" i="57"/>
  <c r="D8" i="57" s="1"/>
  <c r="D65" i="58"/>
  <c r="D63" i="58"/>
  <c r="D58" i="58"/>
  <c r="D56" i="58"/>
  <c r="D46" i="58"/>
  <c r="D42" i="58"/>
  <c r="C33" i="39"/>
  <c r="C30" i="39" s="1"/>
  <c r="C28" i="39"/>
  <c r="C25" i="39" s="1"/>
  <c r="C11" i="39"/>
  <c r="P153" i="46"/>
  <c r="P152" i="46"/>
  <c r="P150" i="46"/>
  <c r="P149" i="46"/>
  <c r="P148" i="46"/>
  <c r="H147" i="46"/>
  <c r="P147" i="46" s="1"/>
  <c r="P145" i="46"/>
  <c r="P144" i="46"/>
  <c r="P143" i="46"/>
  <c r="P142" i="46"/>
  <c r="P141" i="46"/>
  <c r="P140" i="46"/>
  <c r="P139" i="46"/>
  <c r="C139" i="46"/>
  <c r="O138" i="46"/>
  <c r="N138" i="46"/>
  <c r="M138" i="46"/>
  <c r="L138" i="46"/>
  <c r="K138" i="46"/>
  <c r="J138" i="46"/>
  <c r="I138" i="46"/>
  <c r="H138" i="46"/>
  <c r="G138" i="46"/>
  <c r="F138" i="46"/>
  <c r="E138" i="46"/>
  <c r="D138" i="46"/>
  <c r="C138" i="46"/>
  <c r="P137" i="46"/>
  <c r="P136" i="46"/>
  <c r="O135" i="46"/>
  <c r="N135" i="46"/>
  <c r="N146" i="46" s="1"/>
  <c r="M135" i="46"/>
  <c r="L135" i="46"/>
  <c r="K135" i="46"/>
  <c r="J135" i="46"/>
  <c r="I135" i="46"/>
  <c r="H135" i="46"/>
  <c r="G135" i="46"/>
  <c r="F135" i="46"/>
  <c r="E135" i="46"/>
  <c r="D135" i="46"/>
  <c r="C135" i="46"/>
  <c r="P134" i="46"/>
  <c r="G133" i="46"/>
  <c r="P133" i="46" s="1"/>
  <c r="E132" i="46"/>
  <c r="P132" i="46" s="1"/>
  <c r="P131" i="46"/>
  <c r="P130" i="46"/>
  <c r="P129" i="46"/>
  <c r="P128" i="46"/>
  <c r="P127" i="46"/>
  <c r="C126" i="46"/>
  <c r="P126" i="46" s="1"/>
  <c r="P125" i="46"/>
  <c r="P124" i="46"/>
  <c r="K123" i="46"/>
  <c r="P123" i="46" s="1"/>
  <c r="P122" i="46"/>
  <c r="K122" i="46"/>
  <c r="P121" i="46"/>
  <c r="C120" i="46"/>
  <c r="P120" i="46" s="1"/>
  <c r="P119" i="46"/>
  <c r="P118" i="46"/>
  <c r="P117" i="46"/>
  <c r="P116" i="46"/>
  <c r="P115" i="46"/>
  <c r="G115" i="46"/>
  <c r="O114" i="46"/>
  <c r="M114" i="46"/>
  <c r="L114" i="46"/>
  <c r="K114" i="46"/>
  <c r="J114" i="46"/>
  <c r="I114" i="46"/>
  <c r="H114" i="46"/>
  <c r="G114" i="46"/>
  <c r="F114" i="46"/>
  <c r="D114" i="46"/>
  <c r="C114" i="46"/>
  <c r="P113" i="46"/>
  <c r="P112" i="46"/>
  <c r="O111" i="46"/>
  <c r="M111" i="46"/>
  <c r="L111" i="46"/>
  <c r="K111" i="46"/>
  <c r="J111" i="46"/>
  <c r="I111" i="46"/>
  <c r="H111" i="46"/>
  <c r="G111" i="46"/>
  <c r="F111" i="46"/>
  <c r="E111" i="46"/>
  <c r="D111" i="46"/>
  <c r="C111" i="46"/>
  <c r="P110" i="46"/>
  <c r="P109" i="46"/>
  <c r="P108" i="46"/>
  <c r="P107" i="46"/>
  <c r="P106" i="46"/>
  <c r="P105" i="46"/>
  <c r="P104" i="46"/>
  <c r="P103" i="46"/>
  <c r="O102" i="46"/>
  <c r="M102" i="46"/>
  <c r="L102" i="46"/>
  <c r="K102" i="46"/>
  <c r="J102" i="46"/>
  <c r="J146" i="46" s="1"/>
  <c r="I102" i="46"/>
  <c r="I146" i="46" s="1"/>
  <c r="H102" i="46"/>
  <c r="G102" i="46"/>
  <c r="F102" i="46"/>
  <c r="E102" i="46"/>
  <c r="D102" i="46"/>
  <c r="C102" i="46"/>
  <c r="O101" i="46"/>
  <c r="M101" i="46"/>
  <c r="L101" i="46"/>
  <c r="K101" i="46"/>
  <c r="J101" i="46"/>
  <c r="I101" i="46"/>
  <c r="H101" i="46"/>
  <c r="G101" i="46"/>
  <c r="F101" i="46"/>
  <c r="E101" i="46"/>
  <c r="D101" i="46"/>
  <c r="C101" i="46"/>
  <c r="P100" i="46"/>
  <c r="P99" i="46"/>
  <c r="P101" i="46" s="1"/>
  <c r="D69" i="36" s="1"/>
  <c r="P97" i="46"/>
  <c r="P96" i="46"/>
  <c r="P95" i="46"/>
  <c r="P94" i="46"/>
  <c r="P93" i="46"/>
  <c r="P92" i="46"/>
  <c r="P91" i="46"/>
  <c r="P90" i="46"/>
  <c r="O89" i="46"/>
  <c r="N89" i="46"/>
  <c r="M89" i="46"/>
  <c r="L89" i="46"/>
  <c r="K89" i="46"/>
  <c r="J89" i="46"/>
  <c r="I89" i="46"/>
  <c r="H89" i="46"/>
  <c r="G89" i="46"/>
  <c r="F89" i="46"/>
  <c r="E89" i="46"/>
  <c r="D89" i="46"/>
  <c r="C89" i="46"/>
  <c r="E88" i="46"/>
  <c r="P88" i="46" s="1"/>
  <c r="D88" i="46"/>
  <c r="P87" i="46"/>
  <c r="P86" i="46"/>
  <c r="P85" i="46"/>
  <c r="P84" i="46"/>
  <c r="O83" i="46"/>
  <c r="O98" i="46" s="1"/>
  <c r="N83" i="46"/>
  <c r="N98" i="46" s="1"/>
  <c r="N151" i="46" s="1"/>
  <c r="M83" i="46"/>
  <c r="M98" i="46" s="1"/>
  <c r="L83" i="46"/>
  <c r="L98" i="46" s="1"/>
  <c r="K83" i="46"/>
  <c r="J83" i="46"/>
  <c r="I83" i="46"/>
  <c r="I98" i="46" s="1"/>
  <c r="I151" i="46" s="1"/>
  <c r="H83" i="46"/>
  <c r="H98" i="46" s="1"/>
  <c r="G83" i="46"/>
  <c r="G98" i="46" s="1"/>
  <c r="F83" i="46"/>
  <c r="F98" i="46" s="1"/>
  <c r="D83" i="46"/>
  <c r="D98" i="46" s="1"/>
  <c r="C83" i="46"/>
  <c r="D10" i="66"/>
  <c r="D11" i="66"/>
  <c r="C11" i="66"/>
  <c r="C10" i="66"/>
  <c r="D8" i="66"/>
  <c r="E8" i="66"/>
  <c r="C8" i="66"/>
  <c r="H146" i="46" l="1"/>
  <c r="O146" i="46"/>
  <c r="K98" i="46"/>
  <c r="P135" i="46"/>
  <c r="P111" i="46"/>
  <c r="M151" i="46"/>
  <c r="G146" i="46"/>
  <c r="M146" i="46"/>
  <c r="P138" i="46"/>
  <c r="G151" i="46"/>
  <c r="L146" i="46"/>
  <c r="L151" i="46" s="1"/>
  <c r="K146" i="46"/>
  <c r="K151" i="46" s="1"/>
  <c r="P102" i="46"/>
  <c r="C98" i="46"/>
  <c r="C10" i="39"/>
  <c r="D55" i="58"/>
  <c r="D75" i="36" s="1"/>
  <c r="F146" i="46"/>
  <c r="F151" i="46" s="1"/>
  <c r="C146" i="46"/>
  <c r="P83" i="46"/>
  <c r="D146" i="46"/>
  <c r="D151" i="46" s="1"/>
  <c r="P89" i="46"/>
  <c r="J98" i="46"/>
  <c r="J151" i="46" s="1"/>
  <c r="H151" i="46"/>
  <c r="D41" i="58"/>
  <c r="D74" i="36" s="1"/>
  <c r="D101" i="57"/>
  <c r="O151" i="46"/>
  <c r="P114" i="46"/>
  <c r="E83" i="46"/>
  <c r="E98" i="46" s="1"/>
  <c r="E114" i="46"/>
  <c r="E146" i="46" s="1"/>
  <c r="D40" i="58" l="1"/>
  <c r="D73" i="36"/>
  <c r="C45" i="39"/>
  <c r="F13" i="44"/>
  <c r="C151" i="46"/>
  <c r="E151" i="46"/>
  <c r="P146" i="46"/>
  <c r="D70" i="36" s="1"/>
  <c r="D70" i="58"/>
  <c r="P98" i="46"/>
  <c r="D108" i="57" l="1"/>
  <c r="D107" i="57" s="1"/>
  <c r="D102" i="57" s="1"/>
  <c r="P151" i="46"/>
  <c r="G12" i="44"/>
  <c r="C9" i="66"/>
  <c r="C2" i="66"/>
  <c r="E17" i="66"/>
  <c r="D17" i="66"/>
  <c r="D16" i="66" s="1"/>
  <c r="D9" i="66" s="1"/>
  <c r="E16" i="66"/>
  <c r="E9" i="66" s="1"/>
  <c r="C16" i="66"/>
  <c r="E10" i="66"/>
  <c r="D72" i="36" l="1"/>
  <c r="D68" i="36"/>
  <c r="D67" i="36" s="1"/>
  <c r="D66" i="36" s="1"/>
  <c r="D65" i="36" s="1"/>
  <c r="D75" i="60" l="1"/>
  <c r="E75" i="60"/>
  <c r="F75" i="60"/>
  <c r="C75" i="60"/>
  <c r="K11" i="56"/>
  <c r="K12" i="56"/>
  <c r="K13" i="56"/>
  <c r="P70" i="46" l="1"/>
  <c r="P69" i="46"/>
  <c r="P68" i="46"/>
  <c r="P67" i="46"/>
  <c r="P66" i="46"/>
  <c r="P65" i="46"/>
  <c r="P60" i="46"/>
  <c r="P59" i="46"/>
  <c r="P58" i="46"/>
  <c r="P57" i="46"/>
  <c r="P56" i="46"/>
  <c r="P55" i="46"/>
  <c r="P52" i="46"/>
  <c r="P50" i="46"/>
  <c r="P49" i="46"/>
  <c r="P48" i="46"/>
  <c r="P47" i="46"/>
  <c r="P46" i="46"/>
  <c r="P45" i="46"/>
  <c r="P44" i="46"/>
  <c r="P43" i="46"/>
  <c r="P42" i="46"/>
  <c r="P39" i="46"/>
  <c r="P38" i="46"/>
  <c r="P36" i="46"/>
  <c r="P35" i="46"/>
  <c r="P34" i="46"/>
  <c r="P33" i="46"/>
  <c r="P32" i="46"/>
  <c r="P31" i="46"/>
  <c r="P30" i="46"/>
  <c r="P29" i="46"/>
  <c r="P26" i="46"/>
  <c r="P25" i="46"/>
  <c r="P23" i="46"/>
  <c r="P22" i="46"/>
  <c r="P21" i="46"/>
  <c r="P20" i="46"/>
  <c r="P19" i="46"/>
  <c r="P18" i="46"/>
  <c r="P17" i="46"/>
  <c r="P16" i="46"/>
  <c r="O15" i="46"/>
  <c r="N15" i="46"/>
  <c r="M15" i="46"/>
  <c r="L15" i="46"/>
  <c r="K15" i="46"/>
  <c r="J15" i="46"/>
  <c r="I15" i="46"/>
  <c r="H15" i="46"/>
  <c r="G15" i="46"/>
  <c r="F15" i="46"/>
  <c r="E15" i="46"/>
  <c r="D15" i="46"/>
  <c r="C15" i="46"/>
  <c r="P13" i="46"/>
  <c r="P12" i="46"/>
  <c r="P11" i="46"/>
  <c r="P10" i="46"/>
  <c r="D36" i="58"/>
  <c r="E36" i="58"/>
  <c r="F36" i="58"/>
  <c r="G36" i="58"/>
  <c r="E65" i="58"/>
  <c r="F65" i="58"/>
  <c r="G65" i="58"/>
  <c r="G82" i="57"/>
  <c r="G79" i="57" s="1"/>
  <c r="G74" i="57"/>
  <c r="F82" i="57"/>
  <c r="F79" i="57" s="1"/>
  <c r="F74" i="57"/>
  <c r="E82" i="57"/>
  <c r="E79" i="57" s="1"/>
  <c r="E74" i="57"/>
  <c r="C79" i="57"/>
  <c r="C74" i="57"/>
  <c r="P14" i="46" l="1"/>
  <c r="P15" i="46"/>
  <c r="P41" i="46"/>
  <c r="L112" i="57"/>
  <c r="I69" i="58" l="1"/>
  <c r="D35" i="58"/>
  <c r="D34" i="58" s="1"/>
  <c r="E35" i="58"/>
  <c r="E34" i="58" s="1"/>
  <c r="F35" i="58"/>
  <c r="F34" i="58" s="1"/>
  <c r="G35" i="58"/>
  <c r="G34" i="58" s="1"/>
  <c r="I36" i="58"/>
  <c r="J2" i="65"/>
  <c r="E20" i="65"/>
  <c r="E19" i="65" s="1"/>
  <c r="E18" i="65" s="1"/>
  <c r="D20" i="65"/>
  <c r="D19" i="65" s="1"/>
  <c r="D18" i="65" s="1"/>
  <c r="J19" i="65"/>
  <c r="J18" i="65" s="1"/>
  <c r="I19" i="65"/>
  <c r="I18" i="65" s="1"/>
  <c r="J14" i="65"/>
  <c r="I14" i="65"/>
  <c r="E14" i="65"/>
  <c r="D14" i="65"/>
  <c r="J8" i="65"/>
  <c r="I8" i="65"/>
  <c r="E8" i="65"/>
  <c r="D8" i="65"/>
  <c r="J6" i="65"/>
  <c r="I6" i="65"/>
  <c r="H6" i="65"/>
  <c r="G2" i="64"/>
  <c r="D7" i="65" l="1"/>
  <c r="D25" i="65" s="1"/>
  <c r="I7" i="65"/>
  <c r="I25" i="65" s="1"/>
  <c r="J7" i="65"/>
  <c r="J25" i="65" s="1"/>
  <c r="E7" i="65"/>
  <c r="E25" i="65" s="1"/>
  <c r="P79" i="46" l="1"/>
  <c r="P78" i="46"/>
  <c r="P76" i="46"/>
  <c r="P75" i="46"/>
  <c r="P74" i="46"/>
  <c r="P73" i="46"/>
  <c r="P71" i="46"/>
  <c r="J64" i="46"/>
  <c r="O64" i="46"/>
  <c r="N64" i="46"/>
  <c r="M64" i="46"/>
  <c r="L64" i="46"/>
  <c r="K64" i="46"/>
  <c r="I64" i="46"/>
  <c r="H64" i="46"/>
  <c r="G64" i="46"/>
  <c r="F64" i="46"/>
  <c r="E64" i="46"/>
  <c r="D64" i="46"/>
  <c r="P63" i="46"/>
  <c r="P62" i="46"/>
  <c r="O61" i="46"/>
  <c r="N61" i="46"/>
  <c r="M61" i="46"/>
  <c r="L61" i="46"/>
  <c r="K61" i="46"/>
  <c r="J61" i="46"/>
  <c r="I61" i="46"/>
  <c r="H61" i="46"/>
  <c r="G61" i="46"/>
  <c r="F61" i="46"/>
  <c r="E61" i="46"/>
  <c r="D61" i="46"/>
  <c r="K40" i="46"/>
  <c r="C40" i="46"/>
  <c r="P54" i="46"/>
  <c r="P53" i="46"/>
  <c r="L40" i="46"/>
  <c r="D40" i="46"/>
  <c r="O40" i="46"/>
  <c r="M40" i="46"/>
  <c r="J40" i="46"/>
  <c r="I40" i="46"/>
  <c r="F40" i="46"/>
  <c r="E40" i="46"/>
  <c r="P37" i="46"/>
  <c r="O37" i="46"/>
  <c r="M37" i="46"/>
  <c r="L37" i="46"/>
  <c r="K37" i="46"/>
  <c r="J37" i="46"/>
  <c r="I37" i="46"/>
  <c r="H37" i="46"/>
  <c r="G37" i="46"/>
  <c r="F37" i="46"/>
  <c r="E37" i="46"/>
  <c r="D37" i="46"/>
  <c r="C37" i="46"/>
  <c r="E28" i="46"/>
  <c r="O28" i="46"/>
  <c r="M28" i="46"/>
  <c r="L28" i="46"/>
  <c r="K28" i="46"/>
  <c r="J28" i="46"/>
  <c r="I28" i="46"/>
  <c r="H28" i="46"/>
  <c r="G28" i="46"/>
  <c r="F28" i="46"/>
  <c r="D28" i="46"/>
  <c r="C28" i="46"/>
  <c r="O27" i="46"/>
  <c r="M27" i="46"/>
  <c r="K27" i="46"/>
  <c r="J27" i="46"/>
  <c r="I27" i="46"/>
  <c r="H27" i="46"/>
  <c r="G27" i="46"/>
  <c r="F27" i="46"/>
  <c r="E27" i="46"/>
  <c r="L27" i="46"/>
  <c r="D27" i="46"/>
  <c r="P27" i="46"/>
  <c r="O9" i="46"/>
  <c r="O24" i="46" s="1"/>
  <c r="N9" i="46"/>
  <c r="N24" i="46" s="1"/>
  <c r="M9" i="46"/>
  <c r="M24" i="46" s="1"/>
  <c r="L9" i="46"/>
  <c r="L24" i="46" s="1"/>
  <c r="K9" i="46"/>
  <c r="K24" i="46" s="1"/>
  <c r="J9" i="46"/>
  <c r="J24" i="46" s="1"/>
  <c r="I9" i="46"/>
  <c r="I24" i="46" s="1"/>
  <c r="H9" i="46"/>
  <c r="H24" i="46" s="1"/>
  <c r="G9" i="46"/>
  <c r="G24" i="46" s="1"/>
  <c r="F9" i="46"/>
  <c r="F24" i="46" s="1"/>
  <c r="E9" i="46"/>
  <c r="E24" i="46" s="1"/>
  <c r="D9" i="46"/>
  <c r="D24" i="46" s="1"/>
  <c r="C9" i="46"/>
  <c r="C24" i="46" s="1"/>
  <c r="D33" i="39"/>
  <c r="E33" i="39"/>
  <c r="F33" i="39"/>
  <c r="B33" i="39"/>
  <c r="D28" i="39"/>
  <c r="E28" i="39"/>
  <c r="F28" i="39"/>
  <c r="F72" i="36"/>
  <c r="G72" i="36"/>
  <c r="E81" i="36"/>
  <c r="F81" i="36"/>
  <c r="G81" i="36"/>
  <c r="E79" i="36"/>
  <c r="E71" i="36"/>
  <c r="F71" i="36"/>
  <c r="G71" i="36"/>
  <c r="E72" i="36"/>
  <c r="K2" i="56"/>
  <c r="F2" i="60" s="1"/>
  <c r="N72" i="46" l="1"/>
  <c r="I72" i="46"/>
  <c r="I77" i="46" s="1"/>
  <c r="P24" i="46"/>
  <c r="E72" i="46"/>
  <c r="E77" i="46" s="1"/>
  <c r="F72" i="46"/>
  <c r="F77" i="46" s="1"/>
  <c r="P9" i="46"/>
  <c r="M72" i="46"/>
  <c r="N77" i="46"/>
  <c r="D72" i="46"/>
  <c r="J72" i="46"/>
  <c r="J77" i="46" s="1"/>
  <c r="K72" i="46"/>
  <c r="H40" i="46"/>
  <c r="H72" i="46" s="1"/>
  <c r="C27" i="46"/>
  <c r="O72" i="46"/>
  <c r="O77" i="46" s="1"/>
  <c r="P28" i="46"/>
  <c r="L72" i="46"/>
  <c r="L77" i="46" s="1"/>
  <c r="C61" i="46"/>
  <c r="P61" i="46" s="1"/>
  <c r="G40" i="46"/>
  <c r="G72" i="46" s="1"/>
  <c r="C64" i="46"/>
  <c r="P64" i="46" s="1"/>
  <c r="H77" i="46" l="1"/>
  <c r="P40" i="46"/>
  <c r="D77" i="46"/>
  <c r="M77" i="46"/>
  <c r="G77" i="46"/>
  <c r="K77" i="46"/>
  <c r="C72" i="46"/>
  <c r="P72" i="46" s="1"/>
  <c r="C77" i="46" l="1"/>
  <c r="P77" i="46"/>
  <c r="F30" i="39" l="1"/>
  <c r="F25" i="39"/>
  <c r="F11" i="39"/>
  <c r="E30" i="39"/>
  <c r="E25" i="39"/>
  <c r="E11" i="39"/>
  <c r="D30" i="39"/>
  <c r="D25" i="39"/>
  <c r="D11" i="39"/>
  <c r="G63" i="58"/>
  <c r="G58" i="58"/>
  <c r="G56" i="58"/>
  <c r="G46" i="58"/>
  <c r="G42" i="58"/>
  <c r="F63" i="58"/>
  <c r="F58" i="58"/>
  <c r="F56" i="58"/>
  <c r="F46" i="58"/>
  <c r="F42" i="58"/>
  <c r="E63" i="58"/>
  <c r="E58" i="58"/>
  <c r="E56" i="58"/>
  <c r="E55" i="58" s="1"/>
  <c r="E46" i="58"/>
  <c r="E42" i="58"/>
  <c r="G96" i="57"/>
  <c r="G95" i="57" s="1"/>
  <c r="G91" i="57"/>
  <c r="G69" i="57"/>
  <c r="F96" i="57"/>
  <c r="F95" i="57" s="1"/>
  <c r="F91" i="57"/>
  <c r="F69" i="57"/>
  <c r="F65" i="57" s="1"/>
  <c r="E96" i="57"/>
  <c r="E95" i="57" s="1"/>
  <c r="E91" i="57"/>
  <c r="E69" i="57"/>
  <c r="F8" i="57" l="1"/>
  <c r="F101" i="57" s="1"/>
  <c r="F41" i="58"/>
  <c r="E10" i="39"/>
  <c r="E45" i="39" s="1"/>
  <c r="F108" i="57" s="1"/>
  <c r="F107" i="57" s="1"/>
  <c r="F102" i="57" s="1"/>
  <c r="G41" i="58"/>
  <c r="E41" i="58"/>
  <c r="E40" i="58" s="1"/>
  <c r="G55" i="58"/>
  <c r="F55" i="58"/>
  <c r="G65" i="57"/>
  <c r="G8" i="57" s="1"/>
  <c r="G101" i="57" s="1"/>
  <c r="E65" i="57"/>
  <c r="E8" i="57" s="1"/>
  <c r="D10" i="39"/>
  <c r="D45" i="39" s="1"/>
  <c r="E108" i="57" s="1"/>
  <c r="E107" i="57" s="1"/>
  <c r="E102" i="57" s="1"/>
  <c r="F10" i="39"/>
  <c r="F45" i="39" s="1"/>
  <c r="G108" i="57" s="1"/>
  <c r="G107" i="57" s="1"/>
  <c r="G102" i="57" s="1"/>
  <c r="I112" i="57"/>
  <c r="F104" i="62" s="1"/>
  <c r="F40" i="58" l="1"/>
  <c r="G40" i="58"/>
  <c r="E101" i="57"/>
  <c r="J12" i="64"/>
  <c r="J14" i="64"/>
  <c r="J13" i="64"/>
  <c r="I12" i="64"/>
  <c r="N390" i="46" l="1"/>
  <c r="D234" i="46"/>
  <c r="F234" i="46"/>
  <c r="I234" i="46"/>
  <c r="K234" i="46"/>
  <c r="L234" i="46"/>
  <c r="N234" i="46"/>
  <c r="O234" i="46"/>
  <c r="K36" i="58" l="1"/>
  <c r="S30" i="58"/>
  <c r="N15" i="53"/>
  <c r="D60" i="36"/>
  <c r="E60" i="36"/>
  <c r="F60" i="36"/>
  <c r="G60" i="36"/>
  <c r="C60" i="36"/>
  <c r="G234" i="46" l="1"/>
  <c r="M234" i="46"/>
  <c r="M390" i="46"/>
  <c r="J234" i="46" l="1"/>
  <c r="C234" i="46"/>
  <c r="E234" i="46"/>
  <c r="C58" i="36" l="1"/>
  <c r="C21" i="65" s="1"/>
  <c r="G13" i="51"/>
  <c r="C96" i="57"/>
  <c r="H234" i="46" l="1"/>
  <c r="N21" i="53"/>
  <c r="C9" i="60" l="1"/>
  <c r="C10" i="60"/>
  <c r="C11" i="60"/>
  <c r="C12" i="60"/>
  <c r="C13" i="60"/>
  <c r="C14" i="60"/>
  <c r="C16" i="60"/>
  <c r="C17" i="60"/>
  <c r="C18" i="60"/>
  <c r="C19" i="60"/>
  <c r="C20" i="60"/>
  <c r="C22" i="60"/>
  <c r="C23" i="60"/>
  <c r="C24" i="60"/>
  <c r="C25" i="60"/>
  <c r="C26" i="60"/>
  <c r="C27" i="60"/>
  <c r="C29" i="60"/>
  <c r="C30" i="60"/>
  <c r="C31" i="60"/>
  <c r="C32" i="60"/>
  <c r="C33" i="60"/>
  <c r="C34" i="60"/>
  <c r="C35" i="60"/>
  <c r="C36" i="60"/>
  <c r="C37" i="60"/>
  <c r="C38" i="60"/>
  <c r="C40" i="60"/>
  <c r="C41" i="60"/>
  <c r="C42" i="60"/>
  <c r="C43" i="60"/>
  <c r="C44" i="60"/>
  <c r="C46" i="60"/>
  <c r="C47" i="60"/>
  <c r="C48" i="60"/>
  <c r="C50" i="60"/>
  <c r="C51" i="60"/>
  <c r="C52" i="60"/>
  <c r="E58" i="36" l="1"/>
  <c r="G15" i="51"/>
  <c r="D58" i="36"/>
  <c r="G14" i="51"/>
  <c r="D59" i="36"/>
  <c r="E59" i="36"/>
  <c r="C59" i="36"/>
  <c r="C22" i="65" s="1"/>
  <c r="C20" i="65" s="1"/>
  <c r="C19" i="65" s="1"/>
  <c r="C18" i="65" s="1"/>
  <c r="D57" i="36" l="1"/>
  <c r="D56" i="36" s="1"/>
  <c r="E57" i="36"/>
  <c r="E56" i="36" s="1"/>
  <c r="P41" i="58" l="1"/>
  <c r="P40" i="58"/>
  <c r="C63" i="58"/>
  <c r="F59" i="36"/>
  <c r="G59" i="36"/>
  <c r="P35" i="58"/>
  <c r="T39" i="58" l="1"/>
  <c r="T40" i="58" s="1"/>
  <c r="E171" i="46"/>
  <c r="D171" i="46"/>
  <c r="C171" i="46"/>
  <c r="D161" i="46"/>
  <c r="N2" i="44"/>
  <c r="P2" i="46"/>
  <c r="H2" i="52"/>
  <c r="N2" i="53"/>
  <c r="M2" i="51"/>
  <c r="B2" i="39"/>
  <c r="C2" i="58"/>
  <c r="C2" i="57"/>
  <c r="C220" i="46"/>
  <c r="C191" i="46"/>
  <c r="F224" i="46"/>
  <c r="E224" i="46"/>
  <c r="E211" i="46"/>
  <c r="C211" i="46"/>
  <c r="K191" i="46"/>
  <c r="G191" i="46"/>
  <c r="E191" i="46"/>
  <c r="D180" i="46"/>
  <c r="C180" i="46"/>
  <c r="L175" i="46"/>
  <c r="J169" i="46"/>
  <c r="C169" i="46"/>
  <c r="I67" i="58"/>
  <c r="I68" i="58"/>
  <c r="D191" i="46"/>
  <c r="E182" i="46"/>
  <c r="D182" i="46"/>
  <c r="P205" i="46"/>
  <c r="C167" i="46"/>
  <c r="C79" i="36"/>
  <c r="I220" i="46"/>
  <c r="I183" i="46"/>
  <c r="H189" i="46"/>
  <c r="I66" i="58" l="1"/>
  <c r="P214" i="46"/>
  <c r="E24" i="58"/>
  <c r="E19" i="58"/>
  <c r="E15" i="58"/>
  <c r="P228" i="46"/>
  <c r="P226" i="46"/>
  <c r="P225" i="46"/>
  <c r="P224" i="46"/>
  <c r="P223" i="46"/>
  <c r="P222" i="46"/>
  <c r="P221" i="46"/>
  <c r="H220" i="46"/>
  <c r="P220" i="46" s="1"/>
  <c r="O219" i="46"/>
  <c r="M219" i="46"/>
  <c r="L219" i="46"/>
  <c r="K219" i="46"/>
  <c r="J219" i="46"/>
  <c r="I219" i="46"/>
  <c r="G219" i="46"/>
  <c r="F219" i="46"/>
  <c r="E219" i="46"/>
  <c r="D219" i="46"/>
  <c r="C219" i="46"/>
  <c r="P218" i="46"/>
  <c r="P217" i="46"/>
  <c r="O216" i="46"/>
  <c r="L216" i="46"/>
  <c r="K216" i="46"/>
  <c r="J216" i="46"/>
  <c r="I216" i="46"/>
  <c r="H216" i="46"/>
  <c r="G216" i="46"/>
  <c r="F216" i="46"/>
  <c r="E216" i="46"/>
  <c r="D216" i="46"/>
  <c r="C216" i="46"/>
  <c r="P215" i="46"/>
  <c r="P213" i="46"/>
  <c r="J212" i="46"/>
  <c r="P212" i="46" s="1"/>
  <c r="D211" i="46"/>
  <c r="P210" i="46"/>
  <c r="P209" i="46"/>
  <c r="P208" i="46"/>
  <c r="P204" i="46"/>
  <c r="P203" i="46"/>
  <c r="C202" i="46"/>
  <c r="C201" i="46"/>
  <c r="P201" i="46" s="1"/>
  <c r="P200" i="46"/>
  <c r="P199" i="46"/>
  <c r="P198" i="46"/>
  <c r="P197" i="46"/>
  <c r="P196" i="46"/>
  <c r="P195" i="46"/>
  <c r="P194" i="46"/>
  <c r="P193" i="46"/>
  <c r="P192" i="46"/>
  <c r="E187" i="46"/>
  <c r="P190" i="46"/>
  <c r="H187" i="46"/>
  <c r="P188" i="46"/>
  <c r="O187" i="46"/>
  <c r="M187" i="46"/>
  <c r="L187" i="46"/>
  <c r="K187" i="46"/>
  <c r="I187" i="46"/>
  <c r="G187" i="46"/>
  <c r="F187" i="46"/>
  <c r="C186" i="46"/>
  <c r="P186" i="46" s="1"/>
  <c r="C185" i="46"/>
  <c r="P185" i="46" s="1"/>
  <c r="O184" i="46"/>
  <c r="M184" i="46"/>
  <c r="L184" i="46"/>
  <c r="K184" i="46"/>
  <c r="J184" i="46"/>
  <c r="I184" i="46"/>
  <c r="H184" i="46"/>
  <c r="G184" i="46"/>
  <c r="F184" i="46"/>
  <c r="E184" i="46"/>
  <c r="D184" i="46"/>
  <c r="P183" i="46"/>
  <c r="P182" i="46"/>
  <c r="C181" i="46"/>
  <c r="P180" i="46"/>
  <c r="P179" i="46"/>
  <c r="P178" i="46"/>
  <c r="P177" i="46"/>
  <c r="P176" i="46"/>
  <c r="P175" i="46"/>
  <c r="O174" i="46"/>
  <c r="M174" i="46"/>
  <c r="L174" i="46"/>
  <c r="K174" i="46"/>
  <c r="J174" i="46"/>
  <c r="I174" i="46"/>
  <c r="H174" i="46"/>
  <c r="G174" i="46"/>
  <c r="F174" i="46"/>
  <c r="E174" i="46"/>
  <c r="D174" i="46"/>
  <c r="O173" i="46"/>
  <c r="K173" i="46"/>
  <c r="J173" i="46"/>
  <c r="I173" i="46"/>
  <c r="H173" i="46"/>
  <c r="G173" i="46"/>
  <c r="F173" i="46"/>
  <c r="E173" i="46"/>
  <c r="D173" i="46"/>
  <c r="C172" i="46"/>
  <c r="P172" i="46" s="1"/>
  <c r="M171" i="46"/>
  <c r="M173" i="46" s="1"/>
  <c r="L171" i="46"/>
  <c r="L173" i="46" s="1"/>
  <c r="P169" i="46"/>
  <c r="P167" i="46"/>
  <c r="P166" i="46"/>
  <c r="P165" i="46"/>
  <c r="P164" i="46"/>
  <c r="P163" i="46"/>
  <c r="O162" i="46"/>
  <c r="M162" i="46"/>
  <c r="L162" i="46"/>
  <c r="K162" i="46"/>
  <c r="J162" i="46"/>
  <c r="I162" i="46"/>
  <c r="H162" i="46"/>
  <c r="G162" i="46"/>
  <c r="F162" i="46"/>
  <c r="E162" i="46"/>
  <c r="D162" i="46"/>
  <c r="L161" i="46"/>
  <c r="L158" i="46" s="1"/>
  <c r="P160" i="46"/>
  <c r="D159" i="46"/>
  <c r="P159" i="46" s="1"/>
  <c r="O158" i="46"/>
  <c r="M158" i="46"/>
  <c r="K158" i="46"/>
  <c r="J158" i="46"/>
  <c r="I158" i="46"/>
  <c r="H158" i="46"/>
  <c r="G158" i="46"/>
  <c r="F158" i="46"/>
  <c r="E158" i="46"/>
  <c r="C158" i="46"/>
  <c r="P229" i="46"/>
  <c r="D15" i="58"/>
  <c r="C15" i="58"/>
  <c r="C187" i="46" l="1"/>
  <c r="H219" i="46"/>
  <c r="P219" i="46" s="1"/>
  <c r="G170" i="46"/>
  <c r="K170" i="46"/>
  <c r="P171" i="46"/>
  <c r="P173" i="46" s="1"/>
  <c r="E170" i="46"/>
  <c r="I170" i="46"/>
  <c r="M170" i="46"/>
  <c r="J187" i="46"/>
  <c r="J227" i="46" s="1"/>
  <c r="H170" i="46"/>
  <c r="P161" i="46"/>
  <c r="P158" i="46" s="1"/>
  <c r="O227" i="46"/>
  <c r="F227" i="46"/>
  <c r="E227" i="46"/>
  <c r="L170" i="46"/>
  <c r="P184" i="46"/>
  <c r="E14" i="58"/>
  <c r="E9" i="58" s="1"/>
  <c r="F117" i="62"/>
  <c r="F170" i="46"/>
  <c r="J170" i="46"/>
  <c r="O170" i="46"/>
  <c r="G227" i="46"/>
  <c r="K227" i="46"/>
  <c r="C174" i="46"/>
  <c r="P211" i="46"/>
  <c r="L227" i="46"/>
  <c r="I227" i="46"/>
  <c r="M227" i="46"/>
  <c r="D187" i="46"/>
  <c r="D227" i="46" s="1"/>
  <c r="D158" i="46"/>
  <c r="D170" i="46" s="1"/>
  <c r="P191" i="46"/>
  <c r="P216" i="46"/>
  <c r="P181" i="46"/>
  <c r="P174" i="46" s="1"/>
  <c r="C184" i="46"/>
  <c r="P189" i="46"/>
  <c r="P202" i="46"/>
  <c r="C162" i="46"/>
  <c r="P162" i="46" s="1"/>
  <c r="C173" i="46"/>
  <c r="D105" i="62"/>
  <c r="H227" i="46" l="1"/>
  <c r="C227" i="46"/>
  <c r="F105" i="62"/>
  <c r="P187" i="46"/>
  <c r="C170" i="46"/>
  <c r="P170" i="46" s="1"/>
  <c r="P227" i="46" l="1"/>
  <c r="G15" i="64"/>
  <c r="F15" i="64"/>
  <c r="C15" i="64"/>
  <c r="B15" i="64"/>
  <c r="E15" i="64"/>
  <c r="D15" i="64"/>
  <c r="C95" i="57"/>
  <c r="D19" i="58"/>
  <c r="D14" i="58" s="1"/>
  <c r="E17" i="36"/>
  <c r="F19" i="58"/>
  <c r="G19" i="58"/>
  <c r="D318" i="46"/>
  <c r="D317" i="46"/>
  <c r="P317" i="46" s="1"/>
  <c r="D315" i="46"/>
  <c r="D241" i="46"/>
  <c r="D240" i="46"/>
  <c r="D238" i="46"/>
  <c r="P238" i="46" s="1"/>
  <c r="C327" i="46"/>
  <c r="M326" i="46"/>
  <c r="C326" i="46"/>
  <c r="P324" i="46"/>
  <c r="P323" i="46"/>
  <c r="P322" i="46"/>
  <c r="P321" i="46"/>
  <c r="P320" i="46"/>
  <c r="P319" i="46"/>
  <c r="O318" i="46"/>
  <c r="M318" i="46"/>
  <c r="L318" i="46"/>
  <c r="K318" i="46"/>
  <c r="J318" i="46"/>
  <c r="I318" i="46"/>
  <c r="H318" i="46"/>
  <c r="G318" i="46"/>
  <c r="F318" i="46"/>
  <c r="E318" i="46"/>
  <c r="C318" i="46"/>
  <c r="P316" i="46"/>
  <c r="C250" i="46"/>
  <c r="M249" i="46"/>
  <c r="M251" i="46" s="1"/>
  <c r="C249" i="46"/>
  <c r="P247" i="46"/>
  <c r="P246" i="46"/>
  <c r="P245" i="46"/>
  <c r="P244" i="46"/>
  <c r="P243" i="46"/>
  <c r="P242" i="46"/>
  <c r="O241" i="46"/>
  <c r="M241" i="46"/>
  <c r="L241" i="46"/>
  <c r="K241" i="46"/>
  <c r="J241" i="46"/>
  <c r="I241" i="46"/>
  <c r="H241" i="46"/>
  <c r="G241" i="46"/>
  <c r="F241" i="46"/>
  <c r="E241" i="46"/>
  <c r="C241" i="46"/>
  <c r="P239" i="46"/>
  <c r="P387" i="46"/>
  <c r="P386" i="46"/>
  <c r="P384" i="46"/>
  <c r="P383" i="46"/>
  <c r="P382" i="46"/>
  <c r="E16" i="44" s="1"/>
  <c r="E27" i="44" s="1"/>
  <c r="P380" i="46"/>
  <c r="P379" i="46"/>
  <c r="P378" i="46"/>
  <c r="P377" i="46"/>
  <c r="P376" i="46"/>
  <c r="P375" i="46"/>
  <c r="P374" i="46"/>
  <c r="O373" i="46"/>
  <c r="M373" i="46"/>
  <c r="L373" i="46"/>
  <c r="K373" i="46"/>
  <c r="J373" i="46"/>
  <c r="I373" i="46"/>
  <c r="H373" i="46"/>
  <c r="G373" i="46"/>
  <c r="F373" i="46"/>
  <c r="E373" i="46"/>
  <c r="D373" i="46"/>
  <c r="C373" i="46"/>
  <c r="P372" i="46"/>
  <c r="P371" i="46"/>
  <c r="O370" i="46"/>
  <c r="L370" i="46"/>
  <c r="K370" i="46"/>
  <c r="J370" i="46"/>
  <c r="I370" i="46"/>
  <c r="H370" i="46"/>
  <c r="G370" i="46"/>
  <c r="F370" i="46"/>
  <c r="E370" i="46"/>
  <c r="D370" i="46"/>
  <c r="C370" i="46"/>
  <c r="P369" i="46"/>
  <c r="P368" i="46"/>
  <c r="P367" i="46"/>
  <c r="P366" i="46"/>
  <c r="P365" i="46"/>
  <c r="P364" i="46"/>
  <c r="P363" i="46"/>
  <c r="P362" i="46"/>
  <c r="C361" i="46"/>
  <c r="C343" i="46" s="1"/>
  <c r="P360" i="46"/>
  <c r="P359" i="46"/>
  <c r="P358" i="46"/>
  <c r="P357" i="46"/>
  <c r="P356" i="46"/>
  <c r="P355" i="46"/>
  <c r="P354" i="46"/>
  <c r="P353" i="46"/>
  <c r="P352" i="46"/>
  <c r="P351" i="46"/>
  <c r="P350" i="46"/>
  <c r="P349" i="46"/>
  <c r="P348" i="46"/>
  <c r="P347" i="46"/>
  <c r="P346" i="46"/>
  <c r="H345" i="46"/>
  <c r="P344" i="46"/>
  <c r="O343" i="46"/>
  <c r="M343" i="46"/>
  <c r="L343" i="46"/>
  <c r="K343" i="46"/>
  <c r="J343" i="46"/>
  <c r="I343" i="46"/>
  <c r="G343" i="46"/>
  <c r="F343" i="46"/>
  <c r="E343" i="46"/>
  <c r="D343" i="46"/>
  <c r="P342" i="46"/>
  <c r="P341" i="46"/>
  <c r="O340" i="46"/>
  <c r="M340" i="46"/>
  <c r="L340" i="46"/>
  <c r="K340" i="46"/>
  <c r="J340" i="46"/>
  <c r="I340" i="46"/>
  <c r="H340" i="46"/>
  <c r="G340" i="46"/>
  <c r="F340" i="46"/>
  <c r="E340" i="46"/>
  <c r="D340" i="46"/>
  <c r="C340" i="46"/>
  <c r="P339" i="46"/>
  <c r="P338" i="46"/>
  <c r="D337" i="46"/>
  <c r="P337" i="46" s="1"/>
  <c r="P336" i="46"/>
  <c r="P335" i="46"/>
  <c r="P334" i="46"/>
  <c r="P333" i="46"/>
  <c r="P332" i="46"/>
  <c r="P331" i="46"/>
  <c r="P330" i="46"/>
  <c r="O329" i="46"/>
  <c r="M329" i="46"/>
  <c r="L329" i="46"/>
  <c r="K329" i="46"/>
  <c r="J329" i="46"/>
  <c r="I329" i="46"/>
  <c r="H329" i="46"/>
  <c r="G329" i="46"/>
  <c r="F329" i="46"/>
  <c r="E329" i="46"/>
  <c r="C329" i="46"/>
  <c r="P310" i="46"/>
  <c r="P309" i="46"/>
  <c r="P307" i="46"/>
  <c r="P306" i="46"/>
  <c r="P305" i="46"/>
  <c r="E15" i="44" s="1"/>
  <c r="E26" i="44" s="1"/>
  <c r="P303" i="46"/>
  <c r="P302" i="46"/>
  <c r="P301" i="46"/>
  <c r="P300" i="46"/>
  <c r="P299" i="46"/>
  <c r="P298" i="46"/>
  <c r="P297" i="46"/>
  <c r="O296" i="46"/>
  <c r="M296" i="46"/>
  <c r="L296" i="46"/>
  <c r="K296" i="46"/>
  <c r="J296" i="46"/>
  <c r="I296" i="46"/>
  <c r="H296" i="46"/>
  <c r="G296" i="46"/>
  <c r="F296" i="46"/>
  <c r="E296" i="46"/>
  <c r="D296" i="46"/>
  <c r="C296" i="46"/>
  <c r="P295" i="46"/>
  <c r="P294" i="46"/>
  <c r="O293" i="46"/>
  <c r="L293" i="46"/>
  <c r="K293" i="46"/>
  <c r="J293" i="46"/>
  <c r="I293" i="46"/>
  <c r="H293" i="46"/>
  <c r="G293" i="46"/>
  <c r="F293" i="46"/>
  <c r="E293" i="46"/>
  <c r="D293" i="46"/>
  <c r="C293" i="46"/>
  <c r="P292" i="46"/>
  <c r="P291" i="46"/>
  <c r="P290" i="46"/>
  <c r="P289" i="46"/>
  <c r="P288" i="46"/>
  <c r="P287" i="46"/>
  <c r="P286" i="46"/>
  <c r="P285" i="46"/>
  <c r="C284" i="46"/>
  <c r="P283" i="46"/>
  <c r="P282" i="46"/>
  <c r="P281" i="46"/>
  <c r="P280" i="46"/>
  <c r="P279" i="46"/>
  <c r="P278" i="46"/>
  <c r="P277" i="46"/>
  <c r="P276" i="46"/>
  <c r="P275" i="46"/>
  <c r="P274" i="46"/>
  <c r="P273" i="46"/>
  <c r="P272" i="46"/>
  <c r="P271" i="46"/>
  <c r="P270" i="46"/>
  <c r="P269" i="46"/>
  <c r="H268" i="46"/>
  <c r="P267" i="46"/>
  <c r="O266" i="46"/>
  <c r="M266" i="46"/>
  <c r="L266" i="46"/>
  <c r="K266" i="46"/>
  <c r="J266" i="46"/>
  <c r="I266" i="46"/>
  <c r="G266" i="46"/>
  <c r="F266" i="46"/>
  <c r="E266" i="46"/>
  <c r="D266" i="46"/>
  <c r="P265" i="46"/>
  <c r="P264" i="46"/>
  <c r="O263" i="46"/>
  <c r="M263" i="46"/>
  <c r="L263" i="46"/>
  <c r="K263" i="46"/>
  <c r="J263" i="46"/>
  <c r="I263" i="46"/>
  <c r="H263" i="46"/>
  <c r="G263" i="46"/>
  <c r="F263" i="46"/>
  <c r="E263" i="46"/>
  <c r="D263" i="46"/>
  <c r="C263" i="46"/>
  <c r="P262" i="46"/>
  <c r="P261" i="46"/>
  <c r="D260" i="46"/>
  <c r="P260" i="46" s="1"/>
  <c r="P259" i="46"/>
  <c r="P258" i="46"/>
  <c r="P257" i="46"/>
  <c r="P256" i="46"/>
  <c r="P255" i="46"/>
  <c r="P254" i="46"/>
  <c r="P253" i="46"/>
  <c r="O252" i="46"/>
  <c r="M252" i="46"/>
  <c r="L252" i="46"/>
  <c r="K252" i="46"/>
  <c r="J252" i="46"/>
  <c r="I252" i="46"/>
  <c r="H252" i="46"/>
  <c r="G252" i="46"/>
  <c r="F252" i="46"/>
  <c r="E252" i="46"/>
  <c r="C252" i="46"/>
  <c r="P233" i="46"/>
  <c r="P232" i="46"/>
  <c r="P230" i="46"/>
  <c r="E14" i="44"/>
  <c r="E25" i="44" s="1"/>
  <c r="E13" i="44"/>
  <c r="E24" i="44" s="1"/>
  <c r="O328" i="46"/>
  <c r="L328" i="46"/>
  <c r="K328" i="46"/>
  <c r="J328" i="46"/>
  <c r="I328" i="46"/>
  <c r="H328" i="46"/>
  <c r="G328" i="46"/>
  <c r="F328" i="46"/>
  <c r="D328" i="46"/>
  <c r="O314" i="46"/>
  <c r="M314" i="46"/>
  <c r="L314" i="46"/>
  <c r="K314" i="46"/>
  <c r="J314" i="46"/>
  <c r="I314" i="46"/>
  <c r="H314" i="46"/>
  <c r="G314" i="46"/>
  <c r="F314" i="46"/>
  <c r="E314" i="46"/>
  <c r="C314" i="46"/>
  <c r="O251" i="46"/>
  <c r="L251" i="46"/>
  <c r="K251" i="46"/>
  <c r="J251" i="46"/>
  <c r="I251" i="46"/>
  <c r="H251" i="46"/>
  <c r="G251" i="46"/>
  <c r="F251" i="46"/>
  <c r="D251" i="46"/>
  <c r="E251" i="46"/>
  <c r="O237" i="46"/>
  <c r="M237" i="46"/>
  <c r="L237" i="46"/>
  <c r="K237" i="46"/>
  <c r="J237" i="46"/>
  <c r="I237" i="46"/>
  <c r="H237" i="46"/>
  <c r="G237" i="46"/>
  <c r="F237" i="46"/>
  <c r="E237" i="46"/>
  <c r="C237" i="46"/>
  <c r="L13" i="44"/>
  <c r="L24" i="44" s="1"/>
  <c r="F79" i="36"/>
  <c r="L16" i="44"/>
  <c r="L27" i="44" s="1"/>
  <c r="C35" i="58"/>
  <c r="C34" i="58" s="1"/>
  <c r="F51" i="39"/>
  <c r="E51" i="39"/>
  <c r="D51" i="39"/>
  <c r="C51" i="39"/>
  <c r="B51" i="39"/>
  <c r="P25" i="44"/>
  <c r="P26" i="44"/>
  <c r="F20" i="44"/>
  <c r="I20" i="44" s="1"/>
  <c r="F19" i="44"/>
  <c r="I19" i="44" s="1"/>
  <c r="M19" i="44"/>
  <c r="M20" i="44"/>
  <c r="H15" i="44"/>
  <c r="H26" i="44" s="1"/>
  <c r="H14" i="44"/>
  <c r="H25" i="44" s="1"/>
  <c r="A14" i="44"/>
  <c r="A15" i="44"/>
  <c r="D21" i="51"/>
  <c r="J21" i="51"/>
  <c r="K21" i="51"/>
  <c r="D22" i="51"/>
  <c r="J22" i="51"/>
  <c r="K22" i="51"/>
  <c r="E51" i="36"/>
  <c r="F51" i="36"/>
  <c r="E61" i="36"/>
  <c r="E55" i="36" s="1"/>
  <c r="F61" i="36"/>
  <c r="E77" i="36"/>
  <c r="F77" i="36"/>
  <c r="E78" i="36"/>
  <c r="F78" i="36"/>
  <c r="E80" i="36"/>
  <c r="F80" i="36"/>
  <c r="G47" i="36"/>
  <c r="F17" i="51" s="1"/>
  <c r="F23" i="51" s="1"/>
  <c r="G30" i="36"/>
  <c r="B17" i="51" s="1"/>
  <c r="F47" i="36"/>
  <c r="F16" i="51" s="1"/>
  <c r="F22" i="51" s="1"/>
  <c r="F30" i="36"/>
  <c r="B16" i="51" s="1"/>
  <c r="G21" i="51"/>
  <c r="E30" i="36"/>
  <c r="B15" i="51" s="1"/>
  <c r="L14" i="44"/>
  <c r="L25" i="44" s="1"/>
  <c r="G24" i="58"/>
  <c r="G41" i="36" s="1"/>
  <c r="G15" i="58"/>
  <c r="F24" i="58"/>
  <c r="F41" i="36" s="1"/>
  <c r="F15" i="58"/>
  <c r="C106" i="57"/>
  <c r="C71" i="36" s="1"/>
  <c r="D9" i="39"/>
  <c r="E8" i="58"/>
  <c r="E7" i="57"/>
  <c r="F14" i="56"/>
  <c r="G14" i="56"/>
  <c r="H14" i="56"/>
  <c r="J14" i="56"/>
  <c r="E14" i="56"/>
  <c r="C14" i="56"/>
  <c r="D106" i="62"/>
  <c r="D7" i="62"/>
  <c r="D22" i="62"/>
  <c r="D51" i="36"/>
  <c r="D61" i="36"/>
  <c r="D55" i="36" s="1"/>
  <c r="G15" i="44"/>
  <c r="G26" i="44" s="1"/>
  <c r="D47" i="36"/>
  <c r="F14" i="51" s="1"/>
  <c r="F20" i="51" s="1"/>
  <c r="D30" i="36"/>
  <c r="B14" i="51" s="1"/>
  <c r="F7" i="57"/>
  <c r="D24" i="58"/>
  <c r="D41" i="36" s="1"/>
  <c r="F8" i="58"/>
  <c r="C9" i="39"/>
  <c r="E9" i="39"/>
  <c r="C42" i="58"/>
  <c r="C19" i="58"/>
  <c r="C14" i="58" s="1"/>
  <c r="B11" i="39"/>
  <c r="C56" i="58"/>
  <c r="C58" i="58"/>
  <c r="N22" i="53"/>
  <c r="B30" i="39"/>
  <c r="P27" i="44"/>
  <c r="P24" i="44"/>
  <c r="P23" i="44"/>
  <c r="D76" i="60"/>
  <c r="C77" i="60"/>
  <c r="C76" i="60" s="1"/>
  <c r="C74" i="60"/>
  <c r="C73" i="60" s="1"/>
  <c r="C58" i="60"/>
  <c r="C46" i="58"/>
  <c r="A16" i="44"/>
  <c r="A13" i="44"/>
  <c r="B9" i="39"/>
  <c r="D8" i="58"/>
  <c r="C8" i="58"/>
  <c r="D7" i="57"/>
  <c r="C7" i="57"/>
  <c r="D23" i="51"/>
  <c r="J23" i="51"/>
  <c r="K23" i="51"/>
  <c r="G78" i="36"/>
  <c r="G7" i="57"/>
  <c r="G8" i="58" s="1"/>
  <c r="F9" i="39" s="1"/>
  <c r="D20" i="51"/>
  <c r="J20" i="51"/>
  <c r="K20" i="51"/>
  <c r="D118" i="62"/>
  <c r="D57" i="62"/>
  <c r="D53" i="62"/>
  <c r="D52" i="62" s="1"/>
  <c r="D47" i="62"/>
  <c r="D45" i="62"/>
  <c r="D39" i="62"/>
  <c r="D32" i="62"/>
  <c r="D25" i="62"/>
  <c r="N19" i="53"/>
  <c r="H13" i="44"/>
  <c r="H24" i="44" s="1"/>
  <c r="M18" i="44"/>
  <c r="M21" i="44"/>
  <c r="M17" i="44"/>
  <c r="F21" i="44"/>
  <c r="I21" i="44" s="1"/>
  <c r="F18" i="44"/>
  <c r="I18" i="44" s="1"/>
  <c r="F17" i="44"/>
  <c r="I17" i="44" s="1"/>
  <c r="D19" i="51"/>
  <c r="J19" i="51"/>
  <c r="K19" i="51"/>
  <c r="H12" i="44"/>
  <c r="H23" i="44" s="1"/>
  <c r="C81" i="36"/>
  <c r="C77" i="36"/>
  <c r="C61" i="36"/>
  <c r="C51" i="36"/>
  <c r="C113" i="57"/>
  <c r="C91" i="57"/>
  <c r="C30" i="36"/>
  <c r="C11" i="65" s="1"/>
  <c r="C69" i="57"/>
  <c r="D15" i="52" s="1"/>
  <c r="C24" i="58"/>
  <c r="C41" i="36" s="1"/>
  <c r="B25" i="39"/>
  <c r="H16" i="44"/>
  <c r="H27" i="44" s="1"/>
  <c r="G80" i="36"/>
  <c r="F14" i="52"/>
  <c r="G14" i="52"/>
  <c r="E14" i="52"/>
  <c r="D14" i="52"/>
  <c r="D39" i="60"/>
  <c r="E39" i="60"/>
  <c r="F39" i="60"/>
  <c r="D49" i="60"/>
  <c r="E49" i="60"/>
  <c r="F49" i="60"/>
  <c r="D55" i="60"/>
  <c r="D54" i="60" s="1"/>
  <c r="E57" i="60"/>
  <c r="E55" i="60" s="1"/>
  <c r="E54" i="60" s="1"/>
  <c r="F57" i="60"/>
  <c r="F55" i="60" s="1"/>
  <c r="F54" i="60" s="1"/>
  <c r="D58" i="60"/>
  <c r="E58" i="60"/>
  <c r="F58" i="60"/>
  <c r="D74" i="60"/>
  <c r="F74" i="60"/>
  <c r="G77" i="36"/>
  <c r="O23" i="44"/>
  <c r="G51" i="36"/>
  <c r="G61" i="36"/>
  <c r="N11" i="53"/>
  <c r="N13" i="53"/>
  <c r="M23" i="53"/>
  <c r="K23" i="53"/>
  <c r="J23" i="53"/>
  <c r="I23" i="53"/>
  <c r="H23" i="53"/>
  <c r="G23" i="53"/>
  <c r="F23" i="53"/>
  <c r="E23" i="53"/>
  <c r="D23" i="53"/>
  <c r="C23" i="53"/>
  <c r="B23" i="53"/>
  <c r="N20" i="53"/>
  <c r="M16" i="53"/>
  <c r="L16" i="53"/>
  <c r="K16" i="53"/>
  <c r="J16" i="53"/>
  <c r="I16" i="53"/>
  <c r="H16" i="53"/>
  <c r="G16" i="53"/>
  <c r="F16" i="53"/>
  <c r="E16" i="53"/>
  <c r="D16" i="53"/>
  <c r="C16" i="53"/>
  <c r="B16" i="53"/>
  <c r="N14" i="53"/>
  <c r="N12" i="53"/>
  <c r="N10" i="53"/>
  <c r="N9" i="53"/>
  <c r="H12" i="52"/>
  <c r="F12" i="52"/>
  <c r="D12" i="52"/>
  <c r="L23" i="53"/>
  <c r="N18" i="53"/>
  <c r="C78" i="36"/>
  <c r="D62" i="62"/>
  <c r="E328" i="46"/>
  <c r="G24" i="44"/>
  <c r="G16" i="44"/>
  <c r="G27" i="44" s="1"/>
  <c r="G14" i="44"/>
  <c r="G25" i="44" s="1"/>
  <c r="L12" i="44"/>
  <c r="L23" i="44" s="1"/>
  <c r="G20" i="51"/>
  <c r="C47" i="36" l="1"/>
  <c r="C12" i="65" s="1"/>
  <c r="C39" i="60"/>
  <c r="C16" i="65"/>
  <c r="C49" i="60"/>
  <c r="C17" i="65"/>
  <c r="C80" i="36"/>
  <c r="H20" i="65"/>
  <c r="H19" i="65" s="1"/>
  <c r="H18" i="65" s="1"/>
  <c r="E12" i="44"/>
  <c r="E23" i="44" s="1"/>
  <c r="H12" i="65"/>
  <c r="N18" i="44"/>
  <c r="D53" i="60"/>
  <c r="G58" i="36"/>
  <c r="G57" i="36" s="1"/>
  <c r="G56" i="36" s="1"/>
  <c r="G55" i="36" s="1"/>
  <c r="G17" i="51"/>
  <c r="G23" i="51" s="1"/>
  <c r="N16" i="53"/>
  <c r="F58" i="36"/>
  <c r="F57" i="36" s="1"/>
  <c r="F56" i="36" s="1"/>
  <c r="F55" i="36" s="1"/>
  <c r="G16" i="51"/>
  <c r="G22" i="51" s="1"/>
  <c r="B21" i="51"/>
  <c r="B20" i="51"/>
  <c r="B22" i="51"/>
  <c r="B23" i="51"/>
  <c r="F53" i="60"/>
  <c r="F13" i="51"/>
  <c r="F19" i="51" s="1"/>
  <c r="C45" i="60"/>
  <c r="B13" i="51"/>
  <c r="C28" i="60"/>
  <c r="B10" i="39"/>
  <c r="F12" i="44" s="1"/>
  <c r="M248" i="46"/>
  <c r="I248" i="46"/>
  <c r="P361" i="46"/>
  <c r="F24" i="44"/>
  <c r="E47" i="36"/>
  <c r="F15" i="51" s="1"/>
  <c r="F21" i="51" s="1"/>
  <c r="D51" i="62"/>
  <c r="C55" i="58"/>
  <c r="C72" i="60" s="1"/>
  <c r="E7" i="60"/>
  <c r="C41" i="58"/>
  <c r="C71" i="60" s="1"/>
  <c r="D7" i="60"/>
  <c r="D314" i="46"/>
  <c r="D325" i="46" s="1"/>
  <c r="P240" i="46"/>
  <c r="P237" i="46" s="1"/>
  <c r="C325" i="46"/>
  <c r="H248" i="46"/>
  <c r="L248" i="46"/>
  <c r="F248" i="46"/>
  <c r="F325" i="46"/>
  <c r="G325" i="46"/>
  <c r="K325" i="46"/>
  <c r="C381" i="46"/>
  <c r="E70" i="60"/>
  <c r="E62" i="60" s="1"/>
  <c r="L15" i="44"/>
  <c r="L26" i="44" s="1"/>
  <c r="B24" i="53"/>
  <c r="B25" i="53" s="1"/>
  <c r="C25" i="53" s="1"/>
  <c r="D25" i="53" s="1"/>
  <c r="E25" i="53" s="1"/>
  <c r="F25" i="53" s="1"/>
  <c r="G25" i="53" s="1"/>
  <c r="H25" i="53" s="1"/>
  <c r="I25" i="53" s="1"/>
  <c r="J25" i="53" s="1"/>
  <c r="K25" i="53" s="1"/>
  <c r="L25" i="53" s="1"/>
  <c r="M25" i="53" s="1"/>
  <c r="F24" i="53"/>
  <c r="J24" i="53"/>
  <c r="I24" i="53"/>
  <c r="N17" i="44"/>
  <c r="G19" i="51"/>
  <c r="E70" i="58"/>
  <c r="G23" i="36"/>
  <c r="E17" i="51" s="1"/>
  <c r="E23" i="51" s="1"/>
  <c r="G79" i="36"/>
  <c r="G76" i="36" s="1"/>
  <c r="I14" i="56"/>
  <c r="I15" i="56"/>
  <c r="P327" i="46"/>
  <c r="C76" i="36"/>
  <c r="H17" i="65" s="1"/>
  <c r="D73" i="60"/>
  <c r="D70" i="60" s="1"/>
  <c r="D78" i="60" s="1"/>
  <c r="E53" i="60"/>
  <c r="F75" i="36"/>
  <c r="K16" i="44"/>
  <c r="K27" i="44" s="1"/>
  <c r="F23" i="36"/>
  <c r="E16" i="51" s="1"/>
  <c r="E22" i="51" s="1"/>
  <c r="C104" i="57"/>
  <c r="C69" i="36" s="1"/>
  <c r="L304" i="46"/>
  <c r="F381" i="46"/>
  <c r="E248" i="46"/>
  <c r="E325" i="46"/>
  <c r="O304" i="46"/>
  <c r="L325" i="46"/>
  <c r="F14" i="58"/>
  <c r="F17" i="36" s="1"/>
  <c r="G14" i="58"/>
  <c r="G39" i="58" s="1"/>
  <c r="I17" i="51" s="1"/>
  <c r="I23" i="51" s="1"/>
  <c r="M24" i="53"/>
  <c r="L24" i="53"/>
  <c r="N23" i="53"/>
  <c r="K24" i="53"/>
  <c r="H24" i="53"/>
  <c r="G24" i="53"/>
  <c r="E24" i="53"/>
  <c r="D24" i="53"/>
  <c r="C24" i="53"/>
  <c r="D23" i="36"/>
  <c r="E14" i="51" s="1"/>
  <c r="E20" i="51" s="1"/>
  <c r="H325" i="46"/>
  <c r="M328" i="46"/>
  <c r="D237" i="46"/>
  <c r="D248" i="46" s="1"/>
  <c r="P250" i="46"/>
  <c r="C251" i="46"/>
  <c r="I325" i="46"/>
  <c r="D252" i="46"/>
  <c r="D304" i="46" s="1"/>
  <c r="P252" i="46"/>
  <c r="P249" i="46"/>
  <c r="E304" i="46"/>
  <c r="P315" i="46"/>
  <c r="P314" i="46" s="1"/>
  <c r="C248" i="46"/>
  <c r="G248" i="46"/>
  <c r="M325" i="46"/>
  <c r="E381" i="46"/>
  <c r="O381" i="46"/>
  <c r="G381" i="46"/>
  <c r="J231" i="46"/>
  <c r="P241" i="46"/>
  <c r="P326" i="46"/>
  <c r="K14" i="44"/>
  <c r="K25" i="44" s="1"/>
  <c r="C57" i="60"/>
  <c r="J15" i="44"/>
  <c r="C56" i="60"/>
  <c r="C65" i="57"/>
  <c r="C23" i="36" s="1"/>
  <c r="C10" i="65" s="1"/>
  <c r="C15" i="51"/>
  <c r="E23" i="36"/>
  <c r="E15" i="51" s="1"/>
  <c r="E21" i="51" s="1"/>
  <c r="K381" i="46"/>
  <c r="L381" i="46"/>
  <c r="P373" i="46"/>
  <c r="P370" i="46"/>
  <c r="O248" i="46"/>
  <c r="G231" i="46"/>
  <c r="G304" i="46"/>
  <c r="P263" i="46"/>
  <c r="I304" i="46"/>
  <c r="M304" i="46"/>
  <c r="P293" i="46"/>
  <c r="P296" i="46"/>
  <c r="J381" i="46"/>
  <c r="P340" i="46"/>
  <c r="P318" i="46"/>
  <c r="O325" i="46"/>
  <c r="O231" i="46"/>
  <c r="J248" i="46"/>
  <c r="J325" i="46"/>
  <c r="K304" i="46"/>
  <c r="F304" i="46"/>
  <c r="J304" i="46"/>
  <c r="M381" i="46"/>
  <c r="P329" i="46"/>
  <c r="N21" i="44"/>
  <c r="N19" i="44"/>
  <c r="N20" i="44"/>
  <c r="F73" i="60"/>
  <c r="F70" i="60" s="1"/>
  <c r="F7" i="60"/>
  <c r="F76" i="36"/>
  <c r="E76" i="36"/>
  <c r="D61" i="62"/>
  <c r="D121" i="62" s="1"/>
  <c r="F16" i="44"/>
  <c r="F27" i="44" s="1"/>
  <c r="D17" i="36"/>
  <c r="D9" i="58"/>
  <c r="G23" i="44"/>
  <c r="C9" i="58"/>
  <c r="C39" i="58"/>
  <c r="I13" i="51" s="1"/>
  <c r="C17" i="36"/>
  <c r="D6" i="62"/>
  <c r="O24" i="44"/>
  <c r="O27" i="44" s="1"/>
  <c r="F231" i="46"/>
  <c r="K248" i="46"/>
  <c r="E41" i="36"/>
  <c r="E39" i="58"/>
  <c r="I15" i="51" s="1"/>
  <c r="D39" i="58"/>
  <c r="I14" i="51" s="1"/>
  <c r="C266" i="46"/>
  <c r="C304" i="46" s="1"/>
  <c r="P284" i="46"/>
  <c r="E74" i="36"/>
  <c r="J14" i="44"/>
  <c r="P268" i="46"/>
  <c r="H266" i="46"/>
  <c r="H304" i="46" s="1"/>
  <c r="C13" i="44"/>
  <c r="C24" i="44" s="1"/>
  <c r="F15" i="44"/>
  <c r="F26" i="44" s="1"/>
  <c r="D329" i="46"/>
  <c r="I381" i="46"/>
  <c r="P345" i="46"/>
  <c r="H343" i="46"/>
  <c r="C328" i="46"/>
  <c r="F62" i="60" l="1"/>
  <c r="F78" i="60" s="1"/>
  <c r="C8" i="57"/>
  <c r="B45" i="39"/>
  <c r="C108" i="57" s="1"/>
  <c r="F23" i="44"/>
  <c r="D61" i="60"/>
  <c r="C15" i="60"/>
  <c r="C15" i="65"/>
  <c r="C14" i="65" s="1"/>
  <c r="C12" i="44"/>
  <c r="C23" i="44" s="1"/>
  <c r="H10" i="65"/>
  <c r="F61" i="60"/>
  <c r="E78" i="60"/>
  <c r="H15" i="51"/>
  <c r="H21" i="51" s="1"/>
  <c r="B19" i="51"/>
  <c r="D60" i="62"/>
  <c r="E60" i="62" s="1"/>
  <c r="E13" i="51"/>
  <c r="E19" i="51" s="1"/>
  <c r="C21" i="60"/>
  <c r="K15" i="44"/>
  <c r="K26" i="44" s="1"/>
  <c r="P328" i="46"/>
  <c r="C16" i="44" s="1"/>
  <c r="C27" i="44" s="1"/>
  <c r="M308" i="46"/>
  <c r="G385" i="46"/>
  <c r="P343" i="46"/>
  <c r="I308" i="46"/>
  <c r="L308" i="46"/>
  <c r="F14" i="44"/>
  <c r="F25" i="44" s="1"/>
  <c r="K13" i="44"/>
  <c r="K24" i="44" s="1"/>
  <c r="F9" i="58"/>
  <c r="K12" i="44"/>
  <c r="K23" i="44" s="1"/>
  <c r="C75" i="36"/>
  <c r="H16" i="65" s="1"/>
  <c r="G17" i="36"/>
  <c r="F308" i="46"/>
  <c r="C70" i="58"/>
  <c r="J12" i="44"/>
  <c r="J23" i="44" s="1"/>
  <c r="C40" i="58"/>
  <c r="E61" i="60"/>
  <c r="G70" i="58"/>
  <c r="C74" i="36"/>
  <c r="C57" i="36"/>
  <c r="G9" i="58"/>
  <c r="C55" i="60"/>
  <c r="C54" i="60" s="1"/>
  <c r="C53" i="60" s="1"/>
  <c r="F39" i="58"/>
  <c r="I16" i="51" s="1"/>
  <c r="L16" i="51" s="1"/>
  <c r="L22" i="51" s="1"/>
  <c r="G75" i="36"/>
  <c r="F385" i="46"/>
  <c r="H308" i="46"/>
  <c r="O308" i="46"/>
  <c r="E385" i="46"/>
  <c r="K385" i="46"/>
  <c r="L385" i="46"/>
  <c r="M385" i="46"/>
  <c r="E231" i="46"/>
  <c r="E308" i="46"/>
  <c r="I231" i="46"/>
  <c r="I385" i="46"/>
  <c r="H231" i="46"/>
  <c r="E10" i="36"/>
  <c r="E9" i="36" s="1"/>
  <c r="E64" i="36" s="1"/>
  <c r="E75" i="36"/>
  <c r="E73" i="36" s="1"/>
  <c r="O25" i="44"/>
  <c r="O26" i="44" s="1"/>
  <c r="M231" i="46"/>
  <c r="G308" i="46"/>
  <c r="D308" i="46"/>
  <c r="L231" i="46"/>
  <c r="P251" i="46"/>
  <c r="C15" i="44" s="1"/>
  <c r="C26" i="44" s="1"/>
  <c r="P325" i="46"/>
  <c r="K231" i="46"/>
  <c r="N24" i="53"/>
  <c r="N25" i="53" s="1"/>
  <c r="J13" i="44"/>
  <c r="C308" i="46"/>
  <c r="J308" i="46"/>
  <c r="O385" i="46"/>
  <c r="C70" i="60"/>
  <c r="J16" i="44"/>
  <c r="M16" i="44" s="1"/>
  <c r="M27" i="44" s="1"/>
  <c r="G74" i="36"/>
  <c r="F74" i="36"/>
  <c r="F73" i="36" s="1"/>
  <c r="F70" i="58"/>
  <c r="L17" i="51"/>
  <c r="L23" i="51" s="1"/>
  <c r="J385" i="46"/>
  <c r="P266" i="46"/>
  <c r="B14" i="44"/>
  <c r="B25" i="44" s="1"/>
  <c r="C16" i="51"/>
  <c r="H16" i="51" s="1"/>
  <c r="F10" i="36"/>
  <c r="F9" i="36" s="1"/>
  <c r="F64" i="36" s="1"/>
  <c r="I19" i="51"/>
  <c r="L13" i="51"/>
  <c r="C14" i="51"/>
  <c r="H14" i="51" s="1"/>
  <c r="D10" i="36"/>
  <c r="D9" i="36" s="1"/>
  <c r="D64" i="36" s="1"/>
  <c r="I21" i="51"/>
  <c r="L15" i="51"/>
  <c r="C105" i="57"/>
  <c r="C70" i="36" s="1"/>
  <c r="D381" i="46"/>
  <c r="K308" i="46"/>
  <c r="P248" i="46"/>
  <c r="H381" i="46"/>
  <c r="H385" i="46" s="1"/>
  <c r="C385" i="46"/>
  <c r="J25" i="44"/>
  <c r="M14" i="44"/>
  <c r="M25" i="44" s="1"/>
  <c r="L14" i="51"/>
  <c r="I20" i="51"/>
  <c r="C21" i="51"/>
  <c r="C231" i="46"/>
  <c r="P304" i="46"/>
  <c r="D15" i="44" s="1"/>
  <c r="D26" i="44" s="1"/>
  <c r="C17" i="51"/>
  <c r="H17" i="51" s="1"/>
  <c r="G10" i="36"/>
  <c r="J26" i="44"/>
  <c r="C107" i="57" l="1"/>
  <c r="C72" i="36" s="1"/>
  <c r="C69" i="60" s="1"/>
  <c r="C73" i="36"/>
  <c r="H15" i="65"/>
  <c r="H14" i="65" s="1"/>
  <c r="D12" i="44"/>
  <c r="D23" i="44" s="1"/>
  <c r="H11" i="65"/>
  <c r="E121" i="62"/>
  <c r="C56" i="36"/>
  <c r="C55" i="36" s="1"/>
  <c r="M15" i="44"/>
  <c r="M26" i="44" s="1"/>
  <c r="M13" i="44"/>
  <c r="M24" i="44" s="1"/>
  <c r="I22" i="51"/>
  <c r="G9" i="36"/>
  <c r="G64" i="36" s="1"/>
  <c r="M12" i="44"/>
  <c r="M23" i="44" s="1"/>
  <c r="J27" i="44"/>
  <c r="G73" i="36"/>
  <c r="J24" i="44"/>
  <c r="P308" i="46"/>
  <c r="D385" i="46"/>
  <c r="P381" i="46"/>
  <c r="H20" i="51"/>
  <c r="C20" i="51"/>
  <c r="D14" i="44"/>
  <c r="D25" i="44" s="1"/>
  <c r="D231" i="46"/>
  <c r="L21" i="51"/>
  <c r="M15" i="51"/>
  <c r="M21" i="51" s="1"/>
  <c r="L19" i="51"/>
  <c r="C22" i="51"/>
  <c r="D13" i="44"/>
  <c r="D24" i="44" s="1"/>
  <c r="B16" i="44"/>
  <c r="C23" i="51"/>
  <c r="L20" i="51"/>
  <c r="H13" i="65" l="1"/>
  <c r="M14" i="51"/>
  <c r="M20" i="51" s="1"/>
  <c r="C103" i="57"/>
  <c r="C101" i="57"/>
  <c r="C13" i="51"/>
  <c r="H13" i="51" s="1"/>
  <c r="C10" i="36"/>
  <c r="C9" i="65" s="1"/>
  <c r="C8" i="65" s="1"/>
  <c r="C7" i="65" s="1"/>
  <c r="C25" i="65" s="1"/>
  <c r="C14" i="44"/>
  <c r="E67" i="36"/>
  <c r="E66" i="36" s="1"/>
  <c r="E65" i="36" s="1"/>
  <c r="E82" i="36" s="1"/>
  <c r="E115" i="57"/>
  <c r="D115" i="57"/>
  <c r="D82" i="36"/>
  <c r="B13" i="44"/>
  <c r="M17" i="51"/>
  <c r="M23" i="51" s="1"/>
  <c r="H23" i="51"/>
  <c r="H22" i="51"/>
  <c r="M16" i="51"/>
  <c r="M22" i="51" s="1"/>
  <c r="B15" i="44"/>
  <c r="F67" i="36"/>
  <c r="F66" i="36" s="1"/>
  <c r="F65" i="36" s="1"/>
  <c r="F82" i="36" s="1"/>
  <c r="F84" i="36" s="1"/>
  <c r="F115" i="57"/>
  <c r="P385" i="46"/>
  <c r="B27" i="44"/>
  <c r="P231" i="46"/>
  <c r="C68" i="36" l="1"/>
  <c r="H9" i="65"/>
  <c r="H8" i="65" s="1"/>
  <c r="H7" i="65" s="1"/>
  <c r="H25" i="65" s="1"/>
  <c r="D84" i="36"/>
  <c r="C9" i="36"/>
  <c r="C64" i="36" s="1"/>
  <c r="C8" i="60"/>
  <c r="C7" i="60" s="1"/>
  <c r="C61" i="60" s="1"/>
  <c r="E84" i="36"/>
  <c r="C102" i="57"/>
  <c r="C115" i="57" s="1"/>
  <c r="B12" i="44"/>
  <c r="C19" i="51"/>
  <c r="B26" i="44"/>
  <c r="I15" i="44"/>
  <c r="D16" i="44"/>
  <c r="G67" i="36"/>
  <c r="G66" i="36" s="1"/>
  <c r="G65" i="36" s="1"/>
  <c r="G82" i="36" s="1"/>
  <c r="G115" i="57"/>
  <c r="I13" i="44"/>
  <c r="B24" i="44"/>
  <c r="C25" i="44"/>
  <c r="I14" i="44"/>
  <c r="C67" i="36" l="1"/>
  <c r="C66" i="36" s="1"/>
  <c r="C65" i="36" s="1"/>
  <c r="C82" i="36" s="1"/>
  <c r="C84" i="36" s="1"/>
  <c r="C65" i="60"/>
  <c r="C64" i="60" s="1"/>
  <c r="C63" i="60" s="1"/>
  <c r="C62" i="60" s="1"/>
  <c r="C78" i="60" s="1"/>
  <c r="F60" i="62"/>
  <c r="F121" i="62"/>
  <c r="B23" i="44"/>
  <c r="I12" i="44"/>
  <c r="H19" i="51"/>
  <c r="M13" i="51"/>
  <c r="M19" i="51" s="1"/>
  <c r="N14" i="44"/>
  <c r="N25" i="44" s="1"/>
  <c r="I25" i="44"/>
  <c r="I26" i="44"/>
  <c r="N15" i="44"/>
  <c r="N26" i="44" s="1"/>
  <c r="G86" i="36"/>
  <c r="G84" i="36"/>
  <c r="D27" i="44"/>
  <c r="I16" i="44"/>
  <c r="I24" i="44"/>
  <c r="N13" i="44"/>
  <c r="N24" i="44" s="1"/>
  <c r="N12" i="44" l="1"/>
  <c r="N23" i="44" s="1"/>
  <c r="I23" i="44"/>
  <c r="I27" i="44"/>
  <c r="N16" i="44"/>
  <c r="N27" i="44" s="1"/>
</calcChain>
</file>

<file path=xl/sharedStrings.xml><?xml version="1.0" encoding="utf-8"?>
<sst xmlns="http://schemas.openxmlformats.org/spreadsheetml/2006/main" count="1681" uniqueCount="846">
  <si>
    <t>ezer Ft-ban</t>
  </si>
  <si>
    <t>Felhalmozási célú bevételek mindösszesen</t>
  </si>
  <si>
    <t>Felhalmozási célú kiadások mindösszesen</t>
  </si>
  <si>
    <t>II. Felújítások</t>
  </si>
  <si>
    <t>I. Beruházások</t>
  </si>
  <si>
    <t>Költségvetési bevételek mindösszesen</t>
  </si>
  <si>
    <t>Működési célú bevételek összesen</t>
  </si>
  <si>
    <t>Költségvetési kiadások összesen</t>
  </si>
  <si>
    <t>Költségvetési kiadások mindösszesen</t>
  </si>
  <si>
    <t xml:space="preserve">I. Működési kiadások </t>
  </si>
  <si>
    <r>
      <t xml:space="preserve">      </t>
    </r>
    <r>
      <rPr>
        <sz val="10"/>
        <rFont val="Times New Roman"/>
        <family val="1"/>
        <charset val="238"/>
      </rPr>
      <t>1. Önkormányzat működési kiadásai</t>
    </r>
  </si>
  <si>
    <t>Felhalmozási célú bevételek összesen</t>
  </si>
  <si>
    <t>Felhalmozási célú kiadások összesen</t>
  </si>
  <si>
    <t>III.  Egyéb felhalmozási célú kiadások</t>
  </si>
  <si>
    <t>Önkormányzati költségvetési bevételek - kiadások</t>
  </si>
  <si>
    <t>Működési célú támogatások, pénzeszközátadások</t>
  </si>
  <si>
    <t xml:space="preserve">               Óvodai nevelés</t>
  </si>
  <si>
    <t xml:space="preserve">               Családsegítés, gyermekjóléti feladatok</t>
  </si>
  <si>
    <t xml:space="preserve">               Házi segítségnyújtás</t>
  </si>
  <si>
    <t xml:space="preserve">               Jelzőrendszeres házi segítésnyújtás</t>
  </si>
  <si>
    <t xml:space="preserve">               Pénzügyi Gondnokság iroda működtetés</t>
  </si>
  <si>
    <t xml:space="preserve">               Háziorvosi ügyeleti ellátás</t>
  </si>
  <si>
    <t xml:space="preserve">               Egészségügyi laboratóriumi szolgáltatás</t>
  </si>
  <si>
    <t xml:space="preserve">               Kistérségi TV működtetés</t>
  </si>
  <si>
    <t xml:space="preserve">               Kistérségi Társulás tagdíj (500 Ft/fő)</t>
  </si>
  <si>
    <t xml:space="preserve">                      ezer Ft-ban</t>
  </si>
  <si>
    <t>Kiadások</t>
  </si>
  <si>
    <t xml:space="preserve">    Szociális hozzájárulási adó</t>
  </si>
  <si>
    <t>Dologi kiadások összesen</t>
  </si>
  <si>
    <t>Létszám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</si>
  <si>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</si>
  <si>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</si>
  <si>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</si>
  <si>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</si>
  <si>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</si>
  <si>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Egyéb működési célú kiadások</t>
  </si>
  <si>
    <t>Beruházás</t>
  </si>
  <si>
    <t>Felújítás</t>
  </si>
  <si>
    <t>Egyéb felhalmozási célú kiadás</t>
  </si>
  <si>
    <t>Önkormányzat</t>
  </si>
  <si>
    <t>Összesen</t>
  </si>
  <si>
    <t xml:space="preserve">    Polgármester illetménye</t>
  </si>
  <si>
    <t xml:space="preserve">    Egyéb dologi kiadások</t>
  </si>
  <si>
    <t>Létszám (fő)</t>
  </si>
  <si>
    <t xml:space="preserve">    Közlekedési költségtérítés</t>
  </si>
  <si>
    <t>Működési célú bevételek</t>
  </si>
  <si>
    <t>Bevételek mindösszesen</t>
  </si>
  <si>
    <t>Feladat
finanszírozás</t>
  </si>
  <si>
    <t>Egyéb állami támogatás</t>
  </si>
  <si>
    <t>Összes kiadás</t>
  </si>
  <si>
    <t>1. Beruházások</t>
  </si>
  <si>
    <t>2. Felújítások</t>
  </si>
  <si>
    <t>-</t>
  </si>
  <si>
    <t>3. Egyéb felhalmozási kiadások</t>
  </si>
  <si>
    <t>Felvétel éve</t>
  </si>
  <si>
    <t>Összege</t>
  </si>
  <si>
    <t>Mindösszesen: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</si>
  <si>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</si>
  <si>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</si>
  <si>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</si>
  <si>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</si>
  <si>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</si>
  <si>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</si>
  <si>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</si>
  <si>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</si>
  <si>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</si>
  <si>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</si>
  <si>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</si>
  <si>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</si>
  <si>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</si>
  <si>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</si>
  <si>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</si>
  <si>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</si>
  <si>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</si>
  <si>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</si>
  <si>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Kiadások összesen</t>
  </si>
  <si>
    <t>Havi egyenleg</t>
  </si>
  <si>
    <t>Göngyölített egyenleg</t>
  </si>
  <si>
    <t xml:space="preserve">               Pénzügyi Gondnokság konyha működtetés (intézményi étkeztetés)</t>
  </si>
  <si>
    <t xml:space="preserve">        Fogorvosi alapellátás</t>
  </si>
  <si>
    <t xml:space="preserve">        Gyermekorvos</t>
  </si>
  <si>
    <t>III. Közvetett támogatások</t>
  </si>
  <si>
    <t>Ellátottak térítési díjának méltányossági alapon elengedett összege</t>
  </si>
  <si>
    <t>Lakosság részére lakásépítéshez, felújításhoz nyújtott kölcsön elengedése</t>
  </si>
  <si>
    <t>Egyéb nyújtott kedvezmény vagy kölcsön elengedésének összege</t>
  </si>
  <si>
    <t>Önkormányzat/
intézmények/feladatok szerinti bontásban</t>
  </si>
  <si>
    <t>Munkaadót terhelő járulékok és szociális hozzájárulási adó</t>
  </si>
  <si>
    <t>III. Közhatalmi bevételek</t>
  </si>
  <si>
    <t>közfoglalkoztatottak létszáma (önkormányzat)</t>
  </si>
  <si>
    <t>Engedély
ezett
 létszám</t>
  </si>
  <si>
    <t>EU-s projekt, program megnevezése</t>
  </si>
  <si>
    <t>Projekt azonosító</t>
  </si>
  <si>
    <t>Igényelt támogatás összege</t>
  </si>
  <si>
    <t>Megítélt támogatás összege</t>
  </si>
  <si>
    <t>Önkormányzati önerő összege</t>
  </si>
  <si>
    <t>Projekthez kapcsolódó kiadások</t>
  </si>
  <si>
    <t>Projekt megvalósításhoz kapcsolódó egyéb költségek</t>
  </si>
  <si>
    <t>Projekt megvalósítás során felmerült költségek</t>
  </si>
  <si>
    <t>Elszámolható</t>
  </si>
  <si>
    <t>Nem elszámolható</t>
  </si>
  <si>
    <t>Önkormányzati önerő
 %</t>
  </si>
  <si>
    <t>Projekt összköltség összesen</t>
  </si>
  <si>
    <t>Tám.-i intenzitás
%</t>
  </si>
  <si>
    <t>064010 Közvilágítás</t>
  </si>
  <si>
    <t>Futamidő (fizetési kötelezettség)</t>
  </si>
  <si>
    <t>Várható saját bevételek</t>
  </si>
  <si>
    <t>Rovat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</si>
  <si>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</si>
  <si>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</si>
  <si>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</si>
  <si>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</si>
  <si>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</si>
  <si>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</si>
  <si>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</si>
  <si>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</si>
  <si>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</si>
  <si>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</si>
  <si>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</si>
  <si>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</si>
  <si>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</si>
  <si>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</si>
  <si>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</si>
  <si>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</si>
  <si>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</si>
  <si>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</si>
  <si>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</si>
  <si>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</si>
  <si>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</si>
  <si>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</si>
  <si>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</si>
  <si>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</si>
  <si>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</si>
  <si>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</si>
  <si>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</si>
  <si>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</si>
  <si>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</si>
  <si>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</si>
  <si>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</si>
  <si>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</si>
  <si>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</si>
  <si>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</si>
  <si>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</si>
  <si>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</si>
  <si>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</si>
  <si>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</si>
  <si>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</si>
  <si>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</si>
  <si>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</si>
  <si>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</si>
  <si>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</si>
  <si>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</si>
  <si>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</si>
  <si>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</si>
  <si>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</si>
  <si>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</si>
  <si>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</si>
  <si>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</si>
  <si>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</si>
  <si>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</si>
  <si>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</si>
  <si>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</si>
  <si>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</si>
  <si>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</si>
  <si>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</si>
  <si>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</si>
  <si>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</si>
  <si>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</si>
  <si>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</si>
  <si>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</si>
  <si>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</si>
  <si>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</si>
  <si>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</si>
  <si>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</si>
  <si>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</si>
  <si>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</si>
  <si>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</si>
  <si>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</si>
  <si>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</si>
  <si>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</si>
  <si>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</si>
  <si>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</si>
  <si>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</si>
  <si>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</si>
  <si>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</si>
  <si>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</si>
  <si>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</si>
  <si>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</si>
  <si>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</si>
  <si>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</si>
  <si>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</si>
  <si>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</si>
  <si>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</si>
  <si>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</si>
  <si>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</si>
  <si>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>K1-K8</t>
  </si>
  <si>
    <t>Működési bevételek - kiadások</t>
  </si>
  <si>
    <t>Felhalmozási bevételek - kiadások</t>
  </si>
  <si>
    <t>B111</t>
  </si>
  <si>
    <t>B112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</si>
  <si>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</si>
  <si>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</si>
  <si>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</si>
  <si>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</si>
  <si>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</si>
  <si>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</si>
  <si>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</si>
  <si>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</si>
  <si>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</si>
  <si>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</si>
  <si>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</si>
  <si>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</si>
  <si>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</si>
  <si>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</si>
  <si>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</si>
  <si>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 xml:space="preserve">II. Felhalmozási kiadások </t>
  </si>
  <si>
    <t>II. Közhatalmi bevételek</t>
  </si>
  <si>
    <t xml:space="preserve">      1. Vagyoni típusú adók </t>
  </si>
  <si>
    <t xml:space="preserve">          1.1. Építményadó </t>
  </si>
  <si>
    <t xml:space="preserve">          1.2. Idegenforgalmi adó</t>
  </si>
  <si>
    <t xml:space="preserve">     2. Termékek és szolgáltatások adói</t>
  </si>
  <si>
    <t xml:space="preserve">          2.1. Iparűzési adó</t>
  </si>
  <si>
    <t>III. Működési bevételek</t>
  </si>
  <si>
    <t xml:space="preserve">      1. Készletértékesítés ellenértéke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</si>
  <si>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</si>
  <si>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</si>
  <si>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</si>
  <si>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8. Kamatbevételek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</si>
  <si>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</si>
  <si>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</si>
  <si>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</si>
  <si>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</si>
  <si>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>I. Személyi juttatások</t>
  </si>
  <si>
    <t>II. Munkaadót terhelő járulékok és szociális hozzájárulási adó</t>
  </si>
  <si>
    <t>III. Dologi kiadások</t>
  </si>
  <si>
    <t>I. Felhalmozási célú támogatások államháztartáson belülről</t>
  </si>
  <si>
    <t>II. Felhalmozási bevételek</t>
  </si>
  <si>
    <t xml:space="preserve">      1. Immateriális javak értékesítése</t>
  </si>
  <si>
    <t xml:space="preserve">      2. Ingatlanok értékesítése</t>
  </si>
  <si>
    <t xml:space="preserve">      5. Részesedések megszűnéséhez kapcsolódó bevételek</t>
  </si>
  <si>
    <t>K6</t>
  </si>
  <si>
    <t>Működési bevételek mindösszesen</t>
  </si>
  <si>
    <t>Működési kiadások mindösszesen</t>
  </si>
  <si>
    <t>Kiküldetések, reklám- és propagandakiadások</t>
  </si>
  <si>
    <t>Különféle befizetések és egyéb dologi kiadások</t>
  </si>
  <si>
    <t>K 31</t>
  </si>
  <si>
    <t>K 311</t>
  </si>
  <si>
    <t>K 313</t>
  </si>
  <si>
    <t>K 312</t>
  </si>
  <si>
    <t>K 32</t>
  </si>
  <si>
    <t>K 321</t>
  </si>
  <si>
    <t>K 322</t>
  </si>
  <si>
    <t>K 33</t>
  </si>
  <si>
    <t>K 331</t>
  </si>
  <si>
    <t>K 333</t>
  </si>
  <si>
    <t>K 334</t>
  </si>
  <si>
    <t>K 335</t>
  </si>
  <si>
    <t>K 336</t>
  </si>
  <si>
    <t>K 337</t>
  </si>
  <si>
    <t>K 34</t>
  </si>
  <si>
    <t>K 341</t>
  </si>
  <si>
    <t>K 342</t>
  </si>
  <si>
    <t>K 35</t>
  </si>
  <si>
    <t>K 351</t>
  </si>
  <si>
    <t>K 352</t>
  </si>
  <si>
    <t>K 353</t>
  </si>
  <si>
    <t>K 354</t>
  </si>
  <si>
    <t>K 355</t>
  </si>
  <si>
    <t>Készletbeszerzés</t>
  </si>
  <si>
    <t xml:space="preserve">     Üzemeltetési anyagok</t>
  </si>
  <si>
    <t xml:space="preserve">     Árubeszerzés</t>
  </si>
  <si>
    <t>Kommunikációs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</si>
  <si>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</si>
  <si>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</si>
  <si>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</si>
  <si>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</si>
  <si>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</si>
  <si>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</si>
  <si>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</si>
  <si>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</si>
  <si>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</si>
  <si>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</si>
  <si>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</si>
  <si>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</si>
  <si>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</si>
  <si>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</si>
  <si>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</si>
  <si>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</si>
  <si>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Bérleti és lízingdíjak</t>
  </si>
  <si>
    <t xml:space="preserve">     Közüzemi díjak</t>
  </si>
  <si>
    <t xml:space="preserve">        Nyomtatvány, irodaszer</t>
  </si>
  <si>
    <t xml:space="preserve">        Hajtó- és kenőanyagok</t>
  </si>
  <si>
    <t xml:space="preserve">        Tisztítószer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</si>
  <si>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</si>
  <si>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 xml:space="preserve">     Reklám- és propagandakiadások </t>
  </si>
  <si>
    <t xml:space="preserve">        Biztosítások (vagyon, gépjármű)</t>
  </si>
  <si>
    <t xml:space="preserve">        Különféle adók, díjak, adójellegű befizetések, hozzájárulások</t>
  </si>
  <si>
    <t>011130 Önk. és önk.-i hivatalok 
jogalkotói és ált. igazgatási tevékenysége</t>
  </si>
  <si>
    <t>K 332</t>
  </si>
  <si>
    <t xml:space="preserve">     Vásárolt élelmezés</t>
  </si>
  <si>
    <t xml:space="preserve">        Munkaruha</t>
  </si>
  <si>
    <t xml:space="preserve">K5 </t>
  </si>
  <si>
    <t xml:space="preserve">K6 </t>
  </si>
  <si>
    <t>Beruházások (kis értékű tárgyi eszköz beszerzés)</t>
  </si>
  <si>
    <t xml:space="preserve">        Foglalkozás- egészségügyi alapellátás</t>
  </si>
  <si>
    <t>082044 Könyvtári szolgáltatások</t>
  </si>
  <si>
    <t xml:space="preserve">      2. Európai Uniós forrásból származó bevételek</t>
  </si>
  <si>
    <t xml:space="preserve">      3. Egyéb közhatalmi bevételek (igazgatási szolgáltatási díj, bírságok)</t>
  </si>
  <si>
    <t xml:space="preserve">        1. Európai Uniós támogatásból megvalósuló beruházások</t>
  </si>
  <si>
    <t xml:space="preserve">    Költségtérítés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</si>
  <si>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</si>
  <si>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Alkalmazottak illetménye </t>
  </si>
  <si>
    <t xml:space="preserve">V. Egyéb működési célú kiadások </t>
  </si>
  <si>
    <t xml:space="preserve">    2. Működési célú tartalék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</si>
  <si>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</si>
  <si>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</si>
  <si>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</si>
  <si>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III. Felhalmozási célú átvett pénzeszközök </t>
  </si>
  <si>
    <t xml:space="preserve">        1. Európai Uniós támogatásból megvalósuló felújítások</t>
  </si>
  <si>
    <t xml:space="preserve">        2. Hazai támogatásból, saját forrásból megvalósuló felújítások</t>
  </si>
  <si>
    <t xml:space="preserve">    1. Többcélú kistérségi társulásnak, önkormányzatoknak és költségvetési szerveinek</t>
  </si>
  <si>
    <t xml:space="preserve">        Tüzelőanyag</t>
  </si>
  <si>
    <t xml:space="preserve">        Egyéb üzemeltetés, készletbeszerzés</t>
  </si>
  <si>
    <t xml:space="preserve">      1. Hazai forrásból származó bevételek </t>
  </si>
  <si>
    <t>Többéves kihatással járó feladatok</t>
  </si>
  <si>
    <t xml:space="preserve">   Támogatások ÁHT-n belülről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</si>
  <si>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</si>
  <si>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</si>
  <si>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</si>
  <si>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Felhalmozási bevételek</t>
  </si>
  <si>
    <t>Működési célú tartalék</t>
  </si>
  <si>
    <t>Műk. célú
pénzeszköz
átadás</t>
  </si>
  <si>
    <t>Költség-
vetési kiadások összesen</t>
  </si>
  <si>
    <t>Felhalmozási célúl bevételek</t>
  </si>
  <si>
    <t>Működési bevételek</t>
  </si>
  <si>
    <t>Működési célú támogatások államháztartáson belülről</t>
  </si>
  <si>
    <t>Közhatalmi bevételek</t>
  </si>
  <si>
    <t>Működési célú átvett pénzeszközök</t>
  </si>
  <si>
    <t>041233 Közfoglalkoztatás</t>
  </si>
  <si>
    <t>107055 Falugondnoki szolgáltatás</t>
  </si>
  <si>
    <t xml:space="preserve">          2.2. Gépjárműadó (40%)</t>
  </si>
  <si>
    <t xml:space="preserve">      Informatikai szolgáltatások</t>
  </si>
  <si>
    <t xml:space="preserve">        Postaköltség</t>
  </si>
  <si>
    <t xml:space="preserve">     2. Egyéb működési célú pénzeszközátadás </t>
  </si>
  <si>
    <r>
      <t xml:space="preserve">     Szakmai anyagok beszerzése</t>
    </r>
    <r>
      <rPr>
        <sz val="7"/>
        <rFont val="Times New Roman"/>
        <family val="1"/>
        <charset val="238"/>
      </rPr>
      <t xml:space="preserve"> (könyv, folyóirat, napilap, gyógyszer, egyéb)</t>
    </r>
  </si>
  <si>
    <t xml:space="preserve">        Hóeltakarítás</t>
  </si>
  <si>
    <t>082092 Közművelődési intézmények működtetése</t>
  </si>
  <si>
    <t xml:space="preserve">        2. Hazai támogatásból, saját forrásból megvalósítandó beruházások </t>
  </si>
  <si>
    <t>B8</t>
  </si>
  <si>
    <t xml:space="preserve">A. K ö l t s é g v e t é s i  b e v é t e l e k </t>
  </si>
  <si>
    <t xml:space="preserve">B. F i n a n s z í r o z á s i   b e v é t e l e k </t>
  </si>
  <si>
    <t xml:space="preserve">A. K ö l t s é g v e t é s i  k i a d á s o k </t>
  </si>
  <si>
    <t>B. F i n a n s z í r o z á s i   k i a d á s o k</t>
  </si>
  <si>
    <t xml:space="preserve">A. K ö l t s é g v e t é s i   k i a d á s o k </t>
  </si>
  <si>
    <t xml:space="preserve">A. K ö l t s é g v e t é s i   b e v é t e l e k </t>
  </si>
  <si>
    <t xml:space="preserve">B. F i n a n s z í r o z á s i  b e v é t e l e k </t>
  </si>
  <si>
    <t xml:space="preserve"> I. Költségvetési bevételek belső finanszírozására szolgáló eszközök</t>
  </si>
  <si>
    <t xml:space="preserve">        1. Működési célú hitel</t>
  </si>
  <si>
    <t>II. Költségvetési bevételek külső finanszírozására szolgáló eszközök</t>
  </si>
  <si>
    <t>I. Költségvetési hiány belső finanszírozására szolgáló eszközök</t>
  </si>
  <si>
    <t>II. Költségvetési hiány külső finanszírozására szolgáló eszközök</t>
  </si>
  <si>
    <t xml:space="preserve">       1. Felhalmozási célú hitel</t>
  </si>
  <si>
    <t>I. Költségvetési bevételek belső finanszírozására szolgáló eszközök</t>
  </si>
  <si>
    <t xml:space="preserve">     1. Előző évi pénzmaradvány igénybevétele</t>
  </si>
  <si>
    <t xml:space="preserve">         1.1. Működési célú pénzmaradvány</t>
  </si>
  <si>
    <t xml:space="preserve">       1. Működési célú hitel</t>
  </si>
  <si>
    <t xml:space="preserve">       2. Felhalmozási célú hitel</t>
  </si>
  <si>
    <t xml:space="preserve">B. F i n a n s z í r o z á s i   k i a d á s o k </t>
  </si>
  <si>
    <t xml:space="preserve">         1.2. Felhalmozási célú pénzmaradvány</t>
  </si>
  <si>
    <t xml:space="preserve">          3.1. Felhalmozási célú pénzeszközátadás</t>
  </si>
  <si>
    <t xml:space="preserve">Kereki Község Önkormányzatának </t>
  </si>
  <si>
    <t>Kereki Község Önkormányzata</t>
  </si>
  <si>
    <t xml:space="preserve">          1. Felhalmozási célú pénzeszközátadás </t>
  </si>
  <si>
    <t xml:space="preserve">    Képviselői tiszteletdíjak</t>
  </si>
  <si>
    <t>013320 Köztemető fenntartás</t>
  </si>
  <si>
    <t>Háziorvosi alapellátás</t>
  </si>
  <si>
    <t>Adósságot keletkeztető ügyletnél figyelembe veendő bevételek (Stabilitási tv. 45.§ (1) a., 10.§ (5) bek. szerint)</t>
  </si>
  <si>
    <t>Felh. bevételek, átvett pénzeszközök</t>
  </si>
  <si>
    <t xml:space="preserve">    1. Háztartásoknak </t>
  </si>
  <si>
    <t>107060 Egyéb pénbeli és szoc. ellátások</t>
  </si>
  <si>
    <t>066020 Város- és községgazdálkodási szolg.</t>
  </si>
  <si>
    <t>Felhalmozási célú bevételek áht-n belülről</t>
  </si>
  <si>
    <t xml:space="preserve">               TKT feladatok</t>
  </si>
  <si>
    <t>K914</t>
  </si>
  <si>
    <t>ÁH-on belüli megelőlegezések</t>
  </si>
  <si>
    <t>Közfoglalkoztatottak</t>
  </si>
  <si>
    <t>Finanszírozási kiadások</t>
  </si>
  <si>
    <t xml:space="preserve">   Finanszírozási kiadások</t>
  </si>
  <si>
    <t>B411</t>
  </si>
  <si>
    <t xml:space="preserve">        Humán eü-i szolg. (Dr. Kisegyházi Attila Bt.)</t>
  </si>
  <si>
    <t xml:space="preserve">      4. Tulajdonosi bevételek </t>
  </si>
  <si>
    <t xml:space="preserve">      3. Közvetített szolgáltatások ellenértéke (továbbszámlázott)</t>
  </si>
  <si>
    <t xml:space="preserve">     10. Biztosító által fizetett kártérítés</t>
  </si>
  <si>
    <t xml:space="preserve">     11. Egyéb működési bevételek </t>
  </si>
  <si>
    <r>
      <t xml:space="preserve">    2. Civil szervezeteknek </t>
    </r>
    <r>
      <rPr>
        <sz val="10"/>
        <rFont val="Times New Roman"/>
        <family val="1"/>
        <charset val="238"/>
      </rPr>
      <t>(Együtt Kerekiért, Polgárőrség, Nyugdíjas klub, stb.)</t>
    </r>
  </si>
  <si>
    <t>Ellátottak pénzbeli juttatásai</t>
  </si>
  <si>
    <t>IV. Ellátottak pénzbeli juttatásai</t>
  </si>
  <si>
    <t xml:space="preserve">    Polgármesteri cafetria</t>
  </si>
  <si>
    <t xml:space="preserve">        Bankköltség</t>
  </si>
  <si>
    <t>ezer Ft</t>
  </si>
  <si>
    <t>Települések</t>
  </si>
  <si>
    <t>Lakosságszám 
(fő)</t>
  </si>
  <si>
    <t xml:space="preserve">TKT </t>
  </si>
  <si>
    <t>Intézmények</t>
  </si>
  <si>
    <t>Társulási díj   
500Ft/fő/év</t>
  </si>
  <si>
    <t>TKT működési h.jár</t>
  </si>
  <si>
    <t xml:space="preserve">Labor  </t>
  </si>
  <si>
    <t>TKT
összesen</t>
  </si>
  <si>
    <t xml:space="preserve">BTKT TV </t>
  </si>
  <si>
    <t xml:space="preserve">Családseg.,Gyerm.jólét </t>
  </si>
  <si>
    <t xml:space="preserve">Óvodák (Bf. Bálv.) </t>
  </si>
  <si>
    <t xml:space="preserve">PÜG iroda, étkeztetés </t>
  </si>
  <si>
    <t xml:space="preserve">Intézmények
összesen                         </t>
  </si>
  <si>
    <t>különb
ség</t>
  </si>
  <si>
    <t>B.földvár</t>
  </si>
  <si>
    <t>B.őszöd</t>
  </si>
  <si>
    <t>B.szárszó</t>
  </si>
  <si>
    <t>B.szemes</t>
  </si>
  <si>
    <t>Bálványos</t>
  </si>
  <si>
    <t>Kereki</t>
  </si>
  <si>
    <t>Kőröshegy</t>
  </si>
  <si>
    <t>Kötcse</t>
  </si>
  <si>
    <t>N.csepely</t>
  </si>
  <si>
    <t>P.szemes</t>
  </si>
  <si>
    <t>Szántód</t>
  </si>
  <si>
    <t>Szólád</t>
  </si>
  <si>
    <t>Teleki</t>
  </si>
  <si>
    <t>Balatonendréd</t>
  </si>
  <si>
    <t xml:space="preserve"> Kereki Község Önkormányzata </t>
  </si>
  <si>
    <t>Előirányzatok változása                                                                                     Bevételek/kiadások változása</t>
  </si>
  <si>
    <t>Indoklás</t>
  </si>
  <si>
    <t xml:space="preserve">         Építményadó</t>
  </si>
  <si>
    <t xml:space="preserve">         Kommunális adó</t>
  </si>
  <si>
    <t xml:space="preserve">         Telekadó</t>
  </si>
  <si>
    <t>B351</t>
  </si>
  <si>
    <t xml:space="preserve">         Iparűzési adó</t>
  </si>
  <si>
    <t>B354</t>
  </si>
  <si>
    <t>B65</t>
  </si>
  <si>
    <t>B75</t>
  </si>
  <si>
    <t xml:space="preserve">     1. Előző évi maradvány igénybevétele</t>
  </si>
  <si>
    <t xml:space="preserve">         1.1. Működési célú maradvány</t>
  </si>
  <si>
    <t xml:space="preserve">         1.2. Felhalmozási célú maradvány</t>
  </si>
  <si>
    <t xml:space="preserve">     2. Államháztartáson belüli megelőlegezések</t>
  </si>
  <si>
    <r>
      <t xml:space="preserve">    </t>
    </r>
    <r>
      <rPr>
        <sz val="10"/>
        <rFont val="Times New Roman"/>
        <family val="1"/>
        <charset val="238"/>
      </rPr>
      <t>Önkormányzat működési kiadásai</t>
    </r>
  </si>
  <si>
    <t>K513</t>
  </si>
  <si>
    <t xml:space="preserve">        Egyéb felhalmozási célú kiadások</t>
  </si>
  <si>
    <t>K9113</t>
  </si>
  <si>
    <t xml:space="preserve">     Hitel visszafizetése</t>
  </si>
  <si>
    <t xml:space="preserve">        ÁHB megelőlegezés visszafizetése (kerekítés)</t>
  </si>
  <si>
    <t>K336</t>
  </si>
  <si>
    <t xml:space="preserve">         Részesedések értékesítése NHSZ Zöldfok Zrt.</t>
  </si>
  <si>
    <t xml:space="preserve">        Házi segítségnyújtás</t>
  </si>
  <si>
    <t>K351</t>
  </si>
  <si>
    <t xml:space="preserve">     Kötelező (eredeti)</t>
  </si>
  <si>
    <t xml:space="preserve">       Államigazgatási (eredeti)</t>
  </si>
  <si>
    <t>Önkormányzat összesen (eredeti)</t>
  </si>
  <si>
    <t xml:space="preserve">     Államigazgatási (eredeti)</t>
  </si>
  <si>
    <t>K42</t>
  </si>
  <si>
    <t xml:space="preserve">        Gyermekvédelmi kedvezmény (Erzsébet utalvány)</t>
  </si>
  <si>
    <t>B343</t>
  </si>
  <si>
    <t>K312</t>
  </si>
  <si>
    <t>K332</t>
  </si>
  <si>
    <t xml:space="preserve">      3. Egyéb tárgyi eszközök értékesítése </t>
  </si>
  <si>
    <t xml:space="preserve">      4. Részesedések értékesítése </t>
  </si>
  <si>
    <r>
      <t xml:space="preserve">    </t>
    </r>
    <r>
      <rPr>
        <b/>
        <sz val="10"/>
        <rFont val="Times New Roman"/>
        <family val="1"/>
        <charset val="238"/>
      </rPr>
      <t>3. Vállalkozásoknak</t>
    </r>
    <r>
      <rPr>
        <sz val="10"/>
        <rFont val="Times New Roman"/>
        <family val="1"/>
        <charset val="238"/>
      </rPr>
      <t xml:space="preserve"> </t>
    </r>
  </si>
  <si>
    <t xml:space="preserve">          1.2. Kommunális adó</t>
  </si>
  <si>
    <t xml:space="preserve">          1.3. Telekadó</t>
  </si>
  <si>
    <t>B355</t>
  </si>
  <si>
    <t xml:space="preserve">          2.3. Idegenforgalmi adó</t>
  </si>
  <si>
    <t xml:space="preserve">    Munkáltatót terhelő szja, EHO</t>
  </si>
  <si>
    <t>K1101</t>
  </si>
  <si>
    <t xml:space="preserve">         Közvetített szolgáltatások ellenértéke (OGY választás miatt)</t>
  </si>
  <si>
    <t>K337</t>
  </si>
  <si>
    <t xml:space="preserve">                Lakossági víz- és csatornaszolgáltatás (DRV Zrt.)</t>
  </si>
  <si>
    <t>K512</t>
  </si>
  <si>
    <t>K355</t>
  </si>
  <si>
    <t xml:space="preserve">        Rendezvénykeret (átcsoportosítás K123, K337-re)</t>
  </si>
  <si>
    <t>K123</t>
  </si>
  <si>
    <t>K334</t>
  </si>
  <si>
    <t>K322</t>
  </si>
  <si>
    <t xml:space="preserve">        Lakossági víz- és csatornaszolgáltatás támogatás továbbutalása DRV Zrt.-nek</t>
  </si>
  <si>
    <t xml:space="preserve">        Működési célú tartalék</t>
  </si>
  <si>
    <t xml:space="preserve">        EFOP-1.5.2-16 projekt - képzések, toborzás, rendezvényszerv.</t>
  </si>
  <si>
    <t>1. melléklet</t>
  </si>
  <si>
    <t>2. melléklet</t>
  </si>
  <si>
    <t>3. melléklet</t>
  </si>
  <si>
    <t>4. melléklet</t>
  </si>
  <si>
    <t>5. melléklet</t>
  </si>
  <si>
    <t>6. melléklet</t>
  </si>
  <si>
    <t>7. melléklet</t>
  </si>
  <si>
    <t>8. melléklet</t>
  </si>
  <si>
    <t>11. melléklet</t>
  </si>
  <si>
    <t>12. melléklet</t>
  </si>
  <si>
    <t xml:space="preserve">        Főépítészi feladatok</t>
  </si>
  <si>
    <t xml:space="preserve">    Megbízási díj</t>
  </si>
  <si>
    <t>Adósságot keletkeztető ügylet
(kiadás)
Stabilitási tv. 8.§ (2) bek.</t>
  </si>
  <si>
    <t>K7</t>
  </si>
  <si>
    <t>107051 Szociális étkeztetés</t>
  </si>
  <si>
    <t>K122</t>
  </si>
  <si>
    <t xml:space="preserve">        Járulékok </t>
  </si>
  <si>
    <t xml:space="preserve">         2019. évi áthúzódó és 2020. évi bérkompenzáció (átcsoportosítás B111-re)</t>
  </si>
  <si>
    <t xml:space="preserve">         Szociális étkeztetés támogatás (kiegészítő támogatás)</t>
  </si>
  <si>
    <t xml:space="preserve">         Falugondnoki szolgáltatás (kiegészítő támogatás)</t>
  </si>
  <si>
    <t xml:space="preserve">        Alapilletmény (falugondnok kiegészítő támogatás)</t>
  </si>
  <si>
    <t xml:space="preserve">         Internethálózat értékesítéséből származó átadott bevétel</t>
  </si>
  <si>
    <t xml:space="preserve">         Gépjárműadó (központi elvonás)</t>
  </si>
  <si>
    <t xml:space="preserve">        Alapilletmény (falugondnok, községgazdálkodás) (átcsoportosítás K1113, K123-ról)</t>
  </si>
  <si>
    <t xml:space="preserve">    Egyéb béren kívüli juttatás (bérkompenzáció)</t>
  </si>
  <si>
    <t>K331</t>
  </si>
  <si>
    <t>K333</t>
  </si>
  <si>
    <t>K311</t>
  </si>
  <si>
    <t xml:space="preserve">        Szakmai anyagok beszerzése: oktatási anyagok EFOP</t>
  </si>
  <si>
    <t xml:space="preserve">        Utak helyreállítása (vis maior támogatás+önerő)</t>
  </si>
  <si>
    <t xml:space="preserve">        Céltartalék (vár projekt saját forrás elkülönítés)</t>
  </si>
  <si>
    <r>
      <t xml:space="preserve">     </t>
    </r>
    <r>
      <rPr>
        <i/>
        <sz val="10"/>
        <rFont val="Times New Roman"/>
        <family val="1"/>
        <charset val="238"/>
      </rPr>
      <t xml:space="preserve">     3.3. Felhalmozási célú céltartalék</t>
    </r>
  </si>
  <si>
    <r>
      <t xml:space="preserve">     </t>
    </r>
    <r>
      <rPr>
        <i/>
        <sz val="10"/>
        <rFont val="Times New Roman"/>
        <family val="1"/>
        <charset val="238"/>
      </rPr>
      <t xml:space="preserve">     3.2. Felhalmozási célú tartalék</t>
    </r>
  </si>
  <si>
    <t xml:space="preserve"> A Kereki vár kulturális és történelmi örökségének hasznosítása</t>
  </si>
  <si>
    <t>TOP-1.2.1-16-SO1-2019-00005</t>
  </si>
  <si>
    <t xml:space="preserve">         Felhalmozási célú tartalék (céltartalék)</t>
  </si>
  <si>
    <t>Módosított előirányzat 2021.12.31.</t>
  </si>
  <si>
    <t>Teljesítés 2021.12.31.</t>
  </si>
  <si>
    <t>Kötelező (módosított 2021.12.31.)</t>
  </si>
  <si>
    <t>Kötelező (teljesítés 2021.12.31.)</t>
  </si>
  <si>
    <t>Önkormányzat összesen (módosított 2021.12.31.)</t>
  </si>
  <si>
    <t>Önkormányzat összesen (teljesítés 2021.12.31.)</t>
  </si>
  <si>
    <t>Helyi adóból, gépjárműadóból biztosított kedvezmény, mentesség összege</t>
  </si>
  <si>
    <t xml:space="preserve">   -ből: építményadó mentesség helyi lakosok számára</t>
  </si>
  <si>
    <t xml:space="preserve">   -ből: építményadó törlés méltányosságból</t>
  </si>
  <si>
    <t xml:space="preserve">   -ből: telekadó mentesség, kedvezmény m2 alapján</t>
  </si>
  <si>
    <t xml:space="preserve">   -ből: idegenforgalmi adó kedvezmény elő- utószezonban</t>
  </si>
  <si>
    <t xml:space="preserve">   -ből: gépjárműadóból biztosított kedvezmény</t>
  </si>
  <si>
    <t>Helyiségek, eszközök hasznosításából származó bevételből nyújtott kedvezmény, mentesség összege</t>
  </si>
  <si>
    <t xml:space="preserve">I. Működési célú támogatások államháztartáson belülről </t>
  </si>
  <si>
    <t xml:space="preserve">    1. A helyi önkormányzatok általános működésének és ágazati feladatainak támogatása</t>
  </si>
  <si>
    <t xml:space="preserve">        1.1. A települési önkormányzatok működésének általános támogatása</t>
  </si>
  <si>
    <t xml:space="preserve">           1.1.1. A települési önkormányzatok működésének támogatása</t>
  </si>
  <si>
    <t xml:space="preserve">              1.1.1.1. Önkormányzati hivatal működésének támogatása</t>
  </si>
  <si>
    <t xml:space="preserve">              1.1.1.4. Településüzemeltetés - köztemető támogatása </t>
  </si>
  <si>
    <t xml:space="preserve">              1.1.1.5. Településüzemeltetés - közutak támogatása </t>
  </si>
  <si>
    <t xml:space="preserve">              1.1.1.6. Egyéb önkormányzati feladatok támogatása </t>
  </si>
  <si>
    <t xml:space="preserve">              1.1.1.7. Lakott külterülettel kapcsolatos feladatok támogatása</t>
  </si>
  <si>
    <t xml:space="preserve">           1.1.2. Nem közművel összegyűjtött háztartási szennyvíz ártalmatlanítása</t>
  </si>
  <si>
    <t xml:space="preserve">           1.1.3. Határátkelőhelyek fenntartásának támogatása</t>
  </si>
  <si>
    <r>
      <t xml:space="preserve">       1.2. A települési önkormányzatok egyes köznevelési feladatainak támogatása</t>
    </r>
    <r>
      <rPr>
        <sz val="8"/>
        <rFont val="Times New Roman"/>
        <family val="1"/>
        <charset val="238"/>
      </rPr>
      <t xml:space="preserve"> </t>
    </r>
  </si>
  <si>
    <t xml:space="preserve">       1.3. A települési önkormányzatok egyes szociális és gyermekjóléti feladatainak támogatása</t>
  </si>
  <si>
    <t xml:space="preserve">          1.3.1. A települési önkormányzatok szociális és gyermekjóléti feladatainak egyéb támogatása</t>
  </si>
  <si>
    <t xml:space="preserve">          1.3.2. Egyes szociális és gyermekjóléti feladatok támogatása</t>
  </si>
  <si>
    <t xml:space="preserve">             1.3.2.1. Család- és gyermekjóléti szolgálatt </t>
  </si>
  <si>
    <t xml:space="preserve">             1.3.2.3. Szociális étkeztetés </t>
  </si>
  <si>
    <t xml:space="preserve">             1.3.2.4. Házi segítségnyújtás </t>
  </si>
  <si>
    <t xml:space="preserve">                1.3.2.4.3. Személyi gondozás - társulás által történő feladatellátás </t>
  </si>
  <si>
    <t xml:space="preserve">             1.3.2.5. Falugondnoki vagy tanyagondnoki szolgáltatás</t>
  </si>
  <si>
    <t xml:space="preserve">       1.4. A települési önkormányzatok gyermekétkeztetési feladatainak támogatása</t>
  </si>
  <si>
    <t xml:space="preserve">          1.4.1. Intézményi gyermekétkeztetés támogatása</t>
  </si>
  <si>
    <t xml:space="preserve">             1.4.1.1. Intézményi gyermekétkeztetés - bértámogatás </t>
  </si>
  <si>
    <t xml:space="preserve">             1.4.1.2. Intézményi gyermekétkeztetés - üzemeltetési támogatás </t>
  </si>
  <si>
    <t xml:space="preserve">          1.4.2. Szünidei étkeztetés támogatása </t>
  </si>
  <si>
    <t xml:space="preserve">       1.5. A települési önkormányzatok kulturális feladatainak támogatása</t>
  </si>
  <si>
    <t xml:space="preserve">          2.1.4. A nem közművel összegyűjtött háztartási szennyvíz ideiglenes begyűjtésére kijelölt közérdekű közszolgáltató meg nem térülő költségeinek támogatása</t>
  </si>
  <si>
    <t xml:space="preserve">          2.1.5. Önkormányzatok rendkívüli támogatása        </t>
  </si>
  <si>
    <t xml:space="preserve">          2. Felhalmozási célú tartalék </t>
  </si>
  <si>
    <t xml:space="preserve">        MFP: projektelőkészítés költségei: orvosi rendelő</t>
  </si>
  <si>
    <t xml:space="preserve">        MFP: projektelőkészítés költségei: szolgálati lakás </t>
  </si>
  <si>
    <t xml:space="preserve">        MFP: projektelőkészítés költségei: traktor besz.</t>
  </si>
  <si>
    <t>Vár- TOP-1.2.-1-16-SO1-2019-00005</t>
  </si>
  <si>
    <t xml:space="preserve">        Vár pályázat: tervek, közbesz., műszaki ellenőr</t>
  </si>
  <si>
    <t xml:space="preserve">        Szociális célú tűzifa </t>
  </si>
  <si>
    <t xml:space="preserve">        Kéményseprés, rovarirtás, egyéb (Bethlen)</t>
  </si>
  <si>
    <t xml:space="preserve">        Rendezvények (Bethlen)</t>
  </si>
  <si>
    <t xml:space="preserve">    Reprezentáció </t>
  </si>
  <si>
    <t>lett háziorvos  emiatt nincs támogatás tervezve</t>
  </si>
  <si>
    <t>JHS</t>
  </si>
  <si>
    <t xml:space="preserve">előző év
</t>
  </si>
  <si>
    <t xml:space="preserve">TOP-3.1.1-16-SO1-2017-00006 </t>
  </si>
  <si>
    <t>Szántód-Kőröshegy-Kereki községek kerékpárút fejlesztése</t>
  </si>
  <si>
    <t>ÁH-on belüli megelőlegezések visszafizetése</t>
  </si>
  <si>
    <t xml:space="preserve">         Autóbusz értékesítés (18/2021.(III.24. polgármesteri határozat)</t>
  </si>
  <si>
    <t xml:space="preserve">        Szociális célú tűzifa beszerzés</t>
  </si>
  <si>
    <t xml:space="preserve">        Szolgálati lakás tisztasági festése (7/2021.(VI.23.))</t>
  </si>
  <si>
    <t xml:space="preserve">         Önkormányzati elszámolások (iparűzési adó kiegészítő támogatás)</t>
  </si>
  <si>
    <t xml:space="preserve">        MFP: projektelőkészítés költségei: járdafelújítás </t>
  </si>
  <si>
    <t xml:space="preserve">        Projektelőkészítés költségei: Magyar Falu Program (traktor) átcsoportosítás K122 és K2-re</t>
  </si>
  <si>
    <t xml:space="preserve">        Telefonköltség (átcsoportosítás K321-re)</t>
  </si>
  <si>
    <t xml:space="preserve">        Szolgálati lakás parkettázás (26/2021.(IX.15.))</t>
  </si>
  <si>
    <t xml:space="preserve">        Könyvespolcok beszerzése (45/2021.(X.20.))</t>
  </si>
  <si>
    <t xml:space="preserve">         Szociális célú tüzelőanyag támogatás </t>
  </si>
  <si>
    <t xml:space="preserve">        Szociális célú tűzifa vásárlás</t>
  </si>
  <si>
    <t xml:space="preserve">        Asztalok és sörpad beszerzése</t>
  </si>
  <si>
    <t xml:space="preserve">        TOP-2.1.3-16: pályázat tervezési feladatai</t>
  </si>
  <si>
    <t xml:space="preserve">          TOP-2.1.3-16 Kereki község csapadékvíz elvezető rendszerének fejlesztési támogatása</t>
  </si>
  <si>
    <t xml:space="preserve">         Biztosító által fizetett kártérítés </t>
  </si>
  <si>
    <t xml:space="preserve">        Nyomtató és asztal beszerzés</t>
  </si>
  <si>
    <t>TOP-2.1.3-16-SO1-2021-00016</t>
  </si>
  <si>
    <t>Települési környezetvédelmi infrastruktúra-fejlesztések</t>
  </si>
  <si>
    <t>több éves kihatással járó feladatai</t>
  </si>
  <si>
    <t xml:space="preserve">              Felhalmozási céltartalék (TOP-2.1.3-16: csapadékvíz elvezető rendszer fejlesztése)</t>
  </si>
  <si>
    <t>K506</t>
  </si>
  <si>
    <t xml:space="preserve">    Jutalom nem saját dolgozónak</t>
  </si>
  <si>
    <t>EZEN A SORON LEHET MAJD KEREKÍTENI</t>
  </si>
  <si>
    <t>Kötelező (módosított 2022..havi)</t>
  </si>
  <si>
    <t>Önkormányzat összesen (módosított 2022..havi)</t>
  </si>
  <si>
    <r>
      <t>Kereki Község Önkormányzatának</t>
    </r>
    <r>
      <rPr>
        <b/>
        <i/>
        <u/>
        <sz val="12"/>
        <rFont val="Arial CE"/>
        <family val="2"/>
        <charset val="238"/>
      </rPr>
      <t xml:space="preserve"> </t>
    </r>
  </si>
  <si>
    <t>2025. évi előirányzat</t>
  </si>
  <si>
    <t>Módosított előirányzat 2022.. havi</t>
  </si>
  <si>
    <t xml:space="preserve">                BURSA ösztöndíj</t>
  </si>
  <si>
    <t>kerékpárút</t>
  </si>
  <si>
    <t>vár</t>
  </si>
  <si>
    <t>csapadékvíz</t>
  </si>
  <si>
    <t>orvosi eszköz MFP</t>
  </si>
  <si>
    <t>top</t>
  </si>
  <si>
    <t>járdafelújítás</t>
  </si>
  <si>
    <t>MFP</t>
  </si>
  <si>
    <t>útfelújítás</t>
  </si>
  <si>
    <t>Csapadékvíz elvezető rendszer TOP-2.1.3-16-SO1-2021-00016</t>
  </si>
  <si>
    <t>3 havi bér +visszafizetés?</t>
  </si>
  <si>
    <t>2 havi bér+visszafizetés??</t>
  </si>
  <si>
    <t>orvosi rendelő</t>
  </si>
  <si>
    <t>szolgálati lakás</t>
  </si>
  <si>
    <t xml:space="preserve">        Kéményseprés, rovarirtás, egyéb </t>
  </si>
  <si>
    <t>jóóó</t>
  </si>
  <si>
    <t xml:space="preserve">    Egyéb juttatás nem saját dolgozónak</t>
  </si>
  <si>
    <t xml:space="preserve">    Jubileumi jutalom</t>
  </si>
  <si>
    <t xml:space="preserve">              Felhalmozási céltartalék (vár projekt 2023. évi költségei)</t>
  </si>
  <si>
    <t xml:space="preserve">    Cafeteria</t>
  </si>
  <si>
    <t xml:space="preserve">   Felhalmozási pénzeszközátadás</t>
  </si>
  <si>
    <t xml:space="preserve">        Rendezvények </t>
  </si>
  <si>
    <t>2020-22.évi kifizetések</t>
  </si>
  <si>
    <t>2026. évi előirányzat</t>
  </si>
  <si>
    <t xml:space="preserve">           1.1.4. Polgármesteri illetményhez és költségtérítéshez nyújtott támogatás</t>
  </si>
  <si>
    <t>107051 Szoc. étk.  107060 egyéb pénbeli és szoc.ell.</t>
  </si>
  <si>
    <t>Eü-i ellátás</t>
  </si>
  <si>
    <t xml:space="preserve">        1. Előző évi működési célú maradvány</t>
  </si>
  <si>
    <t xml:space="preserve">        2. ÁHB megelőlegezések</t>
  </si>
  <si>
    <t xml:space="preserve">       1. Előző évi felhalmozási célú maradvány</t>
  </si>
  <si>
    <t>Felhalmozási célú 
maradvány</t>
  </si>
  <si>
    <t xml:space="preserve">   Előző évi maradvány</t>
  </si>
  <si>
    <t xml:space="preserve">   ÁHB megelőlegezések</t>
  </si>
  <si>
    <t>Fin.bev.: műk. célú maradvány, ÁHB megelőlegezés</t>
  </si>
  <si>
    <t>temető</t>
  </si>
  <si>
    <t>csap.visszafiz.</t>
  </si>
  <si>
    <t xml:space="preserve">    Egyéb béren kívüli juttatás (szabi megváltás, betegszabi)</t>
  </si>
  <si>
    <t xml:space="preserve">           Települési önkormányzatok kulturális feladatainak bérjellegű támogatása</t>
  </si>
  <si>
    <t xml:space="preserve">        Jogi tanácsadás</t>
  </si>
  <si>
    <t xml:space="preserve"> 2243=2391=</t>
  </si>
  <si>
    <t>EFI (végkielégítés)</t>
  </si>
  <si>
    <t xml:space="preserve">         Közvilágítás kiegészítő támogatása (májusi felmérés alapján)</t>
  </si>
  <si>
    <t xml:space="preserve">        Megbízási díjak (68/2023.(VI.29.) és 69/2023.(VI.29.))</t>
  </si>
  <si>
    <t xml:space="preserve">        Alsó buszmegálló felújítása (70/2023.(VI.29.))</t>
  </si>
  <si>
    <t xml:space="preserve">        Közüzemi díjak (közvilágítás kiegészítő támogatás)</t>
  </si>
  <si>
    <t xml:space="preserve">         Szociális étkeztetés támogatás (május havi normatíva felmérés alapján)</t>
  </si>
  <si>
    <t xml:space="preserve">        Szociális étkezés (vásárolt élelmezés) május havi felmérés alapján</t>
  </si>
  <si>
    <t xml:space="preserve">        Közüzemi díjak (közvilágítás)</t>
  </si>
  <si>
    <t xml:space="preserve">        Egyéb dologi kiadások: rendezvények (átcsop K123-ra)</t>
  </si>
  <si>
    <t xml:space="preserve">        Megbízási díjak (átcsop. K123-ra)</t>
  </si>
  <si>
    <t xml:space="preserve">        Vár pályázat: közbesz., műszaki ellenőr, marketing (átcsop. K337-re)</t>
  </si>
  <si>
    <t xml:space="preserve">        Rendezvények költségei</t>
  </si>
  <si>
    <t>K5021</t>
  </si>
  <si>
    <t xml:space="preserve">               TV eszközbeszerzés miatti hozzájárulás (17/2023. (V.11.) BTKT hat.)</t>
  </si>
  <si>
    <t xml:space="preserve">        2022.évi nem közművel összegyűjtött szennyvíz műk-i.tám. (DRV Zrt.)</t>
  </si>
  <si>
    <t xml:space="preserve">         Szociális ágazati pótlék (átcsop. B115-ről)</t>
  </si>
  <si>
    <t xml:space="preserve">        Alkalmazottak illetménye</t>
  </si>
  <si>
    <t xml:space="preserve">    Képviselői tiszteletdíjak, alpolgármesteri díj</t>
  </si>
  <si>
    <t xml:space="preserve">        Fűnyíró kasza karbantartás</t>
  </si>
  <si>
    <t>Módosított előirányzat 2024..havi</t>
  </si>
  <si>
    <t>Módosított előirányzat 2024.12.31.</t>
  </si>
  <si>
    <t>Teljesítés 2024.12.31.</t>
  </si>
  <si>
    <t>968 ezer- 2023ben</t>
  </si>
  <si>
    <t>9. melléklet</t>
  </si>
  <si>
    <t>2027. évi előirányzat</t>
  </si>
  <si>
    <t xml:space="preserve">13. melléklet </t>
  </si>
  <si>
    <t>Költségvetési bevételek</t>
  </si>
  <si>
    <t>Költségvetési kiadások</t>
  </si>
  <si>
    <t xml:space="preserve">A. Költségvetési bevételek </t>
  </si>
  <si>
    <t xml:space="preserve">A. Költségvetési kiadások </t>
  </si>
  <si>
    <t>I. Működési költségvetési bevételek</t>
  </si>
  <si>
    <t xml:space="preserve">I. Működési költségvetési kiadások </t>
  </si>
  <si>
    <t>1.Működési célú támogatások államháztartáson belülről</t>
  </si>
  <si>
    <t>1. Személyi juttatások</t>
  </si>
  <si>
    <t>2. Közhatalmi bevételek</t>
  </si>
  <si>
    <t>2.  Munkaadókat terhelő járulékok és szociális hozzájárulási adó</t>
  </si>
  <si>
    <t>3. Működési bevételek</t>
  </si>
  <si>
    <t>3. Dologi kiadások</t>
  </si>
  <si>
    <t>4. Működési célú átvett pénzeszközök</t>
  </si>
  <si>
    <t>4. Ellátottak pénzbeli juttatásai</t>
  </si>
  <si>
    <t>5. Egyéb működési célú kiadások</t>
  </si>
  <si>
    <t>II. Felhalmozási költségvetési bevételek</t>
  </si>
  <si>
    <t xml:space="preserve">II. Felhalmozási költségvetési kiadások </t>
  </si>
  <si>
    <t>1. Felhalmozási célú támogatások államháztartáson belülről</t>
  </si>
  <si>
    <t>2. Felhalmozási bevételek</t>
  </si>
  <si>
    <t>3. Felhalmozási célú átvett pénzeszközök</t>
  </si>
  <si>
    <t>K8</t>
  </si>
  <si>
    <t>3. Egyéb felhalmozási célú kiadások</t>
  </si>
  <si>
    <t>B. Finanszírozási bevételek</t>
  </si>
  <si>
    <t>B. Finanszírozási kiadások</t>
  </si>
  <si>
    <t>1. Belföldi finanszírozás bevételei</t>
  </si>
  <si>
    <t>1. Belföldi finanszírozás kiadásai</t>
  </si>
  <si>
    <t xml:space="preserve">1.1. Előző év költségvetési maradványának igénybevétele (belső finanszírozás) </t>
  </si>
  <si>
    <t>ÁHB megelőlegezések visszafizetése</t>
  </si>
  <si>
    <t>Működési célú maradvány</t>
  </si>
  <si>
    <t>Felhalmozási célú maradvány</t>
  </si>
  <si>
    <t>3. Külföldi finanszírozás kiadásai</t>
  </si>
  <si>
    <t xml:space="preserve">    1.2. ÁHB megelőlegezés</t>
  </si>
  <si>
    <t>2. Költségvetési hiány külső finanszírozására szolgáló eszközök</t>
  </si>
  <si>
    <t>Bevételek összesen</t>
  </si>
  <si>
    <t>Kiadások összesen</t>
  </si>
  <si>
    <t xml:space="preserve">              1.1.1.3.2 Településüzemeltetés - közvilágítás üzemeltetési támogatása </t>
  </si>
  <si>
    <t xml:space="preserve">      2. Szolgáltatások ellenértéke (bérleti díjak)</t>
  </si>
  <si>
    <t>TÉNYE</t>
  </si>
  <si>
    <t>?????</t>
  </si>
  <si>
    <t xml:space="preserve">    Jutalom</t>
  </si>
  <si>
    <t xml:space="preserve"> =2023</t>
  </si>
  <si>
    <t xml:space="preserve">kiadási lába 4. melléklet </t>
  </si>
  <si>
    <t xml:space="preserve">                 Kis értékű tárgyi eszköz beszerzés</t>
  </si>
  <si>
    <t>vár visszafiz. 01.hóban</t>
  </si>
  <si>
    <t>2023. évi
 hátralék</t>
  </si>
  <si>
    <t xml:space="preserve">Ügyelet  </t>
  </si>
  <si>
    <t xml:space="preserve">        Kerékpárút nyilvántartó rendszer (adatáll.elkészítése, rögzítése)</t>
  </si>
  <si>
    <t xml:space="preserve">        Fogorvosi alapellátás és ügyelet</t>
  </si>
  <si>
    <t xml:space="preserve">     - ebből házi segítségnyújtás (2023.12.hó)</t>
  </si>
  <si>
    <t xml:space="preserve">        Projektelőkészítési költségek</t>
  </si>
  <si>
    <t xml:space="preserve">     Reklám- és propagandakiadások</t>
  </si>
  <si>
    <t xml:space="preserve">       Önként vállalt (eredeti)</t>
  </si>
  <si>
    <t xml:space="preserve">     Önként vállalt (eredeti)</t>
  </si>
  <si>
    <t>Tartalékok összesen</t>
  </si>
  <si>
    <t>Általános tartalék</t>
  </si>
  <si>
    <t>Céltartalék</t>
  </si>
  <si>
    <t>Felhalmozási célú tartalék</t>
  </si>
  <si>
    <t>I. Egyéb működési célú támogatások államháztartáson belülre (K506)</t>
  </si>
  <si>
    <t>II. Egyéb működési célú támogatások államháztartáson kívülre (K512)</t>
  </si>
  <si>
    <t xml:space="preserve">    1. Működési célú pénzeszközátadások, támogatások </t>
  </si>
  <si>
    <t xml:space="preserve">    3. A helyi önkormányzatok előző évi elszámolásából származó kiadások</t>
  </si>
  <si>
    <t xml:space="preserve">    4. Szolidaritási hozzájárulás</t>
  </si>
  <si>
    <t>Egyéb működési célú kiadások mindösszesen (I+II)</t>
  </si>
  <si>
    <t xml:space="preserve">I. Működési célú kiadások </t>
  </si>
  <si>
    <t xml:space="preserve">II. Felhalmozási célú kiadások </t>
  </si>
  <si>
    <t xml:space="preserve">          1.1. Személyi juttatások</t>
  </si>
  <si>
    <t xml:space="preserve">          1.2. Munkaadót terhelő járulékok és szociális hozzájárulási adó</t>
  </si>
  <si>
    <t xml:space="preserve">          1.3. Dologi kiadások</t>
  </si>
  <si>
    <t xml:space="preserve">          1.4. Ellátottak pénzbeli juttatásai</t>
  </si>
  <si>
    <t xml:space="preserve">          1.5. Egyéb működési célú kiadások</t>
  </si>
  <si>
    <t xml:space="preserve">   Tartalék felhasználása</t>
  </si>
  <si>
    <t xml:space="preserve">2024. évi költségvetésének módosítása - indoklás </t>
  </si>
  <si>
    <t>B1131</t>
  </si>
  <si>
    <t xml:space="preserve">         Szociális ágazati pótlék (átcsop. B1131-re)</t>
  </si>
  <si>
    <t xml:space="preserve">          MFP támogatás (temető urnafal bővítés)</t>
  </si>
  <si>
    <t xml:space="preserve">        MFP: temető urnafal bővítés (55/2024.(VII.8))</t>
  </si>
  <si>
    <t xml:space="preserve">        Bérleti díjak (mobil wc bérlése) (26/2024.(III.28.))</t>
  </si>
  <si>
    <t xml:space="preserve">         Lakossági víz- és csatornaszolgáltatás támogatása (becsült összeg)</t>
  </si>
  <si>
    <t xml:space="preserve">         Bérleti díjbevételek: látogatóközpont (64/2024.(VIII.1.))</t>
  </si>
  <si>
    <t xml:space="preserve">         Egyéb működési célú támogatások államháztartáson belülről (kerekítés)</t>
  </si>
  <si>
    <t xml:space="preserve">         Települési önkormányzatok kulturális feladatainak bérjellegű támogatása</t>
  </si>
  <si>
    <t xml:space="preserve">         Bethlen Gábor Alapkezelő Zrt. által nyújtott támogatás </t>
  </si>
  <si>
    <t xml:space="preserve">        Reprezentációs költségek: Bethlen</t>
  </si>
  <si>
    <t xml:space="preserve">        Bethlen: műanyag tányér, pohár, gulyástál, dekor anyagok</t>
  </si>
  <si>
    <t xml:space="preserve">        Működési célú ÁFA </t>
  </si>
  <si>
    <t xml:space="preserve">        Bethlen: szállítási ktg, kisvonat, színpad, sörpad</t>
  </si>
  <si>
    <t xml:space="preserve">         Egyéb közhatalmi bevételek: késedelmi pótlék</t>
  </si>
  <si>
    <t xml:space="preserve">         Közvetített szolgáltatások ellenértéke</t>
  </si>
  <si>
    <t xml:space="preserve">         Kamatbevételek</t>
  </si>
  <si>
    <t xml:space="preserve">         Közüzemi díjak visszatérülése, sírhelymegváltás</t>
  </si>
  <si>
    <t>K335</t>
  </si>
  <si>
    <t xml:space="preserve">        Közvetített szolgáltatás </t>
  </si>
  <si>
    <t xml:space="preserve">        2023. évi lakossági víz pályázat támogatás visszautalás (ei.elvonás)</t>
  </si>
  <si>
    <t xml:space="preserve">        A helyi önkormányzatok előző évi elszámolásából származó kiadások (ei.elvonás)</t>
  </si>
  <si>
    <t xml:space="preserve">        Karbantartás: padkázás, földmunka</t>
  </si>
  <si>
    <t xml:space="preserve">        Előtető kialakítása (átcsop. K337-re)</t>
  </si>
  <si>
    <t xml:space="preserve">        Biztosítási díjak, urnafal elhelyezése (átcsop. K7-ről)</t>
  </si>
  <si>
    <t>K342</t>
  </si>
  <si>
    <t xml:space="preserve">        Hirdetési díjak</t>
  </si>
  <si>
    <t xml:space="preserve">        TKT működési hozzájárulás (9/2024 (V.9.) BTKT határozat)</t>
  </si>
  <si>
    <t xml:space="preserve">        DBRHÖT működési hozzájárulás (ei.elvonás)</t>
  </si>
  <si>
    <t>Kötelező (módosított 2024.09.havi)</t>
  </si>
  <si>
    <t>Önkormányzat összesen (módosított 2024.09.havi)</t>
  </si>
  <si>
    <t>Önként vállalt (módosított 2024.09.havi)</t>
  </si>
  <si>
    <t>Önként vállalt (módosított 2022..havi)</t>
  </si>
  <si>
    <t>Önként vállalt (módosított 2021.12.31.)</t>
  </si>
  <si>
    <t>Önként vállalt (teljesítés 2021.12.31.)</t>
  </si>
  <si>
    <t>Módosított előirányzat 2024.10.havi</t>
  </si>
  <si>
    <t xml:space="preserve">    Polgármester illetménye, szabdságmegváltás</t>
  </si>
  <si>
    <t xml:space="preserve">        MFP temető urnafal megbízási díj</t>
  </si>
  <si>
    <t>K121</t>
  </si>
  <si>
    <t xml:space="preserve">        Polgármester szabadságmegváltás</t>
  </si>
  <si>
    <t xml:space="preserve">        Megbízási díj (kulturális feladat)</t>
  </si>
  <si>
    <t>Költségfelosztás 2025. Összesítő (2025.01.23.)</t>
  </si>
  <si>
    <t>2025. évi mind
összesen</t>
  </si>
  <si>
    <t xml:space="preserve">2024. évi hozzájárulás </t>
  </si>
  <si>
    <t>Házi segítség
nyújtás 
2025</t>
  </si>
  <si>
    <t xml:space="preserve">14. melléklet </t>
  </si>
  <si>
    <t>Kereki Község Önkormányzat 2025. évi általános tartalék, céltartalék kimutatása</t>
  </si>
  <si>
    <t>2025. évi összevont mérlege</t>
  </si>
  <si>
    <t>2025. évi eredeti előirányzat</t>
  </si>
  <si>
    <t>2025. évi működési célú bevételei, kiadásai</t>
  </si>
  <si>
    <t>2025. évi felhalmozási bevételei, kiadásai</t>
  </si>
  <si>
    <t>2025. évi működési célú támogatásai, pénzeszközátadásai, közvetetett támogatásai</t>
  </si>
  <si>
    <t>2025. évi költségvetési kiadásainak részletezése kormányzati funkciók szerint</t>
  </si>
  <si>
    <t>2025-2028. évi gördülő tervezése</t>
  </si>
  <si>
    <t>2025. évi adósságot keletkeztető ügyleteiből eredő fizetési kötelezettségek, várható saját bevételek</t>
  </si>
  <si>
    <t>Kereki Község Önkormányzat 2025. évi bevétel-kiadási előirányzat-felhasználási ütemterve</t>
  </si>
  <si>
    <t>10. melléklet</t>
  </si>
  <si>
    <t>2025. évi Európai Uniós forrásból finanszírozott támogatással megvalósuló projektek kiadásai, 
projekt megvalósításhoz történő önkormányzati hozzájárulásai</t>
  </si>
  <si>
    <t>2028. évi előirányzat</t>
  </si>
  <si>
    <t>2024. évi várható teljesítés</t>
  </si>
  <si>
    <t>2023. évi
 teljesítés</t>
  </si>
  <si>
    <t xml:space="preserve">              1.1.1.2. Településüzemeltetés - zöldterület-gazdálkodás támogatása </t>
  </si>
  <si>
    <t xml:space="preserve">              1.1.1.3.1 Településüzemeltetés - közvilágítás alaptámogatása </t>
  </si>
  <si>
    <t xml:space="preserve">           1.1.5. Közvilágítás kiegészítő támogatása</t>
  </si>
  <si>
    <t xml:space="preserve">                1.3.2.3.1. Szociális étkeztetés - önálló feladatellátás</t>
  </si>
  <si>
    <t xml:space="preserve">          1.3.3. Bölcsőde, mini bölcsőde támogatása </t>
  </si>
  <si>
    <t xml:space="preserve">            Szociális ágazati pótlék</t>
  </si>
  <si>
    <t xml:space="preserve">          1.5.2. Települési önkormányzatok egyes kulturális feladatainak támogatása</t>
  </si>
  <si>
    <t xml:space="preserve">           Táncművészeti szervek támogatása (Előadó és Alkotóművészetért Alapítvány)</t>
  </si>
  <si>
    <t xml:space="preserve">       2. A helyi önkormányzatok működési célú kiegészítő támogatásai</t>
  </si>
  <si>
    <t xml:space="preserve">       2.1. A helyi önkormányzatok általános feladatainak működési célú támogatása</t>
  </si>
  <si>
    <t xml:space="preserve">          2.1.1. Polgármesteri illetményhez és költségtérítéshez nyújtott támogatás</t>
  </si>
  <si>
    <t xml:space="preserve">          2.1.6. Önkormányzati elszámolások </t>
  </si>
  <si>
    <t xml:space="preserve">       2.2. A települési önkormányzatok köznevelési feladatainak működési célú támogatása</t>
  </si>
  <si>
    <t xml:space="preserve">          2.2.1. Esélyteremtési illetményrész támogatása </t>
  </si>
  <si>
    <t xml:space="preserve">       2.3. A települési önkormányzatok egyes szociális és gyermekjóléti feladatainak működéási célú támogatása</t>
  </si>
  <si>
    <t xml:space="preserve">          2.3.1. A települési önkormányzatok szociális célú tüzelőanyag vásárlásához kapcsolódó támogatása</t>
  </si>
  <si>
    <t xml:space="preserve">          2.3.2. Szociális ágazati összevont pótlék és egészségügyi kiegészítő pótlék </t>
  </si>
  <si>
    <t xml:space="preserve">       2.4. A települési önkormányzatok kulturális feladatainak működési célú támogatása</t>
  </si>
  <si>
    <t xml:space="preserve">          2.4.5 Táncművészeti szervek támogatása (Előadó és Alkotóművészetért Alapítvány)</t>
  </si>
  <si>
    <t xml:space="preserve">          2.4.7 Települési önkormányzatok kulturális feladatainak bérjellegű támogatása</t>
  </si>
  <si>
    <r>
      <t xml:space="preserve">      Elszámolásból származó bevételek</t>
    </r>
    <r>
      <rPr>
        <sz val="10"/>
        <rFont val="Times New Roman"/>
        <family val="1"/>
        <charset val="238"/>
      </rPr>
      <t xml:space="preserve"> (2024. évi állami normatíva elszámolás kieg.támogatással)</t>
    </r>
  </si>
  <si>
    <t xml:space="preserve">      Egyéb működési célú támogatások államháztartáson belülről </t>
  </si>
  <si>
    <t xml:space="preserve">          1. Közfoglalkoztatás támogatása</t>
  </si>
  <si>
    <t xml:space="preserve">      Egyéb működési célú átvett pénzeszközök </t>
  </si>
  <si>
    <t xml:space="preserve">                2024. évi nem közművel összegyűjtött szennyvíz műk-i.tám. (DRV Zrt.)</t>
  </si>
  <si>
    <t xml:space="preserve">               Dél-Balatoni Regionális Hulladékgazdálkodási Önkormányzati Társulás 2025. évi működési hozzájárulása</t>
  </si>
  <si>
    <t xml:space="preserve">                Balatonföldvári Közös Önkormányzati Hivatal 2025. évi működési hozzájárulás</t>
  </si>
  <si>
    <t>1222725 e 2024-ben</t>
  </si>
  <si>
    <t>16*249*1213???</t>
  </si>
  <si>
    <t>?16*250*1200</t>
  </si>
  <si>
    <t>DINO=2024.évi közüzem 348</t>
  </si>
  <si>
    <t xml:space="preserve">                 Konténer beszerzése (88/2024.(XI.20.))</t>
  </si>
  <si>
    <t xml:space="preserve">        Energiamegtakarítás int.terv, EMIS rendszerben adatok feltöltése (4/2025.(I.16.))</t>
  </si>
  <si>
    <t xml:space="preserve">        Településképi módosító tervdokumentáció elkészítése (2/2025.(I.16.))</t>
  </si>
  <si>
    <t xml:space="preserve">    Cafeteria (10/2025.(I.29.))</t>
  </si>
  <si>
    <t xml:space="preserve">    2. Civil szervezeteknek </t>
  </si>
  <si>
    <t>TSZ</t>
  </si>
  <si>
    <t>látogató kp</t>
  </si>
  <si>
    <t>a 2/2025.(III.6.) önkormányzati rendelethez</t>
  </si>
  <si>
    <t>Kereki Község Önkormányzatának 2025. évi bevételei kiemelt előirányzatonként, feladatonként</t>
  </si>
  <si>
    <t xml:space="preserve">2025. évi eredeti előirányzat (kiemelt előirányzatok) </t>
  </si>
  <si>
    <t>Kereki Község Önkormányzatának 2025. évi kiadásai intézményenként, kiemelt előirányzatonként, 
feladatonkénti bontásban</t>
  </si>
  <si>
    <t>2025. évi tartalék kimutatása</t>
  </si>
  <si>
    <t>Kereki Község Önkormányzat bevételeinek és kiadásainak mérlegszerű kimutatása
2023-2025.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</si>
</sst>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43" formatCode="_-* #,##0.00_-;\-* #,##0.00_-;_-* &quot;-&quot;??_-;_-@_-"/>
    <numFmt numFmtId="164" formatCode="_-* #,##0.00\ _F_t_-;\-* #,##0.00\ _F_t_-;_-* &quot;-&quot;??\ _F_t_-;_-@_-"/>
    <numFmt numFmtId="165" formatCode="_-* #,##0_-;\-* #,##0_-;_-* &quot;-&quot;??_-;_-@_-"/>
  </numFmts>
  <fonts count="5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9"/>
      <name val="Times New Roman"/>
      <family val="1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8"/>
      <name val="Arial CE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u/>
      <sz val="12"/>
      <name val="Arial CE"/>
      <charset val="238"/>
    </font>
    <font>
      <b/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sz val="8"/>
      <name val="Times New Roman"/>
      <family val="1"/>
    </font>
    <font>
      <b/>
      <i/>
      <sz val="9"/>
      <name val="Arial CE"/>
      <family val="2"/>
      <charset val="238"/>
    </font>
    <font>
      <b/>
      <sz val="7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b/>
      <i/>
      <sz val="10"/>
      <name val="Arial CE"/>
      <charset val="238"/>
    </font>
    <font>
      <i/>
      <sz val="7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u/>
      <sz val="12"/>
      <name val="Arial"/>
      <family val="2"/>
      <charset val="238"/>
    </font>
    <font>
      <sz val="10"/>
      <name val="Times New Roman"/>
      <family val="1"/>
      <charset val="1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3" fillId="0" borderId="0" applyFont="0" applyFill="0" applyBorder="0" applyAlignment="0" applyProtection="0"/>
    <xf numFmtId="0" fontId="13" fillId="0" borderId="0"/>
    <xf numFmtId="0" fontId="52" fillId="0" borderId="0"/>
    <xf numFmtId="0" fontId="44" fillId="0" borderId="0"/>
    <xf numFmtId="0" fontId="7" fillId="0" borderId="0"/>
    <xf numFmtId="0" fontId="13" fillId="0" borderId="0"/>
    <xf numFmtId="43" fontId="2" fillId="0" borderId="0" applyFont="0" applyFill="0" applyBorder="0" applyAlignment="0" applyProtection="0"/>
    <xf numFmtId="0" fontId="1" fillId="0" borderId="0"/>
  </cellStyleXfs>
  <cellXfs count="539">
    <xf numFmtId="0" fontId="0" fillId="0" borderId="0" xfId="0"/>
    <xf numFmtId="0" fontId="3" fillId="2" borderId="0" xfId="0" applyFont="1" applyFill="1"/>
    <xf numFmtId="0" fontId="3" fillId="0" borderId="0" xfId="0" applyFont="1"/>
    <xf numFmtId="0" fontId="0" fillId="2" borderId="0" xfId="0" applyFill="1"/>
    <xf numFmtId="0" fontId="11" fillId="0" borderId="0" xfId="0" applyFont="1"/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3" fillId="0" borderId="0" xfId="0" applyNumberFormat="1" applyFont="1"/>
    <xf numFmtId="0" fontId="3" fillId="0" borderId="1" xfId="0" applyFont="1" applyBorder="1"/>
    <xf numFmtId="0" fontId="14" fillId="0" borderId="0" xfId="0" applyFont="1"/>
    <xf numFmtId="3" fontId="3" fillId="0" borderId="1" xfId="0" applyNumberFormat="1" applyFont="1" applyBorder="1"/>
    <xf numFmtId="0" fontId="3" fillId="0" borderId="2" xfId="0" applyFont="1" applyBorder="1"/>
    <xf numFmtId="3" fontId="3" fillId="0" borderId="1" xfId="0" applyNumberFormat="1" applyFont="1" applyBorder="1" applyAlignment="1">
      <alignment horizontal="right"/>
    </xf>
    <xf numFmtId="0" fontId="6" fillId="0" borderId="1" xfId="0" applyFont="1" applyBorder="1"/>
    <xf numFmtId="3" fontId="20" fillId="0" borderId="1" xfId="0" applyNumberFormat="1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left" vertical="center"/>
    </xf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/>
    <xf numFmtId="0" fontId="4" fillId="0" borderId="4" xfId="0" applyFont="1" applyBorder="1" applyAlignment="1">
      <alignment horizontal="left" vertical="center"/>
    </xf>
    <xf numFmtId="0" fontId="18" fillId="0" borderId="0" xfId="0" applyFont="1"/>
    <xf numFmtId="3" fontId="18" fillId="0" borderId="0" xfId="0" applyNumberFormat="1" applyFont="1"/>
    <xf numFmtId="0" fontId="14" fillId="0" borderId="3" xfId="0" applyFont="1" applyBorder="1"/>
    <xf numFmtId="3" fontId="4" fillId="0" borderId="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/>
    </xf>
    <xf numFmtId="3" fontId="14" fillId="0" borderId="1" xfId="0" applyNumberFormat="1" applyFont="1" applyBorder="1"/>
    <xf numFmtId="0" fontId="17" fillId="2" borderId="0" xfId="0" applyFont="1" applyFill="1"/>
    <xf numFmtId="3" fontId="22" fillId="0" borderId="1" xfId="0" applyNumberFormat="1" applyFont="1" applyBorder="1"/>
    <xf numFmtId="3" fontId="14" fillId="0" borderId="0" xfId="0" applyNumberFormat="1" applyFont="1"/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4" fillId="2" borderId="4" xfId="0" applyFont="1" applyFill="1" applyBorder="1"/>
    <xf numFmtId="3" fontId="5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0" fontId="13" fillId="0" borderId="0" xfId="0" applyFont="1"/>
    <xf numFmtId="0" fontId="10" fillId="5" borderId="4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" fontId="6" fillId="0" borderId="3" xfId="0" applyNumberFormat="1" applyFont="1" applyBorder="1" applyAlignment="1">
      <alignment horizontal="right"/>
    </xf>
    <xf numFmtId="0" fontId="3" fillId="7" borderId="0" xfId="0" applyFont="1" applyFill="1" applyAlignment="1">
      <alignment horizontal="center"/>
    </xf>
    <xf numFmtId="0" fontId="0" fillId="7" borderId="0" xfId="0" applyFill="1"/>
    <xf numFmtId="0" fontId="3" fillId="0" borderId="0" xfId="0" applyFont="1" applyAlignment="1">
      <alignment horizontal="right"/>
    </xf>
    <xf numFmtId="0" fontId="3" fillId="7" borderId="0" xfId="0" applyFont="1" applyFill="1"/>
    <xf numFmtId="3" fontId="3" fillId="0" borderId="0" xfId="0" applyNumberFormat="1" applyFont="1" applyAlignment="1">
      <alignment horizontal="right"/>
    </xf>
    <xf numFmtId="0" fontId="6" fillId="0" borderId="7" xfId="0" applyFont="1" applyBorder="1"/>
    <xf numFmtId="0" fontId="23" fillId="2" borderId="0" xfId="0" applyFont="1" applyFill="1" applyAlignment="1">
      <alignment horizontal="right"/>
    </xf>
    <xf numFmtId="3" fontId="0" fillId="0" borderId="1" xfId="0" applyNumberFormat="1" applyBorder="1"/>
    <xf numFmtId="3" fontId="0" fillId="2" borderId="1" xfId="0" applyNumberFormat="1" applyFill="1" applyBorder="1"/>
    <xf numFmtId="0" fontId="0" fillId="0" borderId="1" xfId="0" applyBorder="1"/>
    <xf numFmtId="0" fontId="7" fillId="2" borderId="1" xfId="0" applyFont="1" applyFill="1" applyBorder="1"/>
    <xf numFmtId="0" fontId="0" fillId="2" borderId="1" xfId="0" applyFill="1" applyBorder="1"/>
    <xf numFmtId="0" fontId="3" fillId="2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3" fontId="27" fillId="2" borderId="0" xfId="0" applyNumberFormat="1" applyFont="1" applyFill="1" applyAlignment="1">
      <alignment vertical="center"/>
    </xf>
    <xf numFmtId="0" fontId="27" fillId="2" borderId="0" xfId="0" applyFont="1" applyFill="1" applyAlignment="1">
      <alignment vertical="center"/>
    </xf>
    <xf numFmtId="3" fontId="27" fillId="0" borderId="0" xfId="0" applyNumberFormat="1" applyFont="1" applyAlignment="1">
      <alignment vertical="center"/>
    </xf>
    <xf numFmtId="3" fontId="12" fillId="2" borderId="0" xfId="0" applyNumberFormat="1" applyFont="1" applyFill="1" applyAlignment="1">
      <alignment horizontal="right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2" xfId="1" applyNumberFormat="1" applyFont="1" applyFill="1" applyBorder="1" applyAlignment="1">
      <alignment horizontal="right" vertical="center"/>
    </xf>
    <xf numFmtId="3" fontId="27" fillId="0" borderId="8" xfId="0" applyNumberFormat="1" applyFont="1" applyBorder="1" applyAlignment="1">
      <alignment vertical="center"/>
    </xf>
    <xf numFmtId="3" fontId="0" fillId="0" borderId="0" xfId="0" applyNumberFormat="1"/>
    <xf numFmtId="0" fontId="8" fillId="0" borderId="1" xfId="0" applyFont="1" applyBorder="1"/>
    <xf numFmtId="3" fontId="3" fillId="0" borderId="3" xfId="0" applyNumberFormat="1" applyFont="1" applyBorder="1"/>
    <xf numFmtId="0" fontId="15" fillId="7" borderId="0" xfId="0" applyFont="1" applyFill="1" applyAlignment="1">
      <alignment vertical="center"/>
    </xf>
    <xf numFmtId="3" fontId="15" fillId="7" borderId="0" xfId="0" applyNumberFormat="1" applyFont="1" applyFill="1" applyAlignment="1">
      <alignment horizontal="center" vertical="center"/>
    </xf>
    <xf numFmtId="3" fontId="16" fillId="7" borderId="0" xfId="0" applyNumberFormat="1" applyFont="1" applyFill="1" applyAlignment="1">
      <alignment horizontal="center" vertical="center"/>
    </xf>
    <xf numFmtId="3" fontId="15" fillId="7" borderId="0" xfId="0" applyNumberFormat="1" applyFont="1" applyFill="1" applyAlignment="1">
      <alignment horizontal="right" vertical="center"/>
    </xf>
    <xf numFmtId="3" fontId="31" fillId="7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31" fillId="7" borderId="0" xfId="0" applyFont="1" applyFill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23" fillId="7" borderId="0" xfId="0" applyFont="1" applyFill="1" applyAlignment="1">
      <alignment horizontal="right"/>
    </xf>
    <xf numFmtId="0" fontId="7" fillId="2" borderId="0" xfId="0" applyFont="1" applyFill="1"/>
    <xf numFmtId="0" fontId="32" fillId="2" borderId="0" xfId="0" applyFont="1" applyFill="1"/>
    <xf numFmtId="0" fontId="32" fillId="2" borderId="0" xfId="0" applyFont="1" applyFill="1" applyAlignment="1">
      <alignment horizontal="right"/>
    </xf>
    <xf numFmtId="0" fontId="35" fillId="4" borderId="4" xfId="0" applyFont="1" applyFill="1" applyBorder="1" applyAlignment="1">
      <alignment horizontal="center" vertical="center" wrapText="1"/>
    </xf>
    <xf numFmtId="3" fontId="35" fillId="4" borderId="9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Border="1"/>
    <xf numFmtId="0" fontId="7" fillId="0" borderId="3" xfId="0" applyFont="1" applyBorder="1"/>
    <xf numFmtId="3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9" fillId="0" borderId="4" xfId="0" applyFont="1" applyBorder="1"/>
    <xf numFmtId="3" fontId="9" fillId="0" borderId="9" xfId="0" applyNumberFormat="1" applyFont="1" applyBorder="1"/>
    <xf numFmtId="3" fontId="9" fillId="0" borderId="5" xfId="0" applyNumberFormat="1" applyFont="1" applyBorder="1"/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9" fillId="2" borderId="1" xfId="0" applyFont="1" applyFill="1" applyBorder="1"/>
    <xf numFmtId="3" fontId="32" fillId="0" borderId="0" xfId="0" applyNumberFormat="1" applyFont="1"/>
    <xf numFmtId="0" fontId="32" fillId="0" borderId="0" xfId="0" applyFont="1"/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vertical="center" wrapText="1"/>
    </xf>
    <xf numFmtId="0" fontId="9" fillId="0" borderId="10" xfId="0" applyFont="1" applyBorder="1"/>
    <xf numFmtId="0" fontId="9" fillId="0" borderId="11" xfId="0" applyFont="1" applyBorder="1"/>
    <xf numFmtId="0" fontId="0" fillId="0" borderId="12" xfId="0" applyBorder="1"/>
    <xf numFmtId="3" fontId="9" fillId="0" borderId="13" xfId="0" applyNumberFormat="1" applyFont="1" applyBorder="1"/>
    <xf numFmtId="0" fontId="9" fillId="0" borderId="12" xfId="0" applyFont="1" applyBorder="1"/>
    <xf numFmtId="3" fontId="9" fillId="0" borderId="1" xfId="0" applyNumberFormat="1" applyFont="1" applyBorder="1"/>
    <xf numFmtId="3" fontId="0" fillId="0" borderId="14" xfId="0" applyNumberFormat="1" applyBorder="1"/>
    <xf numFmtId="0" fontId="9" fillId="0" borderId="15" xfId="0" applyFont="1" applyBorder="1"/>
    <xf numFmtId="3" fontId="9" fillId="2" borderId="16" xfId="0" applyNumberFormat="1" applyFont="1" applyFill="1" applyBorder="1"/>
    <xf numFmtId="3" fontId="9" fillId="2" borderId="17" xfId="0" applyNumberFormat="1" applyFont="1" applyFill="1" applyBorder="1"/>
    <xf numFmtId="0" fontId="9" fillId="2" borderId="0" xfId="0" applyFont="1" applyFill="1"/>
    <xf numFmtId="0" fontId="38" fillId="2" borderId="0" xfId="0" applyFont="1" applyFill="1"/>
    <xf numFmtId="0" fontId="23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right" vertical="center"/>
    </xf>
    <xf numFmtId="0" fontId="6" fillId="6" borderId="1" xfId="0" applyFont="1" applyFill="1" applyBorder="1"/>
    <xf numFmtId="3" fontId="6" fillId="6" borderId="2" xfId="0" applyNumberFormat="1" applyFont="1" applyFill="1" applyBorder="1"/>
    <xf numFmtId="0" fontId="0" fillId="6" borderId="1" xfId="0" applyFill="1" applyBorder="1"/>
    <xf numFmtId="0" fontId="9" fillId="6" borderId="1" xfId="0" applyFont="1" applyFill="1" applyBorder="1" applyAlignment="1">
      <alignment horizontal="center" vertical="center" wrapText="1"/>
    </xf>
    <xf numFmtId="3" fontId="7" fillId="6" borderId="1" xfId="0" applyNumberFormat="1" applyFont="1" applyFill="1" applyBorder="1"/>
    <xf numFmtId="3" fontId="0" fillId="6" borderId="1" xfId="0" applyNumberFormat="1" applyFill="1" applyBorder="1"/>
    <xf numFmtId="0" fontId="0" fillId="0" borderId="12" xfId="0" applyBorder="1" applyAlignment="1">
      <alignment wrapText="1"/>
    </xf>
    <xf numFmtId="3" fontId="28" fillId="4" borderId="0" xfId="0" applyNumberFormat="1" applyFont="1" applyFill="1" applyAlignment="1">
      <alignment vertical="center"/>
    </xf>
    <xf numFmtId="3" fontId="26" fillId="0" borderId="4" xfId="0" applyNumberFormat="1" applyFont="1" applyBorder="1" applyAlignment="1">
      <alignment horizontal="left" vertical="center" wrapText="1"/>
    </xf>
    <xf numFmtId="3" fontId="26" fillId="0" borderId="9" xfId="1" applyNumberFormat="1" applyFont="1" applyFill="1" applyBorder="1" applyAlignment="1">
      <alignment horizontal="right" vertical="center"/>
    </xf>
    <xf numFmtId="3" fontId="3" fillId="0" borderId="3" xfId="1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vertical="center"/>
    </xf>
    <xf numFmtId="3" fontId="26" fillId="8" borderId="4" xfId="0" applyNumberFormat="1" applyFont="1" applyFill="1" applyBorder="1" applyAlignment="1">
      <alignment horizontal="left" vertical="center" wrapText="1"/>
    </xf>
    <xf numFmtId="3" fontId="26" fillId="8" borderId="9" xfId="0" applyNumberFormat="1" applyFont="1" applyFill="1" applyBorder="1" applyAlignment="1">
      <alignment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/>
    </xf>
    <xf numFmtId="3" fontId="15" fillId="7" borderId="0" xfId="0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3" fontId="29" fillId="0" borderId="1" xfId="0" applyNumberFormat="1" applyFont="1" applyBorder="1" applyAlignment="1">
      <alignment vertical="center"/>
    </xf>
    <xf numFmtId="0" fontId="32" fillId="7" borderId="0" xfId="0" applyFont="1" applyFill="1"/>
    <xf numFmtId="0" fontId="33" fillId="2" borderId="0" xfId="0" applyFont="1" applyFill="1"/>
    <xf numFmtId="0" fontId="37" fillId="4" borderId="2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20" fillId="2" borderId="4" xfId="0" applyFont="1" applyFill="1" applyBorder="1"/>
    <xf numFmtId="0" fontId="20" fillId="2" borderId="9" xfId="0" applyFont="1" applyFill="1" applyBorder="1"/>
    <xf numFmtId="3" fontId="20" fillId="2" borderId="9" xfId="0" applyNumberFormat="1" applyFont="1" applyFill="1" applyBorder="1"/>
    <xf numFmtId="3" fontId="20" fillId="2" borderId="5" xfId="0" applyNumberFormat="1" applyFont="1" applyFill="1" applyBorder="1"/>
    <xf numFmtId="0" fontId="3" fillId="0" borderId="3" xfId="0" applyFont="1" applyBorder="1"/>
    <xf numFmtId="0" fontId="9" fillId="0" borderId="1" xfId="0" applyFont="1" applyBorder="1" applyAlignment="1">
      <alignment horizontal="center" vertical="center" wrapText="1"/>
    </xf>
    <xf numFmtId="0" fontId="7" fillId="8" borderId="3" xfId="0" applyFont="1" applyFill="1" applyBorder="1"/>
    <xf numFmtId="3" fontId="7" fillId="8" borderId="1" xfId="0" applyNumberFormat="1" applyFont="1" applyFill="1" applyBorder="1"/>
    <xf numFmtId="0" fontId="0" fillId="8" borderId="1" xfId="0" applyFill="1" applyBorder="1"/>
    <xf numFmtId="3" fontId="9" fillId="8" borderId="9" xfId="0" applyNumberFormat="1" applyFont="1" applyFill="1" applyBorder="1"/>
    <xf numFmtId="0" fontId="4" fillId="5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6" fillId="0" borderId="20" xfId="0" applyFont="1" applyBorder="1"/>
    <xf numFmtId="0" fontId="3" fillId="0" borderId="20" xfId="0" applyFont="1" applyBorder="1"/>
    <xf numFmtId="0" fontId="3" fillId="0" borderId="20" xfId="0" applyFont="1" applyBorder="1" applyAlignment="1">
      <alignment wrapText="1"/>
    </xf>
    <xf numFmtId="0" fontId="5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/>
    </xf>
    <xf numFmtId="0" fontId="6" fillId="0" borderId="3" xfId="0" applyFont="1" applyBorder="1"/>
    <xf numFmtId="3" fontId="20" fillId="0" borderId="1" xfId="0" applyNumberFormat="1" applyFont="1" applyBorder="1"/>
    <xf numFmtId="0" fontId="3" fillId="0" borderId="2" xfId="0" applyFont="1" applyBorder="1" applyAlignment="1">
      <alignment wrapText="1"/>
    </xf>
    <xf numFmtId="3" fontId="5" fillId="0" borderId="2" xfId="0" applyNumberFormat="1" applyFont="1" applyBorder="1" applyAlignment="1">
      <alignment horizontal="right"/>
    </xf>
    <xf numFmtId="0" fontId="3" fillId="0" borderId="7" xfId="0" applyFont="1" applyBorder="1"/>
    <xf numFmtId="0" fontId="31" fillId="0" borderId="20" xfId="0" applyFont="1" applyBorder="1"/>
    <xf numFmtId="0" fontId="23" fillId="0" borderId="20" xfId="0" applyFont="1" applyBorder="1"/>
    <xf numFmtId="0" fontId="5" fillId="2" borderId="1" xfId="0" applyFont="1" applyFill="1" applyBorder="1"/>
    <xf numFmtId="3" fontId="6" fillId="6" borderId="1" xfId="0" applyNumberFormat="1" applyFont="1" applyFill="1" applyBorder="1"/>
    <xf numFmtId="0" fontId="25" fillId="6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25" fillId="6" borderId="21" xfId="0" applyFont="1" applyFill="1" applyBorder="1" applyAlignment="1">
      <alignment horizontal="center" vertical="center" wrapText="1"/>
    </xf>
    <xf numFmtId="0" fontId="6" fillId="6" borderId="2" xfId="0" applyFont="1" applyFill="1" applyBorder="1"/>
    <xf numFmtId="0" fontId="8" fillId="0" borderId="7" xfId="0" applyFont="1" applyBorder="1"/>
    <xf numFmtId="3" fontId="18" fillId="0" borderId="3" xfId="0" applyNumberFormat="1" applyFont="1" applyBorder="1"/>
    <xf numFmtId="3" fontId="4" fillId="6" borderId="9" xfId="0" applyNumberFormat="1" applyFont="1" applyFill="1" applyBorder="1"/>
    <xf numFmtId="0" fontId="8" fillId="0" borderId="3" xfId="0" applyFont="1" applyBorder="1"/>
    <xf numFmtId="3" fontId="6" fillId="0" borderId="1" xfId="0" applyNumberFormat="1" applyFont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center" wrapText="1"/>
    </xf>
    <xf numFmtId="0" fontId="4" fillId="6" borderId="1" xfId="0" applyFont="1" applyFill="1" applyBorder="1" applyAlignment="1">
      <alignment horizontal="left"/>
    </xf>
    <xf numFmtId="3" fontId="30" fillId="0" borderId="0" xfId="0" applyNumberFormat="1" applyFont="1"/>
    <xf numFmtId="0" fontId="3" fillId="7" borderId="0" xfId="0" applyFont="1" applyFill="1" applyAlignment="1">
      <alignment horizontal="right"/>
    </xf>
    <xf numFmtId="3" fontId="3" fillId="7" borderId="0" xfId="0" applyNumberFormat="1" applyFont="1" applyFill="1" applyAlignment="1">
      <alignment horizontal="right" vertical="center"/>
    </xf>
    <xf numFmtId="3" fontId="27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3" fontId="42" fillId="4" borderId="1" xfId="0" applyNumberFormat="1" applyFont="1" applyFill="1" applyBorder="1" applyAlignment="1">
      <alignment horizontal="center" vertical="center" wrapText="1"/>
    </xf>
    <xf numFmtId="3" fontId="6" fillId="6" borderId="3" xfId="1" applyNumberFormat="1" applyFont="1" applyFill="1" applyBorder="1" applyAlignment="1">
      <alignment horizontal="right" vertical="center"/>
    </xf>
    <xf numFmtId="3" fontId="6" fillId="6" borderId="1" xfId="1" applyNumberFormat="1" applyFont="1" applyFill="1" applyBorder="1" applyAlignment="1">
      <alignment horizontal="right" vertical="center"/>
    </xf>
    <xf numFmtId="3" fontId="3" fillId="6" borderId="2" xfId="1" applyNumberFormat="1" applyFont="1" applyFill="1" applyBorder="1" applyAlignment="1">
      <alignment horizontal="right" vertical="center"/>
    </xf>
    <xf numFmtId="3" fontId="26" fillId="6" borderId="9" xfId="1" applyNumberFormat="1" applyFont="1" applyFill="1" applyBorder="1" applyAlignment="1">
      <alignment horizontal="right" vertical="center"/>
    </xf>
    <xf numFmtId="0" fontId="3" fillId="2" borderId="20" xfId="0" applyFont="1" applyFill="1" applyBorder="1"/>
    <xf numFmtId="0" fontId="3" fillId="0" borderId="2" xfId="0" applyFont="1" applyBorder="1" applyAlignment="1">
      <alignment horizontal="left" vertical="center"/>
    </xf>
    <xf numFmtId="0" fontId="4" fillId="0" borderId="1" xfId="0" applyFont="1" applyBorder="1"/>
    <xf numFmtId="0" fontId="3" fillId="0" borderId="22" xfId="0" applyFont="1" applyBorder="1"/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3" xfId="0" applyFont="1" applyBorder="1"/>
    <xf numFmtId="3" fontId="4" fillId="0" borderId="3" xfId="0" applyNumberFormat="1" applyFont="1" applyBorder="1" applyAlignment="1">
      <alignment horizontal="right"/>
    </xf>
    <xf numFmtId="3" fontId="4" fillId="0" borderId="3" xfId="0" applyNumberFormat="1" applyFont="1" applyBorder="1"/>
    <xf numFmtId="3" fontId="4" fillId="0" borderId="3" xfId="0" applyNumberFormat="1" applyFont="1" applyBorder="1" applyAlignment="1">
      <alignment vertical="center"/>
    </xf>
    <xf numFmtId="3" fontId="4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4" fillId="5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3" fontId="10" fillId="5" borderId="9" xfId="0" applyNumberFormat="1" applyFont="1" applyFill="1" applyBorder="1" applyAlignment="1">
      <alignment horizontal="right"/>
    </xf>
    <xf numFmtId="0" fontId="17" fillId="7" borderId="0" xfId="0" applyFont="1" applyFill="1"/>
    <xf numFmtId="3" fontId="14" fillId="7" borderId="0" xfId="0" applyNumberFormat="1" applyFont="1" applyFill="1"/>
    <xf numFmtId="3" fontId="3" fillId="7" borderId="0" xfId="0" applyNumberFormat="1" applyFont="1" applyFill="1" applyAlignment="1">
      <alignment horizontal="right"/>
    </xf>
    <xf numFmtId="1" fontId="35" fillId="4" borderId="9" xfId="0" applyNumberFormat="1" applyFont="1" applyFill="1" applyBorder="1" applyAlignment="1">
      <alignment horizontal="center" vertical="center" wrapText="1"/>
    </xf>
    <xf numFmtId="1" fontId="35" fillId="4" borderId="5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right"/>
    </xf>
    <xf numFmtId="3" fontId="6" fillId="0" borderId="3" xfId="0" applyNumberFormat="1" applyFont="1" applyBorder="1"/>
    <xf numFmtId="3" fontId="4" fillId="6" borderId="5" xfId="0" applyNumberFormat="1" applyFont="1" applyFill="1" applyBorder="1"/>
    <xf numFmtId="0" fontId="25" fillId="0" borderId="0" xfId="0" applyFont="1" applyAlignment="1">
      <alignment horizontal="left"/>
    </xf>
    <xf numFmtId="0" fontId="25" fillId="0" borderId="3" xfId="0" applyFont="1" applyBorder="1" applyAlignment="1">
      <alignment horizontal="left"/>
    </xf>
    <xf numFmtId="3" fontId="23" fillId="0" borderId="3" xfId="0" applyNumberFormat="1" applyFont="1" applyBorder="1"/>
    <xf numFmtId="0" fontId="10" fillId="6" borderId="4" xfId="0" applyFont="1" applyFill="1" applyBorder="1" applyAlignment="1">
      <alignment horizontal="left"/>
    </xf>
    <xf numFmtId="0" fontId="4" fillId="6" borderId="25" xfId="0" applyFont="1" applyFill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0" fontId="4" fillId="6" borderId="26" xfId="0" applyFont="1" applyFill="1" applyBorder="1" applyAlignment="1">
      <alignment horizontal="center" vertical="center" wrapText="1"/>
    </xf>
    <xf numFmtId="3" fontId="5" fillId="0" borderId="9" xfId="0" applyNumberFormat="1" applyFont="1" applyBorder="1"/>
    <xf numFmtId="3" fontId="4" fillId="0" borderId="9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center" wrapText="1"/>
    </xf>
    <xf numFmtId="3" fontId="3" fillId="0" borderId="2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5" borderId="27" xfId="0" applyFont="1" applyFill="1" applyBorder="1" applyAlignment="1">
      <alignment horizontal="center" vertical="center" wrapText="1"/>
    </xf>
    <xf numFmtId="3" fontId="4" fillId="0" borderId="19" xfId="0" applyNumberFormat="1" applyFont="1" applyBorder="1" applyAlignment="1">
      <alignment vertical="center"/>
    </xf>
    <xf numFmtId="3" fontId="6" fillId="0" borderId="20" xfId="0" applyNumberFormat="1" applyFont="1" applyBorder="1"/>
    <xf numFmtId="3" fontId="3" fillId="0" borderId="20" xfId="0" applyNumberFormat="1" applyFont="1" applyBorder="1"/>
    <xf numFmtId="3" fontId="4" fillId="0" borderId="20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0" fontId="3" fillId="0" borderId="28" xfId="0" applyFont="1" applyBorder="1"/>
    <xf numFmtId="3" fontId="4" fillId="0" borderId="19" xfId="0" applyNumberFormat="1" applyFont="1" applyBorder="1"/>
    <xf numFmtId="3" fontId="3" fillId="0" borderId="29" xfId="0" applyNumberFormat="1" applyFont="1" applyBorder="1"/>
    <xf numFmtId="3" fontId="3" fillId="0" borderId="30" xfId="0" applyNumberFormat="1" applyFont="1" applyBorder="1"/>
    <xf numFmtId="3" fontId="3" fillId="0" borderId="20" xfId="0" applyNumberFormat="1" applyFont="1" applyBorder="1" applyAlignment="1">
      <alignment horizontal="right" vertical="center" wrapText="1"/>
    </xf>
    <xf numFmtId="3" fontId="10" fillId="5" borderId="27" xfId="0" applyNumberFormat="1" applyFont="1" applyFill="1" applyBorder="1" applyAlignment="1">
      <alignment horizontal="right"/>
    </xf>
    <xf numFmtId="3" fontId="5" fillId="0" borderId="20" xfId="0" applyNumberFormat="1" applyFont="1" applyBorder="1"/>
    <xf numFmtId="0" fontId="3" fillId="0" borderId="20" xfId="0" applyFont="1" applyBorder="1" applyAlignment="1">
      <alignment horizontal="right"/>
    </xf>
    <xf numFmtId="3" fontId="20" fillId="0" borderId="20" xfId="0" applyNumberFormat="1" applyFont="1" applyBorder="1" applyAlignment="1">
      <alignment horizontal="right"/>
    </xf>
    <xf numFmtId="0" fontId="6" fillId="0" borderId="23" xfId="0" applyFont="1" applyBorder="1"/>
    <xf numFmtId="3" fontId="6" fillId="0" borderId="1" xfId="1" applyNumberFormat="1" applyFont="1" applyFill="1" applyBorder="1" applyAlignment="1">
      <alignment horizontal="right" vertical="center"/>
    </xf>
    <xf numFmtId="3" fontId="6" fillId="4" borderId="0" xfId="0" applyNumberFormat="1" applyFont="1" applyFill="1" applyAlignment="1">
      <alignment vertical="center"/>
    </xf>
    <xf numFmtId="3" fontId="45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22" xfId="0" applyFont="1" applyBorder="1"/>
    <xf numFmtId="0" fontId="3" fillId="5" borderId="4" xfId="0" applyFont="1" applyFill="1" applyBorder="1"/>
    <xf numFmtId="0" fontId="10" fillId="5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/>
    </xf>
    <xf numFmtId="3" fontId="40" fillId="0" borderId="1" xfId="0" applyNumberFormat="1" applyFont="1" applyBorder="1" applyAlignment="1">
      <alignment vertical="center"/>
    </xf>
    <xf numFmtId="0" fontId="10" fillId="5" borderId="9" xfId="0" applyFont="1" applyFill="1" applyBorder="1" applyAlignment="1">
      <alignment horizontal="center" wrapText="1"/>
    </xf>
    <xf numFmtId="3" fontId="4" fillId="0" borderId="8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0" fontId="3" fillId="0" borderId="31" xfId="0" applyFont="1" applyBorder="1"/>
    <xf numFmtId="3" fontId="20" fillId="0" borderId="3" xfId="0" applyNumberFormat="1" applyFont="1" applyBorder="1" applyAlignment="1">
      <alignment horizontal="right"/>
    </xf>
    <xf numFmtId="3" fontId="9" fillId="0" borderId="13" xfId="0" applyNumberFormat="1" applyFont="1" applyBorder="1" applyAlignment="1">
      <alignment vertical="center"/>
    </xf>
    <xf numFmtId="3" fontId="10" fillId="5" borderId="27" xfId="0" applyNumberFormat="1" applyFont="1" applyFill="1" applyBorder="1" applyAlignment="1">
      <alignment vertical="center"/>
    </xf>
    <xf numFmtId="3" fontId="10" fillId="5" borderId="9" xfId="0" applyNumberFormat="1" applyFont="1" applyFill="1" applyBorder="1" applyAlignment="1">
      <alignment vertical="center"/>
    </xf>
    <xf numFmtId="0" fontId="6" fillId="0" borderId="10" xfId="0" applyFont="1" applyBorder="1"/>
    <xf numFmtId="3" fontId="4" fillId="0" borderId="11" xfId="0" applyNumberFormat="1" applyFont="1" applyBorder="1" applyAlignment="1">
      <alignment vertical="center"/>
    </xf>
    <xf numFmtId="0" fontId="6" fillId="0" borderId="12" xfId="0" applyFont="1" applyBorder="1"/>
    <xf numFmtId="3" fontId="5" fillId="0" borderId="13" xfId="0" applyNumberFormat="1" applyFont="1" applyBorder="1"/>
    <xf numFmtId="0" fontId="3" fillId="0" borderId="12" xfId="0" applyFont="1" applyBorder="1"/>
    <xf numFmtId="3" fontId="3" fillId="0" borderId="13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13" xfId="0" applyNumberFormat="1" applyFont="1" applyBorder="1"/>
    <xf numFmtId="0" fontId="3" fillId="0" borderId="13" xfId="0" applyFont="1" applyBorder="1"/>
    <xf numFmtId="0" fontId="3" fillId="0" borderId="10" xfId="0" applyFont="1" applyBorder="1"/>
    <xf numFmtId="0" fontId="3" fillId="0" borderId="32" xfId="0" applyFont="1" applyBorder="1"/>
    <xf numFmtId="3" fontId="5" fillId="0" borderId="33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/>
    </xf>
    <xf numFmtId="0" fontId="39" fillId="0" borderId="0" xfId="0" applyFont="1"/>
    <xf numFmtId="0" fontId="31" fillId="0" borderId="0" xfId="0" applyFont="1"/>
    <xf numFmtId="3" fontId="4" fillId="0" borderId="11" xfId="0" applyNumberFormat="1" applyFont="1" applyBorder="1"/>
    <xf numFmtId="3" fontId="31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0" fontId="3" fillId="0" borderId="34" xfId="0" applyFont="1" applyBorder="1"/>
    <xf numFmtId="0" fontId="4" fillId="7" borderId="35" xfId="0" applyFont="1" applyFill="1" applyBorder="1"/>
    <xf numFmtId="3" fontId="3" fillId="0" borderId="1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3" fillId="0" borderId="2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18" fillId="0" borderId="1" xfId="0" applyNumberFormat="1" applyFont="1" applyBorder="1"/>
    <xf numFmtId="0" fontId="3" fillId="0" borderId="2" xfId="0" applyFont="1" applyBorder="1" applyAlignment="1">
      <alignment horizontal="left" wrapText="1"/>
    </xf>
    <xf numFmtId="3" fontId="3" fillId="0" borderId="2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2" borderId="20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46" fillId="7" borderId="0" xfId="0" applyFont="1" applyFill="1"/>
    <xf numFmtId="0" fontId="44" fillId="7" borderId="0" xfId="0" applyFont="1" applyFill="1" applyAlignment="1">
      <alignment horizontal="right"/>
    </xf>
    <xf numFmtId="0" fontId="48" fillId="8" borderId="36" xfId="0" applyFont="1" applyFill="1" applyBorder="1" applyAlignment="1">
      <alignment horizontal="center" vertical="center" wrapText="1"/>
    </xf>
    <xf numFmtId="0" fontId="48" fillId="8" borderId="37" xfId="0" applyFont="1" applyFill="1" applyBorder="1" applyAlignment="1">
      <alignment horizontal="center" vertical="center" wrapText="1"/>
    </xf>
    <xf numFmtId="0" fontId="48" fillId="8" borderId="38" xfId="0" applyFont="1" applyFill="1" applyBorder="1" applyAlignment="1">
      <alignment horizontal="center" vertical="center" wrapText="1"/>
    </xf>
    <xf numFmtId="0" fontId="48" fillId="8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6" fillId="8" borderId="39" xfId="0" applyFont="1" applyFill="1" applyBorder="1"/>
    <xf numFmtId="3" fontId="46" fillId="0" borderId="40" xfId="0" applyNumberFormat="1" applyFont="1" applyBorder="1"/>
    <xf numFmtId="3" fontId="46" fillId="8" borderId="40" xfId="0" applyNumberFormat="1" applyFont="1" applyFill="1" applyBorder="1"/>
    <xf numFmtId="3" fontId="47" fillId="0" borderId="41" xfId="0" applyNumberFormat="1" applyFont="1" applyBorder="1"/>
    <xf numFmtId="3" fontId="0" fillId="8" borderId="41" xfId="0" applyNumberFormat="1" applyFill="1" applyBorder="1"/>
    <xf numFmtId="0" fontId="46" fillId="8" borderId="42" xfId="0" applyFont="1" applyFill="1" applyBorder="1"/>
    <xf numFmtId="3" fontId="47" fillId="0" borderId="43" xfId="0" applyNumberFormat="1" applyFont="1" applyBorder="1"/>
    <xf numFmtId="3" fontId="0" fillId="8" borderId="43" xfId="0" applyNumberFormat="1" applyFill="1" applyBorder="1"/>
    <xf numFmtId="0" fontId="50" fillId="0" borderId="0" xfId="0" applyFont="1"/>
    <xf numFmtId="3" fontId="46" fillId="8" borderId="43" xfId="0" applyNumberFormat="1" applyFont="1" applyFill="1" applyBorder="1"/>
    <xf numFmtId="0" fontId="46" fillId="8" borderId="7" xfId="0" applyFont="1" applyFill="1" applyBorder="1"/>
    <xf numFmtId="3" fontId="0" fillId="0" borderId="43" xfId="0" applyNumberFormat="1" applyBorder="1"/>
    <xf numFmtId="3" fontId="44" fillId="0" borderId="20" xfId="0" applyNumberFormat="1" applyFont="1" applyBorder="1"/>
    <xf numFmtId="3" fontId="44" fillId="0" borderId="1" xfId="0" applyNumberFormat="1" applyFont="1" applyBorder="1"/>
    <xf numFmtId="3" fontId="0" fillId="0" borderId="7" xfId="0" applyNumberFormat="1" applyBorder="1"/>
    <xf numFmtId="3" fontId="46" fillId="0" borderId="43" xfId="0" applyNumberFormat="1" applyFont="1" applyBorder="1"/>
    <xf numFmtId="0" fontId="46" fillId="8" borderId="43" xfId="0" applyFont="1" applyFill="1" applyBorder="1"/>
    <xf numFmtId="3" fontId="0" fillId="0" borderId="20" xfId="0" applyNumberFormat="1" applyBorder="1"/>
    <xf numFmtId="0" fontId="46" fillId="8" borderId="44" xfId="0" applyFont="1" applyFill="1" applyBorder="1"/>
    <xf numFmtId="3" fontId="46" fillId="8" borderId="45" xfId="0" applyNumberFormat="1" applyFont="1" applyFill="1" applyBorder="1"/>
    <xf numFmtId="3" fontId="46" fillId="8" borderId="36" xfId="0" applyNumberFormat="1" applyFont="1" applyFill="1" applyBorder="1"/>
    <xf numFmtId="3" fontId="46" fillId="8" borderId="37" xfId="0" applyNumberFormat="1" applyFont="1" applyFill="1" applyBorder="1"/>
    <xf numFmtId="3" fontId="46" fillId="8" borderId="35" xfId="0" applyNumberFormat="1" applyFont="1" applyFill="1" applyBorder="1"/>
    <xf numFmtId="0" fontId="46" fillId="8" borderId="45" xfId="0" applyFont="1" applyFill="1" applyBorder="1"/>
    <xf numFmtId="3" fontId="46" fillId="8" borderId="38" xfId="0" applyNumberFormat="1" applyFont="1" applyFill="1" applyBorder="1"/>
    <xf numFmtId="3" fontId="49" fillId="8" borderId="45" xfId="0" applyNumberFormat="1" applyFont="1" applyFill="1" applyBorder="1"/>
    <xf numFmtId="3" fontId="46" fillId="8" borderId="46" xfId="0" applyNumberFormat="1" applyFont="1" applyFill="1" applyBorder="1"/>
    <xf numFmtId="1" fontId="0" fillId="0" borderId="0" xfId="0" applyNumberFormat="1"/>
    <xf numFmtId="0" fontId="46" fillId="0" borderId="0" xfId="0" applyFont="1"/>
    <xf numFmtId="0" fontId="23" fillId="0" borderId="1" xfId="0" applyFont="1" applyBorder="1"/>
    <xf numFmtId="0" fontId="51" fillId="0" borderId="1" xfId="0" applyFont="1" applyBorder="1"/>
    <xf numFmtId="0" fontId="3" fillId="0" borderId="48" xfId="0" applyFont="1" applyBorder="1"/>
    <xf numFmtId="0" fontId="3" fillId="7" borderId="0" xfId="0" applyFont="1" applyFill="1" applyAlignment="1">
      <alignment horizontal="right" vertical="center"/>
    </xf>
    <xf numFmtId="3" fontId="49" fillId="0" borderId="0" xfId="0" applyNumberFormat="1" applyFont="1" applyAlignment="1">
      <alignment horizontal="center" vertical="center" wrapText="1"/>
    </xf>
    <xf numFmtId="3" fontId="0" fillId="0" borderId="40" xfId="0" applyNumberFormat="1" applyBorder="1"/>
    <xf numFmtId="3" fontId="44" fillId="0" borderId="3" xfId="0" applyNumberFormat="1" applyFont="1" applyBorder="1"/>
    <xf numFmtId="3" fontId="0" fillId="0" borderId="3" xfId="0" applyNumberFormat="1" applyBorder="1"/>
    <xf numFmtId="3" fontId="0" fillId="0" borderId="47" xfId="0" applyNumberFormat="1" applyBorder="1"/>
    <xf numFmtId="0" fontId="46" fillId="0" borderId="41" xfId="0" applyFont="1" applyBorder="1"/>
    <xf numFmtId="3" fontId="0" fillId="0" borderId="19" xfId="0" applyNumberFormat="1" applyBorder="1"/>
    <xf numFmtId="3" fontId="0" fillId="0" borderId="23" xfId="0" applyNumberFormat="1" applyBorder="1"/>
    <xf numFmtId="3" fontId="47" fillId="0" borderId="0" xfId="0" applyNumberFormat="1" applyFont="1"/>
    <xf numFmtId="0" fontId="46" fillId="0" borderId="43" xfId="0" applyFont="1" applyBorder="1"/>
    <xf numFmtId="6" fontId="0" fillId="0" borderId="0" xfId="0" applyNumberFormat="1"/>
    <xf numFmtId="3" fontId="46" fillId="0" borderId="0" xfId="0" applyNumberFormat="1" applyFont="1"/>
    <xf numFmtId="3" fontId="49" fillId="0" borderId="0" xfId="0" applyNumberFormat="1" applyFont="1"/>
    <xf numFmtId="3" fontId="44" fillId="0" borderId="11" xfId="0" applyNumberFormat="1" applyFont="1" applyBorder="1"/>
    <xf numFmtId="3" fontId="46" fillId="8" borderId="49" xfId="0" applyNumberFormat="1" applyFont="1" applyFill="1" applyBorder="1"/>
    <xf numFmtId="0" fontId="39" fillId="6" borderId="1" xfId="0" applyFont="1" applyFill="1" applyBorder="1"/>
    <xf numFmtId="0" fontId="0" fillId="0" borderId="1" xfId="0" applyBorder="1" applyAlignment="1">
      <alignment wrapText="1"/>
    </xf>
    <xf numFmtId="0" fontId="23" fillId="0" borderId="20" xfId="0" applyFont="1" applyBorder="1" applyAlignment="1">
      <alignment wrapText="1"/>
    </xf>
    <xf numFmtId="3" fontId="3" fillId="0" borderId="8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 wrapText="1"/>
    </xf>
    <xf numFmtId="3" fontId="3" fillId="10" borderId="0" xfId="0" applyNumberFormat="1" applyFont="1" applyFill="1"/>
    <xf numFmtId="3" fontId="47" fillId="0" borderId="11" xfId="0" applyNumberFormat="1" applyFont="1" applyBorder="1"/>
    <xf numFmtId="3" fontId="47" fillId="0" borderId="13" xfId="0" applyNumberFormat="1" applyFont="1" applyBorder="1"/>
    <xf numFmtId="3" fontId="49" fillId="8" borderId="49" xfId="0" applyNumberFormat="1" applyFont="1" applyFill="1" applyBorder="1"/>
    <xf numFmtId="0" fontId="3" fillId="2" borderId="20" xfId="0" applyFont="1" applyFill="1" applyBorder="1" applyAlignment="1">
      <alignment vertical="center"/>
    </xf>
    <xf numFmtId="0" fontId="3" fillId="9" borderId="0" xfId="0" applyFont="1" applyFill="1"/>
    <xf numFmtId="3" fontId="3" fillId="2" borderId="0" xfId="0" applyNumberFormat="1" applyFont="1" applyFill="1" applyAlignment="1">
      <alignment horizontal="right" vertical="center"/>
    </xf>
    <xf numFmtId="0" fontId="21" fillId="2" borderId="0" xfId="0" applyFont="1" applyFill="1"/>
    <xf numFmtId="0" fontId="10" fillId="7" borderId="0" xfId="0" applyFont="1" applyFill="1"/>
    <xf numFmtId="0" fontId="0" fillId="0" borderId="3" xfId="0" applyBorder="1"/>
    <xf numFmtId="0" fontId="44" fillId="0" borderId="0" xfId="0" applyFont="1"/>
    <xf numFmtId="3" fontId="3" fillId="11" borderId="1" xfId="0" applyNumberFormat="1" applyFont="1" applyFill="1" applyBorder="1" applyAlignment="1">
      <alignment horizontal="right"/>
    </xf>
    <xf numFmtId="3" fontId="3" fillId="9" borderId="3" xfId="0" applyNumberFormat="1" applyFont="1" applyFill="1" applyBorder="1"/>
    <xf numFmtId="0" fontId="53" fillId="0" borderId="0" xfId="0" applyFont="1"/>
    <xf numFmtId="0" fontId="54" fillId="0" borderId="7" xfId="0" applyFont="1" applyBorder="1"/>
    <xf numFmtId="0" fontId="15" fillId="6" borderId="1" xfId="0" applyFont="1" applyFill="1" applyBorder="1"/>
    <xf numFmtId="3" fontId="15" fillId="6" borderId="1" xfId="0" applyNumberFormat="1" applyFont="1" applyFill="1" applyBorder="1"/>
    <xf numFmtId="3" fontId="55" fillId="0" borderId="0" xfId="0" applyNumberFormat="1" applyFont="1"/>
    <xf numFmtId="165" fontId="0" fillId="0" borderId="0" xfId="7" applyNumberFormat="1" applyFont="1"/>
    <xf numFmtId="0" fontId="1" fillId="7" borderId="0" xfId="8" applyFill="1" applyAlignment="1">
      <alignment horizontal="right"/>
    </xf>
    <xf numFmtId="0" fontId="1" fillId="7" borderId="0" xfId="8" applyFill="1"/>
    <xf numFmtId="0" fontId="1" fillId="0" borderId="0" xfId="8"/>
    <xf numFmtId="3" fontId="3" fillId="7" borderId="0" xfId="8" applyNumberFormat="1" applyFont="1" applyFill="1" applyAlignment="1">
      <alignment horizontal="right"/>
    </xf>
    <xf numFmtId="0" fontId="3" fillId="12" borderId="0" xfId="8" applyFont="1" applyFill="1"/>
    <xf numFmtId="0" fontId="3" fillId="7" borderId="0" xfId="8" applyFont="1" applyFill="1" applyAlignment="1">
      <alignment horizontal="right"/>
    </xf>
    <xf numFmtId="0" fontId="3" fillId="7" borderId="0" xfId="8" applyFont="1" applyFill="1"/>
    <xf numFmtId="0" fontId="1" fillId="13" borderId="1" xfId="8" applyFill="1" applyBorder="1" applyAlignment="1">
      <alignment horizontal="right"/>
    </xf>
    <xf numFmtId="0" fontId="6" fillId="13" borderId="1" xfId="8" applyFont="1" applyFill="1" applyBorder="1" applyAlignment="1">
      <alignment horizontal="center" vertical="center" wrapText="1"/>
    </xf>
    <xf numFmtId="0" fontId="58" fillId="0" borderId="1" xfId="8" applyFont="1" applyBorder="1" applyAlignment="1">
      <alignment horizontal="right"/>
    </xf>
    <xf numFmtId="0" fontId="6" fillId="0" borderId="1" xfId="8" applyFont="1" applyBorder="1" applyAlignment="1">
      <alignment horizontal="center" vertical="center" wrapText="1"/>
    </xf>
    <xf numFmtId="3" fontId="6" fillId="0" borderId="1" xfId="8" applyNumberFormat="1" applyFont="1" applyBorder="1" applyAlignment="1">
      <alignment vertical="center" wrapText="1"/>
    </xf>
    <xf numFmtId="0" fontId="6" fillId="0" borderId="1" xfId="8" applyFont="1" applyBorder="1" applyAlignment="1">
      <alignment horizontal="left" vertical="center"/>
    </xf>
    <xf numFmtId="3" fontId="6" fillId="0" borderId="1" xfId="8" applyNumberFormat="1" applyFont="1" applyBorder="1" applyAlignment="1">
      <alignment vertical="center"/>
    </xf>
    <xf numFmtId="0" fontId="3" fillId="0" borderId="1" xfId="8" applyFont="1" applyBorder="1" applyAlignment="1">
      <alignment horizontal="left" vertical="center" indent="1"/>
    </xf>
    <xf numFmtId="3" fontId="3" fillId="0" borderId="1" xfId="8" applyNumberFormat="1" applyFont="1" applyBorder="1" applyAlignment="1">
      <alignment vertical="center"/>
    </xf>
    <xf numFmtId="49" fontId="58" fillId="0" borderId="1" xfId="8" applyNumberFormat="1" applyFont="1" applyBorder="1" applyAlignment="1">
      <alignment horizontal="right"/>
    </xf>
    <xf numFmtId="0" fontId="3" fillId="0" borderId="1" xfId="8" applyFont="1" applyBorder="1" applyAlignment="1">
      <alignment horizontal="left" vertical="center" wrapText="1" indent="1"/>
    </xf>
    <xf numFmtId="3" fontId="3" fillId="0" borderId="1" xfId="8" applyNumberFormat="1" applyFont="1" applyBorder="1" applyAlignment="1">
      <alignment vertical="center" wrapText="1"/>
    </xf>
    <xf numFmtId="0" fontId="3" fillId="0" borderId="1" xfId="8" applyFont="1" applyBorder="1" applyAlignment="1">
      <alignment vertical="center"/>
    </xf>
    <xf numFmtId="0" fontId="6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horizontal="left" indent="2"/>
    </xf>
    <xf numFmtId="3" fontId="3" fillId="0" borderId="1" xfId="8" applyNumberFormat="1" applyFont="1" applyBorder="1"/>
    <xf numFmtId="0" fontId="3" fillId="0" borderId="1" xfId="8" applyFont="1" applyBorder="1" applyAlignment="1">
      <alignment horizontal="left" vertical="center" indent="3"/>
    </xf>
    <xf numFmtId="0" fontId="3" fillId="0" borderId="1" xfId="8" applyFont="1" applyBorder="1" applyAlignment="1">
      <alignment horizontal="left" vertical="center"/>
    </xf>
    <xf numFmtId="0" fontId="6" fillId="0" borderId="1" xfId="8" applyFont="1" applyBorder="1" applyAlignment="1">
      <alignment vertical="center"/>
    </xf>
    <xf numFmtId="3" fontId="3" fillId="0" borderId="1" xfId="8" applyNumberFormat="1" applyFont="1" applyBorder="1" applyAlignment="1">
      <alignment horizontal="center" vertical="center"/>
    </xf>
    <xf numFmtId="3" fontId="3" fillId="0" borderId="3" xfId="8" applyNumberFormat="1" applyFont="1" applyBorder="1" applyAlignment="1">
      <alignment horizontal="right" vertical="center"/>
    </xf>
    <xf numFmtId="0" fontId="1" fillId="0" borderId="0" xfId="8" applyAlignment="1">
      <alignment horizontal="right"/>
    </xf>
    <xf numFmtId="3" fontId="56" fillId="0" borderId="1" xfId="0" applyNumberFormat="1" applyFont="1" applyBorder="1"/>
    <xf numFmtId="3" fontId="3" fillId="14" borderId="0" xfId="0" applyNumberFormat="1" applyFont="1" applyFill="1"/>
    <xf numFmtId="3" fontId="14" fillId="14" borderId="0" xfId="0" applyNumberFormat="1" applyFont="1" applyFill="1"/>
    <xf numFmtId="0" fontId="48" fillId="8" borderId="30" xfId="0" applyFont="1" applyFill="1" applyBorder="1" applyAlignment="1">
      <alignment horizontal="center" vertical="center" wrapText="1"/>
    </xf>
    <xf numFmtId="0" fontId="48" fillId="8" borderId="35" xfId="0" applyFont="1" applyFill="1" applyBorder="1" applyAlignment="1">
      <alignment horizontal="center" vertical="center" wrapText="1"/>
    </xf>
    <xf numFmtId="0" fontId="46" fillId="9" borderId="42" xfId="0" applyFont="1" applyFill="1" applyBorder="1"/>
    <xf numFmtId="3" fontId="0" fillId="9" borderId="40" xfId="0" applyNumberFormat="1" applyFill="1" applyBorder="1"/>
    <xf numFmtId="3" fontId="0" fillId="9" borderId="47" xfId="0" applyNumberFormat="1" applyFill="1" applyBorder="1"/>
    <xf numFmtId="3" fontId="44" fillId="9" borderId="20" xfId="0" applyNumberFormat="1" applyFont="1" applyFill="1" applyBorder="1"/>
    <xf numFmtId="3" fontId="44" fillId="9" borderId="3" xfId="0" applyNumberFormat="1" applyFont="1" applyFill="1" applyBorder="1"/>
    <xf numFmtId="3" fontId="0" fillId="9" borderId="3" xfId="0" applyNumberFormat="1" applyFill="1" applyBorder="1"/>
    <xf numFmtId="3" fontId="46" fillId="9" borderId="40" xfId="0" applyNumberFormat="1" applyFont="1" applyFill="1" applyBorder="1"/>
    <xf numFmtId="0" fontId="46" fillId="9" borderId="43" xfId="0" applyFont="1" applyFill="1" applyBorder="1"/>
    <xf numFmtId="3" fontId="0" fillId="9" borderId="19" xfId="0" applyNumberFormat="1" applyFill="1" applyBorder="1"/>
    <xf numFmtId="3" fontId="0" fillId="9" borderId="1" xfId="0" applyNumberFormat="1" applyFill="1" applyBorder="1"/>
    <xf numFmtId="3" fontId="0" fillId="9" borderId="23" xfId="0" applyNumberFormat="1" applyFill="1" applyBorder="1"/>
    <xf numFmtId="3" fontId="0" fillId="0" borderId="31" xfId="0" applyNumberFormat="1" applyBorder="1"/>
    <xf numFmtId="3" fontId="44" fillId="0" borderId="0" xfId="0" applyNumberFormat="1" applyFont="1"/>
    <xf numFmtId="0" fontId="57" fillId="12" borderId="0" xfId="8" applyFont="1" applyFill="1" applyAlignment="1">
      <alignment horizontal="center" wrapText="1"/>
    </xf>
    <xf numFmtId="0" fontId="57" fillId="12" borderId="0" xfId="8" applyFont="1" applyFill="1" applyAlignment="1">
      <alignment horizontal="center"/>
    </xf>
    <xf numFmtId="0" fontId="6" fillId="0" borderId="1" xfId="8" applyFont="1" applyBorder="1" applyAlignment="1">
      <alignment horizontal="right"/>
    </xf>
    <xf numFmtId="0" fontId="15" fillId="0" borderId="1" xfId="8" applyFont="1" applyBorder="1" applyAlignment="1">
      <alignment horizontal="left" vertical="center" indent="1"/>
    </xf>
    <xf numFmtId="3" fontId="15" fillId="0" borderId="1" xfId="8" applyNumberFormat="1" applyFont="1" applyBorder="1" applyAlignment="1">
      <alignment vertical="center"/>
    </xf>
    <xf numFmtId="3" fontId="46" fillId="6" borderId="45" xfId="0" applyNumberFormat="1" applyFont="1" applyFill="1" applyBorder="1"/>
    <xf numFmtId="3" fontId="3" fillId="9" borderId="1" xfId="0" applyNumberFormat="1" applyFont="1" applyFill="1" applyBorder="1" applyAlignment="1">
      <alignment horizontal="right"/>
    </xf>
    <xf numFmtId="0" fontId="3" fillId="9" borderId="20" xfId="0" applyFont="1" applyFill="1" applyBorder="1"/>
    <xf numFmtId="0" fontId="56" fillId="9" borderId="0" xfId="0" applyFont="1" applyFill="1"/>
    <xf numFmtId="0" fontId="0" fillId="0" borderId="1" xfId="0" applyBorder="1" applyAlignment="1">
      <alignment vertical="center"/>
    </xf>
    <xf numFmtId="3" fontId="3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1" fillId="2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21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wrapText="1"/>
    </xf>
    <xf numFmtId="3" fontId="3" fillId="0" borderId="2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right" vertical="center"/>
    </xf>
    <xf numFmtId="3" fontId="6" fillId="4" borderId="7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3" fontId="6" fillId="4" borderId="20" xfId="0" applyNumberFormat="1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3" fontId="28" fillId="4" borderId="1" xfId="0" applyNumberFormat="1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 wrapText="1"/>
    </xf>
    <xf numFmtId="3" fontId="28" fillId="4" borderId="7" xfId="0" applyNumberFormat="1" applyFont="1" applyFill="1" applyBorder="1" applyAlignment="1">
      <alignment horizontal="center" vertical="center" wrapText="1"/>
    </xf>
    <xf numFmtId="3" fontId="28" fillId="4" borderId="31" xfId="0" applyNumberFormat="1" applyFont="1" applyFill="1" applyBorder="1" applyAlignment="1">
      <alignment horizontal="center" vertical="center" wrapText="1"/>
    </xf>
    <xf numFmtId="3" fontId="28" fillId="4" borderId="20" xfId="0" applyNumberFormat="1" applyFont="1" applyFill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 wrapText="1"/>
    </xf>
    <xf numFmtId="3" fontId="43" fillId="6" borderId="1" xfId="0" applyNumberFormat="1" applyFont="1" applyFill="1" applyBorder="1" applyAlignment="1">
      <alignment horizontal="center" vertical="center" wrapText="1"/>
    </xf>
    <xf numFmtId="0" fontId="40" fillId="6" borderId="2" xfId="0" applyFont="1" applyFill="1" applyBorder="1" applyAlignment="1">
      <alignment horizontal="center" vertical="center" wrapText="1"/>
    </xf>
    <xf numFmtId="0" fontId="40" fillId="6" borderId="8" xfId="0" applyFont="1" applyFill="1" applyBorder="1" applyAlignment="1">
      <alignment horizontal="center" vertical="center"/>
    </xf>
    <xf numFmtId="0" fontId="40" fillId="6" borderId="3" xfId="0" applyFont="1" applyFill="1" applyBorder="1" applyAlignment="1">
      <alignment horizontal="center" vertical="center"/>
    </xf>
    <xf numFmtId="3" fontId="28" fillId="6" borderId="1" xfId="0" applyNumberFormat="1" applyFont="1" applyFill="1" applyBorder="1" applyAlignment="1">
      <alignment horizontal="center" vertical="center" wrapText="1"/>
    </xf>
    <xf numFmtId="3" fontId="28" fillId="4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50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5" fillId="4" borderId="22" xfId="0" applyFont="1" applyFill="1" applyBorder="1" applyAlignment="1">
      <alignment horizontal="center" vertical="center" wrapText="1"/>
    </xf>
    <xf numFmtId="0" fontId="35" fillId="4" borderId="29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5" fillId="4" borderId="48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5" fillId="4" borderId="47" xfId="0" applyFont="1" applyFill="1" applyBorder="1" applyAlignment="1">
      <alignment horizontal="center" vertical="center" wrapText="1"/>
    </xf>
    <xf numFmtId="0" fontId="35" fillId="4" borderId="19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35" fillId="6" borderId="31" xfId="0" applyNumberFormat="1" applyFont="1" applyFill="1" applyBorder="1" applyAlignment="1">
      <alignment horizontal="center" vertical="center" wrapText="1"/>
    </xf>
    <xf numFmtId="3" fontId="35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wrapText="1"/>
    </xf>
    <xf numFmtId="0" fontId="37" fillId="4" borderId="2" xfId="0" applyFont="1" applyFill="1" applyBorder="1" applyAlignment="1">
      <alignment horizontal="center" vertical="center" wrapText="1"/>
    </xf>
    <xf numFmtId="0" fontId="37" fillId="4" borderId="8" xfId="0" applyFont="1" applyFill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37" fillId="4" borderId="19" xfId="0" applyFont="1" applyFill="1" applyBorder="1" applyAlignment="1">
      <alignment horizontal="center" vertical="center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8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37" fillId="4" borderId="7" xfId="0" applyFont="1" applyFill="1" applyBorder="1" applyAlignment="1">
      <alignment horizontal="center" vertical="center" wrapText="1"/>
    </xf>
    <xf numFmtId="0" fontId="37" fillId="4" borderId="31" xfId="0" applyFont="1" applyFill="1" applyBorder="1" applyAlignment="1">
      <alignment horizontal="center" vertical="center" wrapText="1"/>
    </xf>
    <xf numFmtId="0" fontId="37" fillId="4" borderId="20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/>
    </xf>
    <xf numFmtId="0" fontId="57" fillId="12" borderId="0" xfId="8" applyFont="1" applyFill="1" applyAlignment="1">
      <alignment horizontal="center" wrapText="1"/>
    </xf>
    <xf numFmtId="0" fontId="57" fillId="12" borderId="0" xfId="8" applyFont="1" applyFill="1" applyAlignment="1">
      <alignment horizontal="center"/>
    </xf>
    <xf numFmtId="0" fontId="46" fillId="8" borderId="53" xfId="0" applyFont="1" applyFill="1" applyBorder="1" applyAlignment="1">
      <alignment horizontal="center" vertical="center"/>
    </xf>
    <xf numFmtId="0" fontId="46" fillId="8" borderId="34" xfId="0" applyFont="1" applyFill="1" applyBorder="1" applyAlignment="1">
      <alignment horizontal="center" vertical="center"/>
    </xf>
    <xf numFmtId="0" fontId="48" fillId="8" borderId="41" xfId="0" applyFont="1" applyFill="1" applyBorder="1" applyAlignment="1">
      <alignment horizontal="center" vertical="center" wrapText="1"/>
    </xf>
    <xf numFmtId="0" fontId="48" fillId="8" borderId="46" xfId="0" applyFont="1" applyFill="1" applyBorder="1" applyAlignment="1">
      <alignment horizontal="center" vertical="center" wrapText="1"/>
    </xf>
    <xf numFmtId="0" fontId="46" fillId="8" borderId="52" xfId="0" applyFont="1" applyFill="1" applyBorder="1" applyAlignment="1">
      <alignment horizontal="center" vertical="center" wrapText="1"/>
    </xf>
    <xf numFmtId="0" fontId="46" fillId="8" borderId="45" xfId="0" applyFont="1" applyFill="1" applyBorder="1" applyAlignment="1">
      <alignment horizontal="center" vertical="center" wrapText="1"/>
    </xf>
    <xf numFmtId="0" fontId="47" fillId="8" borderId="52" xfId="0" applyFont="1" applyFill="1" applyBorder="1" applyAlignment="1">
      <alignment horizontal="center" vertical="center" wrapText="1"/>
    </xf>
    <xf numFmtId="0" fontId="47" fillId="8" borderId="45" xfId="0" applyFont="1" applyFill="1" applyBorder="1" applyAlignment="1">
      <alignment horizontal="center" vertical="center"/>
    </xf>
    <xf numFmtId="0" fontId="49" fillId="8" borderId="41" xfId="0" applyFont="1" applyFill="1" applyBorder="1" applyAlignment="1">
      <alignment horizontal="center" vertical="center" wrapText="1"/>
    </xf>
    <xf numFmtId="0" fontId="49" fillId="8" borderId="46" xfId="0" applyFont="1" applyFill="1" applyBorder="1" applyAlignment="1">
      <alignment horizontal="center" vertical="center" wrapText="1"/>
    </xf>
    <xf numFmtId="0" fontId="46" fillId="8" borderId="41" xfId="0" applyFont="1" applyFill="1" applyBorder="1" applyAlignment="1">
      <alignment horizontal="center" vertical="center" wrapText="1"/>
    </xf>
    <xf numFmtId="0" fontId="46" fillId="8" borderId="46" xfId="0" applyFont="1" applyFill="1" applyBorder="1" applyAlignment="1">
      <alignment horizontal="center" vertical="center" wrapText="1"/>
    </xf>
    <xf numFmtId="0" fontId="46" fillId="8" borderId="51" xfId="0" applyFont="1" applyFill="1" applyBorder="1" applyAlignment="1">
      <alignment horizontal="center"/>
    </xf>
    <xf numFmtId="0" fontId="46" fillId="8" borderId="56" xfId="0" applyFont="1" applyFill="1" applyBorder="1" applyAlignment="1">
      <alignment horizontal="center" vertical="center"/>
    </xf>
    <xf numFmtId="0" fontId="46" fillId="8" borderId="4" xfId="0" applyFont="1" applyFill="1" applyBorder="1" applyAlignment="1">
      <alignment horizontal="center"/>
    </xf>
    <xf numFmtId="0" fontId="46" fillId="8" borderId="9" xfId="0" applyFont="1" applyFill="1" applyBorder="1" applyAlignment="1">
      <alignment horizontal="center"/>
    </xf>
    <xf numFmtId="0" fontId="46" fillId="8" borderId="54" xfId="0" applyFont="1" applyFill="1" applyBorder="1" applyAlignment="1">
      <alignment horizontal="center"/>
    </xf>
    <xf numFmtId="0" fontId="49" fillId="8" borderId="55" xfId="0" applyFont="1" applyFill="1" applyBorder="1" applyAlignment="1">
      <alignment horizontal="center" vertical="center" wrapText="1"/>
    </xf>
    <xf numFmtId="0" fontId="49" fillId="8" borderId="56" xfId="0" applyFont="1" applyFill="1" applyBorder="1" applyAlignment="1">
      <alignment horizontal="center" vertical="center" wrapText="1"/>
    </xf>
  </cellXfs>
  <cellStyles count="9">
    <cellStyle name="Ezres" xfId="7" builtinId="3"/>
    <cellStyle name="Ezres 2" xfId="1" xr:uid="{00000000-0005-0000-0000-000001000000}"/>
    <cellStyle name="Normál" xfId="0" builtinId="0"/>
    <cellStyle name="Normál 10" xfId="8" xr:uid="{00000000-0005-0000-0000-000003000000}"/>
    <cellStyle name="Normál 2" xfId="2" xr:uid="{00000000-0005-0000-0000-000004000000}"/>
    <cellStyle name="Normál 3" xfId="3" xr:uid="{00000000-0005-0000-0000-000005000000}"/>
    <cellStyle name="Normál 4" xfId="4" xr:uid="{00000000-0005-0000-0000-000006000000}"/>
    <cellStyle name="Normál 8" xfId="5" xr:uid="{00000000-0005-0000-0000-000007000000}"/>
    <cellStyle name="Normal_KARSZJ3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.%20&#233;vi%20k&#246;lt&#233;sgvet&#233;s\Mell&#233;kletek\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TKT\2025_ktgvet&#233;s_TKT\TKT\K&#246;lts&#233;gfeloszt&#225;s_2025_TKT.xls" TargetMode="External"/><Relationship Id="rId1" Type="http://schemas.openxmlformats.org/officeDocument/2006/relationships/externalLinkPath" Target="/2025/2025_TKT/2025_ktgvet&#233;s_TKT/TKT/K&#246;lts&#233;gfeloszt&#225;s_2025_TK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Óvoda"/>
      <sheetName val="szoc. egyenkénti feladatok"/>
      <sheetName val="Házi segítségnyújtás"/>
      <sheetName val="Jelzőrendszer"/>
      <sheetName val="Püg.,TV, étkeztetés "/>
      <sheetName val="Társulási hozzájár."/>
      <sheetName val="Ügyelet"/>
      <sheetName val="Labor"/>
      <sheetName val="TKT feladatok"/>
      <sheetName val="TKT műk."/>
      <sheetName val="Családsegítés,gyerm.jólét (2)"/>
      <sheetName val="Családsegítés"/>
      <sheetName val="Családsegítés,gyerm.jólét"/>
      <sheetName val="Családsegítés, gyerm.jólét (2)"/>
      <sheetName val="Családsegítés, gyerm.jólét"/>
      <sheetName val="Összesítő"/>
      <sheetName val="Munka1"/>
      <sheetName val="házi segítségnyújtás bér"/>
    </sheetNames>
    <sheetDataSet>
      <sheetData sheetId="0" refreshError="1"/>
      <sheetData sheetId="1" refreshError="1"/>
      <sheetData sheetId="2" refreshError="1"/>
      <sheetData sheetId="3">
        <row r="31">
          <cell r="C31">
            <v>0</v>
          </cell>
        </row>
      </sheetData>
      <sheetData sheetId="4">
        <row r="33">
          <cell r="C33">
            <v>2200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57">
          <cell r="V57">
            <v>0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782"/>
  <sheetViews>
    <sheetView topLeftCell="A34" zoomScale="90" zoomScaleNormal="90" workbookViewId="0">
      <selection activeCell="D106" sqref="D106"/>
    </sheetView>
  </sheetViews>
  <sheetFormatPr defaultRowHeight="12.75" x14ac:dyDescent="0.2"/>
  <cols>
    <col min="1" max="1" width="2.5703125" customWidth="1"/>
    <col min="2" max="2" width="6.28515625" style="2" customWidth="1"/>
    <col min="3" max="3" width="88" customWidth="1"/>
    <col min="4" max="4" width="14.28515625" style="35" customWidth="1"/>
    <col min="5" max="5" width="7.7109375" hidden="1" customWidth="1"/>
    <col min="6" max="6" width="9.140625" hidden="1" customWidth="1"/>
  </cols>
  <sheetData>
    <row r="1" spans="2:44" ht="12" customHeight="1" x14ac:dyDescent="0.3">
      <c r="B1" s="54"/>
      <c r="C1" s="33"/>
      <c r="D1" s="5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2:44" ht="18.75" customHeight="1" x14ac:dyDescent="0.35">
      <c r="B2" s="54"/>
      <c r="C2" s="447" t="s">
        <v>369</v>
      </c>
      <c r="D2" s="4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2:44" ht="18.75" customHeight="1" x14ac:dyDescent="0.35">
      <c r="B3" s="54"/>
      <c r="C3" s="447" t="s">
        <v>740</v>
      </c>
      <c r="D3" s="44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2:44" ht="13.5" thickBot="1" x14ac:dyDescent="0.25">
      <c r="B4" s="54"/>
      <c r="C4" s="1"/>
      <c r="D4" s="55" t="s">
        <v>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2:44" ht="32.25" thickBot="1" x14ac:dyDescent="0.25">
      <c r="B5" s="166" t="s">
        <v>106</v>
      </c>
      <c r="C5" s="158" t="s">
        <v>428</v>
      </c>
      <c r="D5" s="42" t="s">
        <v>429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2:44" ht="19.5" customHeight="1" x14ac:dyDescent="0.2">
      <c r="B6" s="274" t="s">
        <v>107</v>
      </c>
      <c r="C6" s="159" t="s">
        <v>353</v>
      </c>
      <c r="D6" s="275">
        <f>SUM(D7+D22+D25+D32+D39+D45+D47)</f>
        <v>10680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2:44" ht="18" customHeight="1" x14ac:dyDescent="0.25">
      <c r="B7" s="276" t="s">
        <v>108</v>
      </c>
      <c r="C7" s="160" t="s">
        <v>208</v>
      </c>
      <c r="D7" s="277">
        <f>SUM(D8:D21)</f>
        <v>3509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2:44" ht="13.5" hidden="1" customHeight="1" x14ac:dyDescent="0.2">
      <c r="B8" s="278" t="s">
        <v>197</v>
      </c>
      <c r="C8" s="8" t="s">
        <v>644</v>
      </c>
      <c r="D8" s="27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2:44" ht="13.5" customHeight="1" x14ac:dyDescent="0.2">
      <c r="B9" s="278" t="s">
        <v>741</v>
      </c>
      <c r="C9" s="346" t="s">
        <v>658</v>
      </c>
      <c r="D9" s="279">
        <v>624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2:44" ht="13.5" customHeight="1" x14ac:dyDescent="0.2">
      <c r="B10" s="278" t="s">
        <v>741</v>
      </c>
      <c r="C10" s="162" t="s">
        <v>648</v>
      </c>
      <c r="D10" s="279">
        <v>-86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2:44" ht="13.5" hidden="1" customHeight="1" x14ac:dyDescent="0.2">
      <c r="B11" s="278" t="s">
        <v>199</v>
      </c>
      <c r="C11" s="162" t="s">
        <v>500</v>
      </c>
      <c r="D11" s="27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2:44" ht="13.5" hidden="1" customHeight="1" x14ac:dyDescent="0.2">
      <c r="B12" s="278" t="s">
        <v>199</v>
      </c>
      <c r="C12" s="162" t="s">
        <v>501</v>
      </c>
      <c r="D12" s="27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2:44" ht="13.5" hidden="1" customHeight="1" x14ac:dyDescent="0.2">
      <c r="B13" s="278" t="s">
        <v>199</v>
      </c>
      <c r="C13" s="162" t="s">
        <v>578</v>
      </c>
      <c r="D13" s="27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2:44" ht="13.5" customHeight="1" x14ac:dyDescent="0.2">
      <c r="B14" s="278" t="s">
        <v>200</v>
      </c>
      <c r="C14" s="162" t="s">
        <v>749</v>
      </c>
      <c r="D14" s="279">
        <v>594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2:44" ht="13.5" hidden="1" customHeight="1" x14ac:dyDescent="0.2">
      <c r="B15" s="278" t="s">
        <v>201</v>
      </c>
      <c r="C15" s="162" t="s">
        <v>584</v>
      </c>
      <c r="D15" s="27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2:44" ht="13.5" customHeight="1" x14ac:dyDescent="0.2">
      <c r="B16" s="278" t="s">
        <v>201</v>
      </c>
      <c r="C16" s="162" t="s">
        <v>746</v>
      </c>
      <c r="D16" s="279">
        <v>1000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pans="2:44" ht="13.5" hidden="1" customHeight="1" x14ac:dyDescent="0.2">
      <c r="B17" s="278" t="s">
        <v>201</v>
      </c>
      <c r="C17" s="162" t="s">
        <v>499</v>
      </c>
      <c r="D17" s="27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2:44" ht="13.5" customHeight="1" x14ac:dyDescent="0.2">
      <c r="B18" s="278" t="s">
        <v>201</v>
      </c>
      <c r="C18" s="346" t="s">
        <v>742</v>
      </c>
      <c r="D18" s="279">
        <v>-624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2:44" ht="13.5" customHeight="1" x14ac:dyDescent="0.2">
      <c r="B19" s="278" t="s">
        <v>113</v>
      </c>
      <c r="C19" s="162" t="s">
        <v>750</v>
      </c>
      <c r="D19" s="279">
        <v>2000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2:44" ht="13.5" hidden="1" customHeight="1" x14ac:dyDescent="0.2">
      <c r="B20" s="278" t="s">
        <v>113</v>
      </c>
      <c r="C20" s="162" t="s">
        <v>503</v>
      </c>
      <c r="D20" s="27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pans="2:44" ht="12.75" customHeight="1" x14ac:dyDescent="0.2">
      <c r="B21" s="278" t="s">
        <v>113</v>
      </c>
      <c r="C21" s="162" t="s">
        <v>748</v>
      </c>
      <c r="D21" s="279">
        <v>1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spans="2:44" ht="18" customHeight="1" x14ac:dyDescent="0.25">
      <c r="B22" s="276" t="s">
        <v>119</v>
      </c>
      <c r="C22" s="160" t="s">
        <v>209</v>
      </c>
      <c r="D22" s="280">
        <f>SUM(D23:D24)</f>
        <v>5988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2:44" ht="13.5" hidden="1" customHeight="1" x14ac:dyDescent="0.2">
      <c r="B23" s="278" t="s">
        <v>119</v>
      </c>
      <c r="C23" s="163" t="s">
        <v>588</v>
      </c>
      <c r="D23" s="27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2:44" ht="13.5" customHeight="1" x14ac:dyDescent="0.2">
      <c r="B24" s="278" t="s">
        <v>123</v>
      </c>
      <c r="C24" s="162" t="s">
        <v>743</v>
      </c>
      <c r="D24" s="279">
        <v>5988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2:44" ht="18" customHeight="1" x14ac:dyDescent="0.25">
      <c r="B25" s="276" t="s">
        <v>128</v>
      </c>
      <c r="C25" s="160" t="s">
        <v>87</v>
      </c>
      <c r="D25" s="280">
        <f>SUM(D26:D31)</f>
        <v>400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2:44" ht="13.5" hidden="1" customHeight="1" x14ac:dyDescent="0.2">
      <c r="B26" s="278" t="s">
        <v>132</v>
      </c>
      <c r="C26" s="162" t="s">
        <v>430</v>
      </c>
      <c r="D26" s="27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2:44" ht="13.5" hidden="1" customHeight="1" x14ac:dyDescent="0.2">
      <c r="B27" s="278" t="s">
        <v>458</v>
      </c>
      <c r="C27" s="162" t="s">
        <v>431</v>
      </c>
      <c r="D27" s="27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2:44" ht="13.5" hidden="1" customHeight="1" x14ac:dyDescent="0.2">
      <c r="B28" s="278" t="s">
        <v>132</v>
      </c>
      <c r="C28" s="163" t="s">
        <v>432</v>
      </c>
      <c r="D28" s="27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2:44" ht="13.5" hidden="1" customHeight="1" x14ac:dyDescent="0.2">
      <c r="B29" s="278" t="s">
        <v>433</v>
      </c>
      <c r="C29" s="162" t="s">
        <v>434</v>
      </c>
      <c r="D29" s="28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2:44" ht="13.5" hidden="1" customHeight="1" x14ac:dyDescent="0.2">
      <c r="B30" s="278" t="s">
        <v>435</v>
      </c>
      <c r="C30" s="162" t="s">
        <v>504</v>
      </c>
      <c r="D30" s="27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2:44" ht="13.5" customHeight="1" x14ac:dyDescent="0.2">
      <c r="B31" s="278" t="s">
        <v>134</v>
      </c>
      <c r="C31" s="162" t="s">
        <v>755</v>
      </c>
      <c r="D31" s="279">
        <v>400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2:44" ht="18" customHeight="1" x14ac:dyDescent="0.25">
      <c r="B32" s="276" t="s">
        <v>139</v>
      </c>
      <c r="C32" s="160" t="s">
        <v>210</v>
      </c>
      <c r="D32" s="280">
        <f>SUM(D33:D38)</f>
        <v>1283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2:44" ht="13.5" hidden="1" customHeight="1" x14ac:dyDescent="0.2">
      <c r="B33" s="278" t="s">
        <v>144</v>
      </c>
      <c r="C33" s="162" t="s">
        <v>470</v>
      </c>
      <c r="D33" s="28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2:44" ht="13.5" customHeight="1" x14ac:dyDescent="0.2">
      <c r="B34" s="278" t="s">
        <v>143</v>
      </c>
      <c r="C34" s="162" t="s">
        <v>747</v>
      </c>
      <c r="D34" s="282">
        <v>800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2:44" ht="13.5" customHeight="1" x14ac:dyDescent="0.2">
      <c r="B35" s="278" t="s">
        <v>144</v>
      </c>
      <c r="C35" s="162" t="s">
        <v>756</v>
      </c>
      <c r="D35" s="282">
        <v>280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2:44" ht="13.5" customHeight="1" x14ac:dyDescent="0.2">
      <c r="B36" s="278" t="s">
        <v>154</v>
      </c>
      <c r="C36" s="162" t="s">
        <v>757</v>
      </c>
      <c r="D36" s="282">
        <v>3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2:44" ht="13.5" hidden="1" customHeight="1" x14ac:dyDescent="0.2">
      <c r="B37" s="278" t="s">
        <v>162</v>
      </c>
      <c r="C37" s="162" t="s">
        <v>589</v>
      </c>
      <c r="D37" s="28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2:44" ht="13.5" customHeight="1" x14ac:dyDescent="0.2">
      <c r="B38" s="278" t="s">
        <v>387</v>
      </c>
      <c r="C38" s="20" t="s">
        <v>758</v>
      </c>
      <c r="D38" s="282">
        <v>200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spans="2:44" ht="17.25" customHeight="1" x14ac:dyDescent="0.25">
      <c r="B39" s="276" t="s">
        <v>166</v>
      </c>
      <c r="C39" s="160" t="s">
        <v>211</v>
      </c>
      <c r="D39" s="280">
        <f>SUM(D40:D44)</f>
        <v>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2:44" ht="13.5" hidden="1" customHeight="1" x14ac:dyDescent="0.2">
      <c r="B40" s="278" t="s">
        <v>167</v>
      </c>
      <c r="C40" s="20" t="s">
        <v>172</v>
      </c>
      <c r="D40" s="28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2:44" ht="13.5" hidden="1" customHeight="1" x14ac:dyDescent="0.2">
      <c r="B41" s="278" t="s">
        <v>168</v>
      </c>
      <c r="C41" s="20"/>
      <c r="D41" s="28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2:44" ht="13.5" hidden="1" customHeight="1" x14ac:dyDescent="0.2">
      <c r="B42" s="278" t="s">
        <v>169</v>
      </c>
      <c r="C42" s="20" t="s">
        <v>575</v>
      </c>
      <c r="D42" s="279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2:44" ht="13.5" hidden="1" customHeight="1" x14ac:dyDescent="0.2">
      <c r="B43" s="278" t="s">
        <v>170</v>
      </c>
      <c r="C43" s="20" t="s">
        <v>449</v>
      </c>
      <c r="D43" s="28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2:44" ht="13.5" hidden="1" customHeight="1" x14ac:dyDescent="0.2">
      <c r="B44" s="284" t="s">
        <v>171</v>
      </c>
      <c r="C44" s="20" t="s">
        <v>176</v>
      </c>
      <c r="D44" s="28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2:44" ht="18" customHeight="1" x14ac:dyDescent="0.25">
      <c r="B45" s="276" t="s">
        <v>177</v>
      </c>
      <c r="C45" s="160" t="s">
        <v>212</v>
      </c>
      <c r="D45" s="280">
        <f>SUM(D46:D46)</f>
        <v>-500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2:44" ht="13.5" customHeight="1" x14ac:dyDescent="0.2">
      <c r="B46" s="284" t="s">
        <v>436</v>
      </c>
      <c r="C46" s="163" t="s">
        <v>761</v>
      </c>
      <c r="D46" s="279">
        <v>-500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2:44" ht="16.5" customHeight="1" x14ac:dyDescent="0.25">
      <c r="B47" s="276" t="s">
        <v>178</v>
      </c>
      <c r="C47" s="160" t="s">
        <v>213</v>
      </c>
      <c r="D47" s="280">
        <f>SUM(D48:D50)</f>
        <v>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2:44" ht="13.5" hidden="1" customHeight="1" x14ac:dyDescent="0.2">
      <c r="B48" s="278" t="s">
        <v>437</v>
      </c>
      <c r="C48" s="20"/>
      <c r="D48" s="28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2:44" ht="13.5" hidden="1" customHeight="1" x14ac:dyDescent="0.25">
      <c r="B49" s="278" t="s">
        <v>186</v>
      </c>
      <c r="C49" s="20" t="s">
        <v>189</v>
      </c>
      <c r="D49" s="280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2:44" ht="13.5" hidden="1" customHeight="1" x14ac:dyDescent="0.25">
      <c r="B50" s="285" t="s">
        <v>187</v>
      </c>
      <c r="C50" s="169" t="s">
        <v>190</v>
      </c>
      <c r="D50" s="286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2:44" ht="18" customHeight="1" x14ac:dyDescent="0.2">
      <c r="B51" s="276" t="s">
        <v>347</v>
      </c>
      <c r="C51" s="209" t="s">
        <v>349</v>
      </c>
      <c r="D51" s="287">
        <f>SUM(D52+D57)</f>
        <v>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2:44" ht="18" customHeight="1" x14ac:dyDescent="0.25">
      <c r="B52" s="276"/>
      <c r="C52" s="22" t="s">
        <v>358</v>
      </c>
      <c r="D52" s="280">
        <f>SUM(D53)+D56</f>
        <v>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2:44" ht="13.5" hidden="1" customHeight="1" x14ac:dyDescent="0.2">
      <c r="B53" s="276"/>
      <c r="C53" s="165" t="s">
        <v>438</v>
      </c>
      <c r="D53" s="288">
        <f>SUM(D54:D55)</f>
        <v>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2:44" s="289" customFormat="1" ht="13.5" hidden="1" customHeight="1" x14ac:dyDescent="0.2">
      <c r="B54" s="276"/>
      <c r="C54" s="165" t="s">
        <v>439</v>
      </c>
      <c r="D54" s="279"/>
      <c r="E54" s="290"/>
      <c r="F54" s="290"/>
      <c r="G54" s="290"/>
      <c r="H54" s="2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  <c r="AO54" s="290"/>
      <c r="AP54" s="290"/>
      <c r="AQ54" s="290"/>
      <c r="AR54" s="290"/>
    </row>
    <row r="55" spans="2:44" s="289" customFormat="1" ht="13.5" hidden="1" customHeight="1" x14ac:dyDescent="0.2">
      <c r="B55" s="276"/>
      <c r="C55" s="165" t="s">
        <v>440</v>
      </c>
      <c r="D55" s="279">
        <v>0</v>
      </c>
      <c r="E55" s="290"/>
      <c r="F55" s="290"/>
      <c r="G55" s="290"/>
      <c r="H55" s="2"/>
      <c r="I55" s="290"/>
      <c r="J55" s="290"/>
      <c r="K55" s="290"/>
      <c r="L55" s="290"/>
      <c r="M55" s="290"/>
      <c r="N55" s="290"/>
      <c r="O55" s="290"/>
      <c r="P55" s="290"/>
      <c r="Q55" s="290"/>
      <c r="R55" s="290"/>
      <c r="S55" s="290"/>
      <c r="T55" s="290"/>
      <c r="U55" s="290"/>
      <c r="V55" s="290"/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  <c r="AN55" s="290"/>
      <c r="AO55" s="290"/>
      <c r="AP55" s="290"/>
      <c r="AQ55" s="290"/>
      <c r="AR55" s="290"/>
    </row>
    <row r="56" spans="2:44" s="289" customFormat="1" ht="13.5" hidden="1" customHeight="1" x14ac:dyDescent="0.2">
      <c r="B56" s="276"/>
      <c r="C56" s="165" t="s">
        <v>441</v>
      </c>
      <c r="D56" s="279"/>
      <c r="E56" s="290"/>
      <c r="F56" s="290"/>
      <c r="G56" s="290"/>
      <c r="H56" s="2"/>
      <c r="I56" s="290"/>
      <c r="J56" s="290"/>
      <c r="K56" s="290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0"/>
      <c r="AO56" s="290"/>
      <c r="AP56" s="290"/>
      <c r="AQ56" s="290"/>
      <c r="AR56" s="290"/>
    </row>
    <row r="57" spans="2:44" ht="18" customHeight="1" thickBot="1" x14ac:dyDescent="0.3">
      <c r="B57" s="276"/>
      <c r="C57" s="22" t="s">
        <v>359</v>
      </c>
      <c r="D57" s="280">
        <f>SUM(D58:D59)</f>
        <v>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2:44" ht="13.5" hidden="1" customHeight="1" x14ac:dyDescent="0.2">
      <c r="B58" s="276"/>
      <c r="C58" s="162" t="s">
        <v>364</v>
      </c>
      <c r="D58" s="279">
        <v>0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2:44" ht="13.5" hidden="1" thickBot="1" x14ac:dyDescent="0.25">
      <c r="B59" s="276"/>
      <c r="C59" s="8" t="s">
        <v>365</v>
      </c>
      <c r="D59" s="279">
        <v>0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2:44" ht="19.5" customHeight="1" thickBot="1" x14ac:dyDescent="0.4">
      <c r="B60" s="276"/>
      <c r="C60" s="43" t="s">
        <v>5</v>
      </c>
      <c r="D60" s="44">
        <f>SUM(D6+D51)</f>
        <v>10680</v>
      </c>
      <c r="E60" s="7">
        <f>D60-D121</f>
        <v>0</v>
      </c>
      <c r="F60" s="7">
        <f>'1.Bev-kiad.'!I64</f>
        <v>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2:44" ht="18" customHeight="1" x14ac:dyDescent="0.25">
      <c r="B61" s="274" t="s">
        <v>194</v>
      </c>
      <c r="C61" s="164" t="s">
        <v>352</v>
      </c>
      <c r="D61" s="291">
        <f>SUM(D62+D106)</f>
        <v>10680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2:44" ht="18" customHeight="1" x14ac:dyDescent="0.25">
      <c r="B62" s="276" t="s">
        <v>191</v>
      </c>
      <c r="C62" s="160" t="s">
        <v>9</v>
      </c>
      <c r="D62" s="277">
        <f>SUM(D64:D105)</f>
        <v>5160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2:44" hidden="1" x14ac:dyDescent="0.2">
      <c r="B63" s="278"/>
      <c r="C63" s="161" t="s">
        <v>442</v>
      </c>
      <c r="D63" s="279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2:44" x14ac:dyDescent="0.2">
      <c r="B64" s="278" t="s">
        <v>469</v>
      </c>
      <c r="C64" s="162" t="s">
        <v>659</v>
      </c>
      <c r="D64" s="279">
        <v>1407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2:44" hidden="1" x14ac:dyDescent="0.2">
      <c r="B65" s="278" t="s">
        <v>469</v>
      </c>
      <c r="C65" s="162" t="s">
        <v>502</v>
      </c>
      <c r="D65" s="279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2:44" hidden="1" x14ac:dyDescent="0.2">
      <c r="B66" s="278" t="s">
        <v>469</v>
      </c>
      <c r="C66" s="162" t="s">
        <v>505</v>
      </c>
      <c r="D66" s="279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2:44" x14ac:dyDescent="0.2">
      <c r="B67" s="278" t="s">
        <v>779</v>
      </c>
      <c r="C67" s="162" t="s">
        <v>780</v>
      </c>
      <c r="D67" s="279">
        <v>2451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2:44" hidden="1" x14ac:dyDescent="0.2">
      <c r="B68" s="278" t="s">
        <v>497</v>
      </c>
      <c r="C68" s="162" t="s">
        <v>645</v>
      </c>
      <c r="D68" s="279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2:44" hidden="1" x14ac:dyDescent="0.2">
      <c r="B69" s="278" t="s">
        <v>497</v>
      </c>
      <c r="C69" s="162" t="s">
        <v>652</v>
      </c>
      <c r="D69" s="279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2:44" x14ac:dyDescent="0.2">
      <c r="B70" s="278" t="s">
        <v>497</v>
      </c>
      <c r="C70" s="162" t="s">
        <v>781</v>
      </c>
      <c r="D70" s="279">
        <v>286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2:44" x14ac:dyDescent="0.2">
      <c r="B71" s="278" t="s">
        <v>497</v>
      </c>
      <c r="C71" s="162" t="s">
        <v>778</v>
      </c>
      <c r="D71" s="279">
        <v>200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2:44" x14ac:dyDescent="0.2">
      <c r="B72" s="278" t="s">
        <v>476</v>
      </c>
      <c r="C72" s="162" t="s">
        <v>751</v>
      </c>
      <c r="D72" s="279">
        <v>500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2:44" x14ac:dyDescent="0.2">
      <c r="B73" s="278" t="s">
        <v>204</v>
      </c>
      <c r="C73" s="162" t="s">
        <v>498</v>
      </c>
      <c r="D73" s="279">
        <f>39+34+319</f>
        <v>392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2:44" hidden="1" x14ac:dyDescent="0.2">
      <c r="B74" s="278" t="s">
        <v>509</v>
      </c>
      <c r="C74" s="162" t="s">
        <v>510</v>
      </c>
      <c r="D74" s="279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2:44" hidden="1" x14ac:dyDescent="0.2">
      <c r="B75" s="278" t="s">
        <v>459</v>
      </c>
      <c r="C75" s="162" t="s">
        <v>585</v>
      </c>
      <c r="D75" s="279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2:44" x14ac:dyDescent="0.2">
      <c r="B76" s="278" t="s">
        <v>459</v>
      </c>
      <c r="C76" s="162" t="s">
        <v>752</v>
      </c>
      <c r="D76" s="279">
        <v>100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2:44" hidden="1" x14ac:dyDescent="0.2">
      <c r="B77" s="278" t="s">
        <v>459</v>
      </c>
      <c r="C77" s="162" t="s">
        <v>291</v>
      </c>
      <c r="D77" s="279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2:44" hidden="1" x14ac:dyDescent="0.2">
      <c r="B78" s="278" t="s">
        <v>478</v>
      </c>
      <c r="C78" s="162" t="s">
        <v>581</v>
      </c>
      <c r="D78" s="279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2:44" hidden="1" x14ac:dyDescent="0.2">
      <c r="B79" s="278" t="s">
        <v>507</v>
      </c>
      <c r="C79" s="162" t="s">
        <v>647</v>
      </c>
      <c r="D79" s="279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2:44" hidden="1" x14ac:dyDescent="0.2">
      <c r="B80" s="278" t="s">
        <v>460</v>
      </c>
      <c r="C80" s="162" t="s">
        <v>650</v>
      </c>
      <c r="D80" s="279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2:44" x14ac:dyDescent="0.2">
      <c r="B81" s="278" t="s">
        <v>460</v>
      </c>
      <c r="C81" s="162" t="s">
        <v>649</v>
      </c>
      <c r="D81" s="279">
        <v>-85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spans="2:44" x14ac:dyDescent="0.2">
      <c r="B82" s="278" t="s">
        <v>508</v>
      </c>
      <c r="C82" s="162" t="s">
        <v>745</v>
      </c>
      <c r="D82" s="279">
        <v>100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spans="2:44" x14ac:dyDescent="0.2">
      <c r="B83" s="278" t="s">
        <v>477</v>
      </c>
      <c r="C83" s="162" t="s">
        <v>763</v>
      </c>
      <c r="D83" s="279">
        <v>700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2:44" hidden="1" x14ac:dyDescent="0.2">
      <c r="B84" s="278" t="s">
        <v>477</v>
      </c>
      <c r="C84" s="162" t="s">
        <v>646</v>
      </c>
      <c r="D84" s="279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2:44" hidden="1" x14ac:dyDescent="0.2">
      <c r="B85" s="278" t="s">
        <v>477</v>
      </c>
      <c r="C85" s="162" t="s">
        <v>661</v>
      </c>
      <c r="D85" s="279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spans="2:44" x14ac:dyDescent="0.2">
      <c r="B86" s="278" t="s">
        <v>759</v>
      </c>
      <c r="C86" s="162" t="s">
        <v>760</v>
      </c>
      <c r="D86" s="279">
        <v>280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spans="2:44" hidden="1" x14ac:dyDescent="0.2">
      <c r="B87" s="278" t="s">
        <v>448</v>
      </c>
      <c r="C87" s="8" t="s">
        <v>653</v>
      </c>
      <c r="D87" s="279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2:44" hidden="1" x14ac:dyDescent="0.2">
      <c r="B88" s="278" t="s">
        <v>448</v>
      </c>
      <c r="C88" s="162" t="s">
        <v>580</v>
      </c>
      <c r="D88" s="279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2:44" hidden="1" x14ac:dyDescent="0.2">
      <c r="B89" s="278" t="s">
        <v>448</v>
      </c>
      <c r="C89" s="8" t="s">
        <v>388</v>
      </c>
      <c r="D89" s="279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2:44" hidden="1" x14ac:dyDescent="0.2">
      <c r="B90" s="278" t="s">
        <v>448</v>
      </c>
      <c r="C90" s="8" t="s">
        <v>481</v>
      </c>
      <c r="D90" s="279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2:44" x14ac:dyDescent="0.2">
      <c r="B91" s="278" t="s">
        <v>471</v>
      </c>
      <c r="C91" s="8" t="s">
        <v>765</v>
      </c>
      <c r="D91" s="279">
        <v>450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2:44" x14ac:dyDescent="0.2">
      <c r="B92" s="278" t="s">
        <v>471</v>
      </c>
      <c r="C92" s="8" t="s">
        <v>754</v>
      </c>
      <c r="D92" s="279">
        <v>1203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2:44" hidden="1" x14ac:dyDescent="0.2">
      <c r="B93" s="278" t="s">
        <v>471</v>
      </c>
      <c r="C93" s="162" t="s">
        <v>654</v>
      </c>
      <c r="D93" s="279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2:44" x14ac:dyDescent="0.2">
      <c r="B94" s="278" t="s">
        <v>766</v>
      </c>
      <c r="C94" s="162" t="s">
        <v>767</v>
      </c>
      <c r="D94" s="279">
        <v>250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spans="2:44" x14ac:dyDescent="0.2">
      <c r="B95" s="278" t="s">
        <v>451</v>
      </c>
      <c r="C95" s="162" t="s">
        <v>753</v>
      </c>
      <c r="D95" s="279">
        <f>197+49</f>
        <v>246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2:44" hidden="1" x14ac:dyDescent="0.2">
      <c r="B96" s="278" t="s">
        <v>474</v>
      </c>
      <c r="C96" s="162" t="s">
        <v>475</v>
      </c>
      <c r="D96" s="279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2:44" hidden="1" x14ac:dyDescent="0.2">
      <c r="B97" s="278" t="s">
        <v>474</v>
      </c>
      <c r="C97" s="162" t="s">
        <v>651</v>
      </c>
      <c r="D97" s="279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2:44" hidden="1" x14ac:dyDescent="0.2">
      <c r="B98" s="278" t="s">
        <v>456</v>
      </c>
      <c r="C98" s="162" t="s">
        <v>457</v>
      </c>
      <c r="D98" s="279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2:44" x14ac:dyDescent="0.2">
      <c r="B99" s="278" t="s">
        <v>655</v>
      </c>
      <c r="C99" s="162" t="s">
        <v>762</v>
      </c>
      <c r="D99" s="279">
        <v>-500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2:44" x14ac:dyDescent="0.2">
      <c r="B100" s="278" t="s">
        <v>595</v>
      </c>
      <c r="C100" s="162" t="s">
        <v>768</v>
      </c>
      <c r="D100" s="279">
        <v>61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2:44" x14ac:dyDescent="0.2">
      <c r="B101" s="278" t="s">
        <v>595</v>
      </c>
      <c r="C101" s="162" t="s">
        <v>769</v>
      </c>
      <c r="D101" s="279">
        <v>-11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2:44" x14ac:dyDescent="0.2">
      <c r="B102" s="278" t="s">
        <v>473</v>
      </c>
      <c r="C102" s="198" t="s">
        <v>479</v>
      </c>
      <c r="D102" s="279">
        <v>1000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spans="2:44" hidden="1" x14ac:dyDescent="0.2">
      <c r="B103" s="278" t="s">
        <v>473</v>
      </c>
      <c r="C103" s="198" t="s">
        <v>657</v>
      </c>
      <c r="D103" s="279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spans="2:44" x14ac:dyDescent="0.2">
      <c r="B104" s="278" t="s">
        <v>443</v>
      </c>
      <c r="C104" s="162" t="s">
        <v>480</v>
      </c>
      <c r="D104" s="279">
        <f>-100+800+274+400+203-1407-700-270-250-50-2770</f>
        <v>-3870</v>
      </c>
      <c r="E104" s="2"/>
      <c r="F104" s="7">
        <f>'2.működés'!I112</f>
        <v>0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2:44" ht="13.5" hidden="1" customHeight="1" x14ac:dyDescent="0.2">
      <c r="B105" s="278" t="s">
        <v>443</v>
      </c>
      <c r="C105" s="11" t="s">
        <v>512</v>
      </c>
      <c r="D105" s="279">
        <f>-650+650</f>
        <v>0</v>
      </c>
      <c r="E105" s="2"/>
      <c r="F105" s="7">
        <f>'2.működés'!I112</f>
        <v>0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spans="2:44" ht="18" customHeight="1" x14ac:dyDescent="0.25">
      <c r="B106" s="276" t="s">
        <v>192</v>
      </c>
      <c r="C106" s="160" t="s">
        <v>214</v>
      </c>
      <c r="D106" s="280">
        <f>SUM(D107:D117)</f>
        <v>5520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spans="2:44" ht="13.5" customHeight="1" x14ac:dyDescent="0.2">
      <c r="B107" s="278" t="s">
        <v>239</v>
      </c>
      <c r="C107" s="306" t="s">
        <v>744</v>
      </c>
      <c r="D107" s="279">
        <v>5749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</row>
    <row r="108" spans="2:44" ht="13.5" hidden="1" customHeight="1" x14ac:dyDescent="0.2">
      <c r="B108" s="278" t="s">
        <v>239</v>
      </c>
      <c r="C108" s="306" t="s">
        <v>583</v>
      </c>
      <c r="D108" s="279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</row>
    <row r="109" spans="2:44" ht="13.5" hidden="1" customHeight="1" x14ac:dyDescent="0.2">
      <c r="B109" s="278"/>
      <c r="C109" s="198"/>
      <c r="D109" s="279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spans="2:44" ht="13.5" hidden="1" customHeight="1" x14ac:dyDescent="0.2">
      <c r="B110" s="278" t="s">
        <v>239</v>
      </c>
      <c r="C110" s="198" t="s">
        <v>586</v>
      </c>
      <c r="D110" s="279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spans="2:44" ht="13.5" hidden="1" customHeight="1" x14ac:dyDescent="0.2">
      <c r="B111" s="278" t="s">
        <v>239</v>
      </c>
      <c r="C111" s="198" t="s">
        <v>590</v>
      </c>
      <c r="D111" s="279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spans="2:44" ht="13.5" customHeight="1" x14ac:dyDescent="0.2">
      <c r="B112" s="278" t="s">
        <v>495</v>
      </c>
      <c r="C112" s="8" t="s">
        <v>764</v>
      </c>
      <c r="D112" s="279">
        <v>-229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</row>
    <row r="113" spans="2:44" ht="13.5" hidden="1" customHeight="1" x14ac:dyDescent="0.2">
      <c r="B113" s="278" t="s">
        <v>495</v>
      </c>
      <c r="C113" s="8" t="s">
        <v>511</v>
      </c>
      <c r="D113" s="279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spans="2:44" ht="13.5" hidden="1" customHeight="1" x14ac:dyDescent="0.2">
      <c r="B114" s="278"/>
      <c r="C114" s="19"/>
      <c r="D114" s="279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spans="2:44" ht="13.5" hidden="1" customHeight="1" x14ac:dyDescent="0.2">
      <c r="B115" s="278"/>
      <c r="C115" s="162" t="s">
        <v>444</v>
      </c>
      <c r="D115" s="279">
        <v>0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spans="2:44" ht="13.5" hidden="1" customHeight="1" x14ac:dyDescent="0.2">
      <c r="B116" s="278"/>
      <c r="C116" s="162"/>
      <c r="D116" s="279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2:44" ht="13.5" hidden="1" customHeight="1" x14ac:dyDescent="0.2">
      <c r="B117" s="278"/>
      <c r="C117" s="172" t="s">
        <v>517</v>
      </c>
      <c r="D117" s="292"/>
      <c r="E117" s="2"/>
      <c r="F117" s="7">
        <f>'3.felh'!I65+'3.felh'!I66+'3.felh'!I67+'3.felh'!I68</f>
        <v>3450219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2:44" ht="18" customHeight="1" thickBot="1" x14ac:dyDescent="0.3">
      <c r="B118" s="276" t="s">
        <v>193</v>
      </c>
      <c r="C118" s="210" t="s">
        <v>366</v>
      </c>
      <c r="D118" s="293">
        <f>SUM(D119:D120)</f>
        <v>0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spans="2:44" ht="13.5" hidden="1" customHeight="1" x14ac:dyDescent="0.2">
      <c r="B119" s="278" t="s">
        <v>445</v>
      </c>
      <c r="C119" s="162" t="s">
        <v>446</v>
      </c>
      <c r="D119" s="279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spans="2:44" ht="13.5" hidden="1" customHeight="1" thickBot="1" x14ac:dyDescent="0.25">
      <c r="B120" s="278" t="s">
        <v>382</v>
      </c>
      <c r="C120" s="162" t="s">
        <v>447</v>
      </c>
      <c r="D120" s="279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spans="2:44" ht="20.25" customHeight="1" thickBot="1" x14ac:dyDescent="0.4">
      <c r="B121" s="294"/>
      <c r="C121" s="47" t="s">
        <v>8</v>
      </c>
      <c r="D121" s="44">
        <f>SUM(D61+D118)</f>
        <v>10680</v>
      </c>
      <c r="E121" s="7">
        <f>D121-D60</f>
        <v>0</v>
      </c>
      <c r="F121" s="7">
        <f>'1.Bev-kiad.'!I82</f>
        <v>0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spans="2:44" ht="15.75" customHeight="1" x14ac:dyDescent="0.2">
      <c r="D122" s="7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spans="2:44" ht="15.75" customHeight="1" x14ac:dyDescent="0.2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spans="2:44" ht="15.75" customHeight="1" x14ac:dyDescent="0.2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2:44" ht="15.75" customHeight="1" x14ac:dyDescent="0.2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2:44" ht="15.75" customHeight="1" x14ac:dyDescent="0.2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spans="2:44" ht="15.75" customHeight="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2:44" ht="15.75" customHeight="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3:44" ht="15.75" customHeight="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spans="3:44" ht="15.75" customHeight="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spans="3:44" ht="15.75" customHeight="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  <row r="132" spans="3:44" ht="15.75" customHeight="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</row>
    <row r="133" spans="3:44" ht="15.75" customHeight="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</row>
    <row r="134" spans="3:44" ht="15.75" customHeight="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</row>
    <row r="135" spans="3:44" ht="15.75" customHeight="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</row>
    <row r="136" spans="3:44" ht="15.75" customHeight="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spans="3:44" ht="15.75" customHeight="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</row>
    <row r="138" spans="3:44" ht="15.75" customHeight="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</row>
    <row r="139" spans="3:44" ht="15.75" customHeight="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</row>
    <row r="140" spans="3:44" ht="15.75" customHeight="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</row>
    <row r="141" spans="3:44" ht="15.75" customHeight="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</row>
    <row r="142" spans="3:44" ht="15.75" customHeight="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</row>
    <row r="143" spans="3:44" ht="15.75" customHeight="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</row>
    <row r="144" spans="3:44" ht="15.75" customHeight="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</row>
    <row r="145" spans="3:44" ht="15.75" customHeight="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</row>
    <row r="146" spans="3:44" ht="15.75" customHeight="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</row>
    <row r="147" spans="3:44" ht="15.75" customHeight="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</row>
    <row r="148" spans="3:44" ht="15.75" customHeight="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</row>
    <row r="149" spans="3:44" ht="15.75" customHeight="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</row>
    <row r="150" spans="3:44" ht="15.75" customHeight="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</row>
    <row r="151" spans="3:44" ht="15.75" customHeight="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</row>
    <row r="152" spans="3:44" ht="15.75" customHeight="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</row>
    <row r="153" spans="3:44" ht="15.75" customHeight="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</row>
    <row r="154" spans="3:44" ht="15.75" customHeight="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</row>
    <row r="155" spans="3:44" ht="15.75" customHeight="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</row>
    <row r="156" spans="3:44" ht="15.75" customHeight="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</row>
    <row r="157" spans="3:44" ht="15.75" customHeight="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</row>
    <row r="158" spans="3:44" ht="15.75" customHeight="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</row>
    <row r="159" spans="3:44" ht="15.75" customHeight="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</row>
    <row r="160" spans="3:44" ht="15.75" customHeight="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</row>
    <row r="161" spans="3:44" ht="15.75" customHeight="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</row>
    <row r="162" spans="3:44" ht="15.75" customHeight="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</row>
    <row r="163" spans="3:44" ht="15.75" customHeight="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</row>
    <row r="164" spans="3:44" ht="15.75" customHeight="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</row>
    <row r="165" spans="3:44" ht="15.75" customHeight="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</row>
    <row r="166" spans="3:44" ht="15.75" customHeight="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</row>
    <row r="167" spans="3:44" ht="15.75" customHeight="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</row>
    <row r="168" spans="3:44" ht="15.75" customHeight="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</row>
    <row r="169" spans="3:44" ht="15.75" customHeight="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</row>
    <row r="170" spans="3:44" ht="15.75" customHeight="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</row>
    <row r="171" spans="3:44" ht="15.75" customHeight="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</row>
    <row r="172" spans="3:44" ht="15.75" customHeight="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</row>
    <row r="173" spans="3:44" ht="15.75" customHeight="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</row>
    <row r="174" spans="3:44" ht="15.75" customHeight="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</row>
    <row r="175" spans="3:44" ht="15.75" customHeight="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</row>
    <row r="176" spans="3:44" ht="15.75" customHeight="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</row>
    <row r="177" spans="3:44" ht="15.75" customHeight="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</row>
    <row r="178" spans="3:44" ht="15.75" customHeight="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</row>
    <row r="179" spans="3:44" ht="15.75" customHeight="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</row>
    <row r="180" spans="3:44" ht="15.75" customHeight="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</row>
    <row r="181" spans="3:44" ht="15.75" customHeight="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</row>
    <row r="182" spans="3:44" ht="15.75" customHeight="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</row>
    <row r="183" spans="3:44" ht="15.75" customHeight="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</row>
    <row r="184" spans="3:44" ht="15.75" customHeight="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</row>
    <row r="185" spans="3:44" ht="15.75" customHeight="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</row>
    <row r="186" spans="3:44" ht="15.75" customHeight="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</row>
    <row r="187" spans="3:44" ht="15.75" customHeight="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</row>
    <row r="188" spans="3:44" ht="15.75" customHeight="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</row>
    <row r="189" spans="3:44" ht="15.75" customHeight="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</row>
    <row r="190" spans="3:44" ht="15.75" customHeight="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</row>
    <row r="191" spans="3:44" ht="15.75" customHeight="1" x14ac:dyDescent="0.2"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</row>
    <row r="192" spans="3:44" ht="15.75" customHeight="1" x14ac:dyDescent="0.2"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</row>
    <row r="193" spans="3:44" ht="15.75" customHeight="1" x14ac:dyDescent="0.2"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</row>
    <row r="194" spans="3:44" ht="15.75" customHeight="1" x14ac:dyDescent="0.2"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</row>
    <row r="195" spans="3:44" ht="15.75" customHeight="1" x14ac:dyDescent="0.2"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</row>
    <row r="196" spans="3:44" ht="15.75" customHeight="1" x14ac:dyDescent="0.2"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</row>
    <row r="197" spans="3:44" ht="15.75" customHeight="1" x14ac:dyDescent="0.2"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</row>
    <row r="198" spans="3:44" ht="15.75" customHeight="1" x14ac:dyDescent="0.2"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</row>
    <row r="199" spans="3:44" ht="15.75" customHeight="1" x14ac:dyDescent="0.2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</row>
    <row r="200" spans="3:44" ht="15.75" customHeight="1" x14ac:dyDescent="0.2"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</row>
    <row r="201" spans="3:44" ht="15.75" customHeight="1" x14ac:dyDescent="0.2"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</row>
    <row r="202" spans="3:44" ht="15.75" customHeight="1" x14ac:dyDescent="0.2"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</row>
    <row r="203" spans="3:44" ht="15.75" customHeight="1" x14ac:dyDescent="0.2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</row>
    <row r="204" spans="3:44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</row>
    <row r="205" spans="3:44" ht="15.75" customHeight="1" x14ac:dyDescent="0.2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</row>
    <row r="206" spans="3:44" ht="15.75" customHeight="1" x14ac:dyDescent="0.2">
      <c r="C206" s="2"/>
      <c r="D206" s="28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</row>
    <row r="207" spans="3:44" ht="15.75" customHeight="1" x14ac:dyDescent="0.2">
      <c r="C207" s="2"/>
      <c r="D207" s="28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</row>
    <row r="208" spans="3:44" ht="15.75" customHeight="1" x14ac:dyDescent="0.2">
      <c r="C208" s="2"/>
      <c r="D208" s="28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</row>
    <row r="209" spans="3:44" ht="15.75" customHeight="1" x14ac:dyDescent="0.2">
      <c r="C209" s="2"/>
      <c r="D209" s="28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</row>
    <row r="210" spans="3:44" ht="15.75" customHeight="1" x14ac:dyDescent="0.2">
      <c r="C210" s="2"/>
      <c r="D210" s="28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</row>
    <row r="211" spans="3:44" ht="15.75" customHeight="1" x14ac:dyDescent="0.2">
      <c r="C211" s="2"/>
      <c r="D211" s="28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</row>
    <row r="212" spans="3:44" ht="15.75" customHeight="1" x14ac:dyDescent="0.2">
      <c r="C212" s="2"/>
      <c r="D212" s="28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</row>
    <row r="213" spans="3:44" ht="15.75" customHeight="1" x14ac:dyDescent="0.2">
      <c r="C213" s="2"/>
      <c r="D213" s="28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</row>
    <row r="214" spans="3:44" ht="15.75" customHeight="1" x14ac:dyDescent="0.2">
      <c r="C214" s="2"/>
      <c r="D214" s="28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</row>
    <row r="215" spans="3:44" ht="15.75" customHeight="1" x14ac:dyDescent="0.2">
      <c r="C215" s="2"/>
      <c r="D215" s="28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</row>
    <row r="216" spans="3:44" ht="15.75" customHeight="1" x14ac:dyDescent="0.2">
      <c r="C216" s="2"/>
      <c r="D216" s="28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</row>
    <row r="217" spans="3:44" ht="15.75" customHeight="1" x14ac:dyDescent="0.2">
      <c r="C217" s="2"/>
      <c r="D217" s="28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</row>
    <row r="218" spans="3:44" ht="15.75" customHeight="1" x14ac:dyDescent="0.2">
      <c r="C218" s="2"/>
      <c r="D218" s="28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</row>
    <row r="219" spans="3:44" ht="15.75" customHeight="1" x14ac:dyDescent="0.2">
      <c r="C219" s="2"/>
      <c r="D219" s="28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</row>
    <row r="220" spans="3:44" ht="15.75" customHeight="1" x14ac:dyDescent="0.2">
      <c r="C220" s="2"/>
      <c r="D220" s="28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</row>
    <row r="221" spans="3:44" ht="15.75" customHeight="1" x14ac:dyDescent="0.2">
      <c r="C221" s="2"/>
      <c r="D221" s="28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</row>
    <row r="222" spans="3:44" ht="15.75" customHeight="1" x14ac:dyDescent="0.2">
      <c r="C222" s="2"/>
      <c r="D222" s="28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</row>
    <row r="223" spans="3:44" ht="15.75" customHeight="1" x14ac:dyDescent="0.2">
      <c r="C223" s="2"/>
      <c r="D223" s="28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</row>
    <row r="224" spans="3:44" ht="15.75" customHeight="1" x14ac:dyDescent="0.2">
      <c r="C224" s="2"/>
      <c r="D224" s="28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</row>
    <row r="225" spans="3:44" ht="15.75" customHeight="1" x14ac:dyDescent="0.2">
      <c r="C225" s="2"/>
      <c r="D225" s="28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</row>
    <row r="226" spans="3:44" ht="15.75" customHeight="1" x14ac:dyDescent="0.2">
      <c r="C226" s="2"/>
      <c r="D226" s="28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</row>
    <row r="227" spans="3:44" ht="15.75" customHeight="1" x14ac:dyDescent="0.2">
      <c r="C227" s="2"/>
      <c r="D227" s="28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</row>
    <row r="228" spans="3:44" ht="15.75" customHeight="1" x14ac:dyDescent="0.2">
      <c r="C228" s="2"/>
      <c r="D228" s="28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</row>
    <row r="229" spans="3:44" ht="15.75" customHeight="1" x14ac:dyDescent="0.2">
      <c r="C229" s="2"/>
      <c r="D229" s="28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</row>
    <row r="230" spans="3:44" ht="15.75" customHeight="1" x14ac:dyDescent="0.2">
      <c r="C230" s="2"/>
      <c r="D230" s="28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</row>
    <row r="231" spans="3:44" ht="15.75" customHeight="1" x14ac:dyDescent="0.2">
      <c r="C231" s="2"/>
      <c r="D231" s="28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</row>
    <row r="232" spans="3:44" ht="15.75" customHeight="1" x14ac:dyDescent="0.2">
      <c r="C232" s="2"/>
      <c r="D232" s="28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</row>
    <row r="233" spans="3:44" ht="15.75" customHeight="1" x14ac:dyDescent="0.2">
      <c r="C233" s="2"/>
      <c r="D233" s="28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</row>
    <row r="234" spans="3:44" ht="15.75" customHeight="1" x14ac:dyDescent="0.2">
      <c r="C234" s="2"/>
      <c r="D234" s="28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</row>
    <row r="235" spans="3:44" ht="15.75" customHeight="1" x14ac:dyDescent="0.2">
      <c r="C235" s="2"/>
      <c r="D235" s="28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</row>
    <row r="236" spans="3:44" ht="15.75" customHeight="1" x14ac:dyDescent="0.2">
      <c r="C236" s="2"/>
      <c r="D236" s="28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</row>
    <row r="237" spans="3:44" ht="15.75" customHeight="1" x14ac:dyDescent="0.2">
      <c r="C237" s="2"/>
      <c r="D237" s="28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</row>
    <row r="238" spans="3:44" ht="15.75" customHeight="1" x14ac:dyDescent="0.2">
      <c r="C238" s="2"/>
      <c r="D238" s="28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</row>
    <row r="239" spans="3:44" ht="15.75" customHeight="1" x14ac:dyDescent="0.2">
      <c r="C239" s="2"/>
      <c r="D239" s="28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</row>
    <row r="240" spans="3:44" ht="15.75" customHeight="1" x14ac:dyDescent="0.2">
      <c r="C240" s="2"/>
      <c r="D240" s="28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</row>
    <row r="241" spans="3:44" ht="15.75" customHeight="1" x14ac:dyDescent="0.2">
      <c r="C241" s="2"/>
      <c r="D241" s="28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</row>
    <row r="242" spans="3:44" ht="15.75" customHeight="1" x14ac:dyDescent="0.2">
      <c r="C242" s="2"/>
      <c r="D242" s="28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</row>
    <row r="243" spans="3:44" ht="15.75" customHeight="1" x14ac:dyDescent="0.2">
      <c r="C243" s="2"/>
      <c r="D243" s="28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</row>
    <row r="244" spans="3:44" ht="15.75" customHeight="1" x14ac:dyDescent="0.2">
      <c r="C244" s="2"/>
      <c r="D244" s="28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</row>
    <row r="245" spans="3:44" ht="15.75" customHeight="1" x14ac:dyDescent="0.2">
      <c r="C245" s="2"/>
      <c r="D245" s="28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</row>
    <row r="246" spans="3:44" ht="15.75" customHeight="1" x14ac:dyDescent="0.2">
      <c r="C246" s="2"/>
      <c r="D246" s="28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</row>
    <row r="247" spans="3:44" ht="15.75" customHeight="1" x14ac:dyDescent="0.2">
      <c r="C247" s="2"/>
      <c r="D247" s="28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</row>
    <row r="248" spans="3:44" ht="15.75" customHeight="1" x14ac:dyDescent="0.2">
      <c r="C248" s="2"/>
      <c r="D248" s="28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</row>
    <row r="249" spans="3:44" ht="15.75" customHeight="1" x14ac:dyDescent="0.2">
      <c r="C249" s="2"/>
      <c r="D249" s="28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</row>
    <row r="250" spans="3:44" ht="15.75" customHeight="1" x14ac:dyDescent="0.2">
      <c r="C250" s="2"/>
      <c r="D250" s="28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</row>
    <row r="251" spans="3:44" ht="15.75" customHeight="1" x14ac:dyDescent="0.2">
      <c r="C251" s="2"/>
      <c r="D251" s="28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</row>
    <row r="252" spans="3:44" ht="15.75" customHeight="1" x14ac:dyDescent="0.2">
      <c r="C252" s="2"/>
      <c r="D252" s="28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</row>
    <row r="253" spans="3:44" ht="15.75" customHeight="1" x14ac:dyDescent="0.2">
      <c r="C253" s="2"/>
      <c r="D253" s="28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</row>
    <row r="254" spans="3:44" ht="15.75" customHeight="1" x14ac:dyDescent="0.2">
      <c r="C254" s="2"/>
      <c r="D254" s="28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</row>
    <row r="255" spans="3:44" ht="15.75" customHeight="1" x14ac:dyDescent="0.2">
      <c r="C255" s="2"/>
      <c r="D255" s="28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</row>
    <row r="256" spans="3:44" ht="15.75" customHeight="1" x14ac:dyDescent="0.2">
      <c r="C256" s="2"/>
      <c r="D256" s="28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</row>
    <row r="257" spans="3:44" ht="15.75" customHeight="1" x14ac:dyDescent="0.2">
      <c r="C257" s="2"/>
      <c r="D257" s="28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</row>
    <row r="258" spans="3:44" ht="15.75" customHeight="1" x14ac:dyDescent="0.2">
      <c r="C258" s="2"/>
      <c r="D258" s="28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</row>
    <row r="259" spans="3:44" ht="15.75" customHeight="1" x14ac:dyDescent="0.2">
      <c r="C259" s="2"/>
      <c r="D259" s="28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</row>
    <row r="260" spans="3:44" ht="15.75" customHeight="1" x14ac:dyDescent="0.2">
      <c r="C260" s="2"/>
      <c r="D260" s="28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</row>
    <row r="261" spans="3:44" ht="15.75" customHeight="1" x14ac:dyDescent="0.2">
      <c r="C261" s="2"/>
      <c r="D261" s="28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</row>
    <row r="262" spans="3:44" ht="15.75" customHeight="1" x14ac:dyDescent="0.2">
      <c r="C262" s="2"/>
      <c r="D262" s="28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</row>
    <row r="263" spans="3:44" ht="15.75" customHeight="1" x14ac:dyDescent="0.2">
      <c r="C263" s="2"/>
      <c r="D263" s="28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</row>
    <row r="264" spans="3:44" ht="15.75" customHeight="1" x14ac:dyDescent="0.2">
      <c r="C264" s="2"/>
      <c r="D264" s="28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</row>
    <row r="265" spans="3:44" ht="15.75" customHeight="1" x14ac:dyDescent="0.2">
      <c r="C265" s="2"/>
      <c r="D265" s="28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</row>
    <row r="266" spans="3:44" ht="15.75" customHeight="1" x14ac:dyDescent="0.2">
      <c r="C266" s="2"/>
      <c r="D266" s="28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</row>
    <row r="267" spans="3:44" ht="15.75" customHeight="1" x14ac:dyDescent="0.2">
      <c r="C267" s="2"/>
      <c r="D267" s="28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  <row r="268" spans="3:44" ht="15.75" customHeight="1" x14ac:dyDescent="0.2">
      <c r="C268" s="2"/>
      <c r="D268" s="28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</row>
    <row r="269" spans="3:44" ht="15.75" customHeight="1" x14ac:dyDescent="0.2">
      <c r="C269" s="2"/>
      <c r="D269" s="28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</row>
    <row r="270" spans="3:44" ht="15.75" customHeight="1" x14ac:dyDescent="0.2">
      <c r="C270" s="2"/>
      <c r="D270" s="28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</row>
    <row r="271" spans="3:44" ht="15.75" customHeight="1" x14ac:dyDescent="0.2">
      <c r="C271" s="2"/>
      <c r="D271" s="28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</row>
    <row r="272" spans="3:44" ht="15.75" customHeight="1" x14ac:dyDescent="0.2">
      <c r="C272" s="2"/>
      <c r="D272" s="28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</row>
    <row r="273" spans="3:44" ht="15.75" customHeight="1" x14ac:dyDescent="0.2">
      <c r="C273" s="2"/>
      <c r="D273" s="28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</row>
    <row r="274" spans="3:44" ht="15.75" customHeight="1" x14ac:dyDescent="0.2">
      <c r="C274" s="2"/>
      <c r="D274" s="28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</row>
    <row r="275" spans="3:44" ht="15.75" customHeight="1" x14ac:dyDescent="0.2">
      <c r="C275" s="2"/>
      <c r="D275" s="28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</row>
    <row r="276" spans="3:44" ht="15.75" customHeight="1" x14ac:dyDescent="0.2">
      <c r="C276" s="2"/>
      <c r="D276" s="28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</row>
    <row r="277" spans="3:44" ht="15.75" customHeight="1" x14ac:dyDescent="0.2">
      <c r="C277" s="2"/>
      <c r="D277" s="28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</row>
    <row r="278" spans="3:44" ht="15.75" customHeight="1" x14ac:dyDescent="0.2">
      <c r="C278" s="2"/>
      <c r="D278" s="28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</row>
    <row r="279" spans="3:44" ht="15.75" customHeight="1" x14ac:dyDescent="0.2">
      <c r="C279" s="2"/>
      <c r="D279" s="28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</row>
    <row r="280" spans="3:44" ht="15.75" customHeight="1" x14ac:dyDescent="0.2">
      <c r="C280" s="2"/>
      <c r="D280" s="28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</row>
    <row r="281" spans="3:44" ht="15.75" customHeight="1" x14ac:dyDescent="0.2">
      <c r="C281" s="2"/>
      <c r="D281" s="28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</row>
    <row r="282" spans="3:44" ht="15.75" customHeight="1" x14ac:dyDescent="0.2">
      <c r="C282" s="2"/>
      <c r="D282" s="28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</row>
    <row r="283" spans="3:44" ht="15.75" customHeight="1" x14ac:dyDescent="0.2">
      <c r="C283" s="2"/>
      <c r="D283" s="28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</row>
    <row r="284" spans="3:44" ht="15.75" customHeight="1" x14ac:dyDescent="0.2">
      <c r="C284" s="2"/>
      <c r="D284" s="28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</row>
    <row r="285" spans="3:44" ht="15.75" customHeight="1" x14ac:dyDescent="0.2">
      <c r="C285" s="2"/>
      <c r="D285" s="28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</row>
    <row r="286" spans="3:44" ht="15.75" customHeight="1" x14ac:dyDescent="0.2">
      <c r="C286" s="2"/>
      <c r="D286" s="28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</row>
    <row r="287" spans="3:44" ht="15.75" customHeight="1" x14ac:dyDescent="0.2">
      <c r="C287" s="2"/>
      <c r="D287" s="28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</row>
    <row r="288" spans="3:44" ht="15.75" customHeight="1" x14ac:dyDescent="0.2">
      <c r="C288" s="2"/>
      <c r="D288" s="28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</row>
    <row r="289" spans="3:44" ht="15.75" customHeight="1" x14ac:dyDescent="0.2">
      <c r="C289" s="2"/>
      <c r="D289" s="28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</row>
    <row r="290" spans="3:44" ht="15.75" customHeight="1" x14ac:dyDescent="0.2">
      <c r="C290" s="2"/>
      <c r="D290" s="28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</row>
    <row r="291" spans="3:44" ht="15.75" customHeight="1" x14ac:dyDescent="0.2">
      <c r="C291" s="2"/>
      <c r="D291" s="28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</row>
    <row r="292" spans="3:44" ht="15.75" customHeight="1" x14ac:dyDescent="0.2">
      <c r="C292" s="2"/>
      <c r="D292" s="28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</row>
    <row r="293" spans="3:44" ht="15.75" customHeight="1" x14ac:dyDescent="0.2">
      <c r="C293" s="2"/>
      <c r="D293" s="28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</row>
    <row r="294" spans="3:44" ht="15.75" customHeight="1" x14ac:dyDescent="0.2">
      <c r="C294" s="2"/>
      <c r="D294" s="28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</row>
    <row r="295" spans="3:44" ht="15.75" customHeight="1" x14ac:dyDescent="0.2">
      <c r="C295" s="2"/>
      <c r="D295" s="28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</row>
    <row r="296" spans="3:44" ht="15.75" customHeight="1" x14ac:dyDescent="0.2">
      <c r="C296" s="2"/>
      <c r="D296" s="28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</row>
    <row r="297" spans="3:44" ht="15.75" customHeight="1" x14ac:dyDescent="0.2">
      <c r="C297" s="2"/>
      <c r="D297" s="28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</row>
    <row r="298" spans="3:44" ht="15.75" customHeight="1" x14ac:dyDescent="0.2">
      <c r="C298" s="2"/>
      <c r="D298" s="28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</row>
    <row r="299" spans="3:44" ht="15.75" customHeight="1" x14ac:dyDescent="0.2">
      <c r="C299" s="2"/>
      <c r="D299" s="28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</row>
    <row r="300" spans="3:44" ht="15.75" customHeight="1" x14ac:dyDescent="0.2">
      <c r="C300" s="2"/>
      <c r="D300" s="28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</row>
    <row r="301" spans="3:44" ht="15.75" customHeight="1" x14ac:dyDescent="0.2">
      <c r="C301" s="2"/>
      <c r="D301" s="28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</row>
    <row r="302" spans="3:44" ht="15.75" customHeight="1" x14ac:dyDescent="0.2">
      <c r="C302" s="2"/>
      <c r="D302" s="28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</row>
    <row r="303" spans="3:44" ht="15.75" customHeight="1" x14ac:dyDescent="0.2">
      <c r="C303" s="2"/>
      <c r="D303" s="28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</row>
    <row r="304" spans="3:44" ht="15.75" customHeight="1" x14ac:dyDescent="0.2">
      <c r="C304" s="2"/>
      <c r="D304" s="28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</row>
    <row r="305" spans="3:44" ht="15.75" customHeight="1" x14ac:dyDescent="0.2">
      <c r="C305" s="2"/>
      <c r="D305" s="28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</row>
    <row r="306" spans="3:44" ht="15.75" customHeight="1" x14ac:dyDescent="0.2">
      <c r="C306" s="2"/>
      <c r="D306" s="28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</row>
    <row r="307" spans="3:44" ht="15.75" customHeight="1" x14ac:dyDescent="0.2">
      <c r="C307" s="2"/>
      <c r="D307" s="28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</row>
    <row r="308" spans="3:44" ht="15.75" customHeight="1" x14ac:dyDescent="0.2">
      <c r="C308" s="2"/>
      <c r="D308" s="28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</row>
    <row r="309" spans="3:44" ht="15.75" customHeight="1" x14ac:dyDescent="0.2">
      <c r="C309" s="2"/>
      <c r="D309" s="28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</row>
    <row r="310" spans="3:44" ht="15.75" customHeight="1" x14ac:dyDescent="0.2">
      <c r="C310" s="2"/>
      <c r="D310" s="28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</row>
    <row r="311" spans="3:44" ht="15.75" customHeight="1" x14ac:dyDescent="0.2">
      <c r="C311" s="2"/>
      <c r="D311" s="28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</row>
    <row r="312" spans="3:44" ht="15.75" customHeight="1" x14ac:dyDescent="0.2">
      <c r="C312" s="2"/>
      <c r="D312" s="28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</row>
    <row r="313" spans="3:44" ht="15.75" customHeight="1" x14ac:dyDescent="0.2">
      <c r="C313" s="2"/>
      <c r="D313" s="28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</row>
    <row r="314" spans="3:44" ht="15.75" customHeight="1" x14ac:dyDescent="0.2">
      <c r="C314" s="2"/>
      <c r="D314" s="28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</row>
    <row r="315" spans="3:44" ht="15.75" customHeight="1" x14ac:dyDescent="0.2">
      <c r="C315" s="2"/>
      <c r="D315" s="28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</row>
    <row r="316" spans="3:44" ht="15.75" customHeight="1" x14ac:dyDescent="0.2">
      <c r="C316" s="2"/>
      <c r="D316" s="28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</row>
    <row r="317" spans="3:44" ht="15.75" customHeight="1" x14ac:dyDescent="0.2">
      <c r="C317" s="2"/>
      <c r="D317" s="28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</row>
    <row r="318" spans="3:44" ht="15.75" customHeight="1" x14ac:dyDescent="0.2">
      <c r="C318" s="2"/>
      <c r="D318" s="28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</row>
    <row r="319" spans="3:44" ht="15.75" customHeight="1" x14ac:dyDescent="0.2">
      <c r="C319" s="2"/>
      <c r="D319" s="28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</row>
    <row r="320" spans="3:44" ht="15.75" customHeight="1" x14ac:dyDescent="0.2">
      <c r="C320" s="2"/>
      <c r="D320" s="28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</row>
    <row r="321" spans="3:44" ht="15.75" customHeight="1" x14ac:dyDescent="0.2">
      <c r="C321" s="2"/>
      <c r="D321" s="28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</row>
    <row r="322" spans="3:44" ht="15.75" customHeight="1" x14ac:dyDescent="0.2">
      <c r="C322" s="2"/>
      <c r="D322" s="28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</row>
    <row r="323" spans="3:44" ht="15.75" customHeight="1" x14ac:dyDescent="0.2">
      <c r="C323" s="2"/>
      <c r="D323" s="28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</row>
    <row r="324" spans="3:44" ht="15.75" customHeight="1" x14ac:dyDescent="0.2">
      <c r="C324" s="2"/>
      <c r="D324" s="28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</row>
    <row r="325" spans="3:44" ht="15.75" customHeight="1" x14ac:dyDescent="0.2">
      <c r="C325" s="2"/>
      <c r="D325" s="28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</row>
    <row r="326" spans="3:44" ht="15.75" customHeight="1" x14ac:dyDescent="0.2">
      <c r="C326" s="2"/>
      <c r="D326" s="28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</row>
    <row r="327" spans="3:44" ht="15.75" customHeight="1" x14ac:dyDescent="0.2">
      <c r="C327" s="2"/>
      <c r="D327" s="28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</row>
    <row r="328" spans="3:44" ht="15.75" customHeight="1" x14ac:dyDescent="0.2">
      <c r="C328" s="2"/>
      <c r="D328" s="28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</row>
    <row r="329" spans="3:44" ht="15.75" customHeight="1" x14ac:dyDescent="0.2">
      <c r="C329" s="2"/>
      <c r="D329" s="28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</row>
    <row r="330" spans="3:44" ht="15.75" customHeight="1" x14ac:dyDescent="0.2">
      <c r="C330" s="2"/>
      <c r="D330" s="28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</row>
    <row r="331" spans="3:44" ht="15.75" customHeight="1" x14ac:dyDescent="0.2">
      <c r="C331" s="2"/>
      <c r="D331" s="28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</row>
    <row r="332" spans="3:44" ht="15.75" customHeight="1" x14ac:dyDescent="0.2">
      <c r="C332" s="2"/>
      <c r="D332" s="28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</row>
    <row r="333" spans="3:44" ht="15.75" customHeight="1" x14ac:dyDescent="0.2">
      <c r="C333" s="2"/>
      <c r="D333" s="28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</row>
    <row r="334" spans="3:44" ht="15.75" customHeight="1" x14ac:dyDescent="0.2">
      <c r="C334" s="2"/>
      <c r="D334" s="28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</row>
    <row r="335" spans="3:44" ht="15.75" customHeight="1" x14ac:dyDescent="0.2">
      <c r="C335" s="2"/>
      <c r="D335" s="28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</row>
    <row r="336" spans="3:44" ht="15.75" customHeight="1" x14ac:dyDescent="0.2">
      <c r="C336" s="2"/>
      <c r="D336" s="28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</row>
    <row r="337" spans="3:44" ht="15.75" customHeight="1" x14ac:dyDescent="0.2">
      <c r="C337" s="2"/>
      <c r="D337" s="28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</row>
    <row r="338" spans="3:44" ht="15.75" customHeight="1" x14ac:dyDescent="0.2">
      <c r="C338" s="2"/>
      <c r="D338" s="28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</row>
    <row r="339" spans="3:44" ht="15.75" customHeight="1" x14ac:dyDescent="0.2">
      <c r="C339" s="2"/>
      <c r="D339" s="28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</row>
    <row r="340" spans="3:44" ht="15.75" customHeight="1" x14ac:dyDescent="0.2">
      <c r="C340" s="2"/>
      <c r="D340" s="28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</row>
    <row r="341" spans="3:44" ht="15.75" customHeight="1" x14ac:dyDescent="0.2">
      <c r="C341" s="2"/>
      <c r="D341" s="28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</row>
    <row r="342" spans="3:44" ht="15.75" customHeight="1" x14ac:dyDescent="0.2">
      <c r="C342" s="2"/>
      <c r="D342" s="28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</row>
    <row r="343" spans="3:44" ht="15.75" customHeight="1" x14ac:dyDescent="0.2">
      <c r="C343" s="2"/>
      <c r="D343" s="28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</row>
    <row r="344" spans="3:44" ht="15.75" customHeight="1" x14ac:dyDescent="0.2">
      <c r="C344" s="2"/>
      <c r="D344" s="28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</row>
    <row r="345" spans="3:44" ht="15.75" customHeight="1" x14ac:dyDescent="0.2">
      <c r="C345" s="2"/>
      <c r="D345" s="28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</row>
    <row r="346" spans="3:44" ht="15.75" customHeight="1" x14ac:dyDescent="0.2">
      <c r="C346" s="2"/>
      <c r="D346" s="28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</row>
    <row r="347" spans="3:44" ht="15.75" customHeight="1" x14ac:dyDescent="0.2">
      <c r="C347" s="2"/>
      <c r="D347" s="28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</row>
    <row r="348" spans="3:44" ht="15.75" customHeight="1" x14ac:dyDescent="0.2">
      <c r="C348" s="2"/>
      <c r="D348" s="28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</row>
    <row r="349" spans="3:44" ht="15.75" customHeight="1" x14ac:dyDescent="0.2">
      <c r="C349" s="2"/>
      <c r="D349" s="28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</row>
    <row r="350" spans="3:44" ht="15.75" customHeight="1" x14ac:dyDescent="0.2">
      <c r="C350" s="2"/>
      <c r="D350" s="28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</row>
    <row r="351" spans="3:44" ht="15.75" customHeight="1" x14ac:dyDescent="0.2">
      <c r="C351" s="2"/>
      <c r="D351" s="2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</row>
    <row r="352" spans="3:44" ht="15.75" customHeight="1" x14ac:dyDescent="0.2">
      <c r="C352" s="2"/>
      <c r="D352" s="2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</row>
    <row r="353" spans="3:44" ht="15.75" customHeight="1" x14ac:dyDescent="0.2">
      <c r="C353" s="2"/>
      <c r="D353" s="2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</row>
    <row r="354" spans="3:44" ht="15.75" customHeight="1" x14ac:dyDescent="0.2">
      <c r="C354" s="2"/>
      <c r="D354" s="2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</row>
    <row r="355" spans="3:44" ht="15.75" customHeight="1" x14ac:dyDescent="0.2">
      <c r="C355" s="2"/>
      <c r="D355" s="2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</row>
    <row r="356" spans="3:44" ht="15.75" customHeight="1" x14ac:dyDescent="0.2">
      <c r="C356" s="2"/>
      <c r="D356" s="2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</row>
    <row r="357" spans="3:44" ht="15.75" customHeight="1" x14ac:dyDescent="0.2">
      <c r="C357" s="2"/>
      <c r="D357" s="2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</row>
    <row r="358" spans="3:44" ht="15.75" customHeight="1" x14ac:dyDescent="0.2">
      <c r="C358" s="2"/>
      <c r="D358" s="2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</row>
    <row r="359" spans="3:44" ht="15.75" customHeight="1" x14ac:dyDescent="0.2">
      <c r="C359" s="2"/>
      <c r="D359" s="2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</row>
    <row r="360" spans="3:44" ht="15.75" customHeight="1" x14ac:dyDescent="0.2">
      <c r="C360" s="2"/>
      <c r="D360" s="2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</row>
    <row r="361" spans="3:44" ht="15.75" customHeight="1" x14ac:dyDescent="0.2">
      <c r="C361" s="2"/>
      <c r="D361" s="2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</row>
    <row r="362" spans="3:44" ht="15.75" customHeight="1" x14ac:dyDescent="0.2">
      <c r="C362" s="2"/>
      <c r="D362" s="2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</row>
    <row r="363" spans="3:44" ht="15.75" customHeight="1" x14ac:dyDescent="0.2">
      <c r="C363" s="2"/>
      <c r="D363" s="2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</row>
    <row r="364" spans="3:44" ht="15.75" customHeight="1" x14ac:dyDescent="0.2">
      <c r="C364" s="2"/>
      <c r="D364" s="2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</row>
    <row r="365" spans="3:44" ht="15.75" customHeight="1" x14ac:dyDescent="0.2">
      <c r="C365" s="2"/>
      <c r="D365" s="2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</row>
    <row r="366" spans="3:44" ht="15.75" customHeight="1" x14ac:dyDescent="0.2">
      <c r="C366" s="2"/>
      <c r="D366" s="2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</row>
    <row r="367" spans="3:44" ht="15.75" customHeight="1" x14ac:dyDescent="0.2">
      <c r="C367" s="2"/>
      <c r="D367" s="2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</row>
    <row r="368" spans="3:44" ht="15.75" customHeight="1" x14ac:dyDescent="0.2">
      <c r="C368" s="2"/>
      <c r="D368" s="2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</row>
    <row r="369" spans="3:44" ht="15.75" customHeight="1" x14ac:dyDescent="0.2">
      <c r="C369" s="2"/>
      <c r="D369" s="2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</row>
    <row r="370" spans="3:44" ht="15.75" customHeight="1" x14ac:dyDescent="0.2">
      <c r="C370" s="2"/>
      <c r="D370" s="2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</row>
    <row r="371" spans="3:44" ht="15.75" customHeight="1" x14ac:dyDescent="0.2">
      <c r="C371" s="2"/>
      <c r="D371" s="2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</row>
    <row r="372" spans="3:44" ht="15.75" customHeight="1" x14ac:dyDescent="0.2">
      <c r="C372" s="2"/>
      <c r="D372" s="2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</row>
    <row r="373" spans="3:44" ht="15.75" customHeight="1" x14ac:dyDescent="0.2">
      <c r="C373" s="2"/>
      <c r="D373" s="2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</row>
    <row r="374" spans="3:44" ht="15.75" customHeight="1" x14ac:dyDescent="0.2">
      <c r="C374" s="2"/>
      <c r="D374" s="2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</row>
    <row r="375" spans="3:44" ht="15.75" customHeight="1" x14ac:dyDescent="0.2">
      <c r="C375" s="2"/>
      <c r="D375" s="2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</row>
    <row r="376" spans="3:44" ht="15.75" customHeight="1" x14ac:dyDescent="0.2">
      <c r="C376" s="2"/>
      <c r="D376" s="28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</row>
    <row r="377" spans="3:44" ht="15.75" customHeight="1" x14ac:dyDescent="0.2">
      <c r="C377" s="2"/>
      <c r="D377" s="28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</row>
    <row r="378" spans="3:44" ht="15.75" customHeight="1" x14ac:dyDescent="0.2">
      <c r="C378" s="2"/>
      <c r="D378" s="28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</row>
    <row r="379" spans="3:44" ht="15.75" customHeight="1" x14ac:dyDescent="0.2">
      <c r="C379" s="2"/>
      <c r="D379" s="28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</row>
    <row r="380" spans="3:44" ht="15.75" customHeight="1" x14ac:dyDescent="0.2">
      <c r="C380" s="2"/>
      <c r="D380" s="28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</row>
    <row r="381" spans="3:44" ht="15.75" customHeight="1" x14ac:dyDescent="0.2">
      <c r="C381" s="2"/>
      <c r="D381" s="28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</row>
    <row r="382" spans="3:44" ht="15.75" customHeight="1" x14ac:dyDescent="0.2">
      <c r="C382" s="2"/>
      <c r="D382" s="28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</row>
    <row r="383" spans="3:44" ht="15.75" customHeight="1" x14ac:dyDescent="0.2">
      <c r="C383" s="2"/>
      <c r="D383" s="28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</row>
    <row r="384" spans="3:44" ht="15.75" customHeight="1" x14ac:dyDescent="0.2">
      <c r="C384" s="2"/>
      <c r="D384" s="28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</row>
    <row r="385" spans="3:44" ht="15.75" customHeight="1" x14ac:dyDescent="0.2">
      <c r="C385" s="2"/>
      <c r="D385" s="28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</row>
    <row r="386" spans="3:44" ht="15.75" customHeight="1" x14ac:dyDescent="0.2">
      <c r="C386" s="2"/>
      <c r="D386" s="28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</row>
    <row r="387" spans="3:44" ht="15.75" customHeight="1" x14ac:dyDescent="0.2">
      <c r="C387" s="2"/>
      <c r="D387" s="28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</row>
    <row r="388" spans="3:44" ht="15.75" customHeight="1" x14ac:dyDescent="0.2">
      <c r="C388" s="2"/>
      <c r="D388" s="28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</row>
    <row r="389" spans="3:44" ht="15.75" customHeight="1" x14ac:dyDescent="0.2">
      <c r="C389" s="2"/>
      <c r="D389" s="28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</row>
    <row r="390" spans="3:44" ht="15.75" customHeight="1" x14ac:dyDescent="0.2">
      <c r="C390" s="2"/>
      <c r="D390" s="28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</row>
    <row r="391" spans="3:44" ht="15.75" customHeight="1" x14ac:dyDescent="0.2">
      <c r="C391" s="2"/>
      <c r="D391" s="28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</row>
    <row r="392" spans="3:44" ht="15.75" customHeight="1" x14ac:dyDescent="0.2">
      <c r="C392" s="2"/>
      <c r="D392" s="28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</row>
    <row r="393" spans="3:44" ht="15.75" customHeight="1" x14ac:dyDescent="0.2">
      <c r="C393" s="2"/>
      <c r="D393" s="28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</row>
    <row r="394" spans="3:44" ht="15.75" customHeight="1" x14ac:dyDescent="0.2">
      <c r="C394" s="2"/>
      <c r="D394" s="28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</row>
    <row r="395" spans="3:44" ht="15.75" customHeight="1" x14ac:dyDescent="0.2">
      <c r="C395" s="2"/>
      <c r="D395" s="28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</row>
    <row r="396" spans="3:44" ht="15.75" customHeight="1" x14ac:dyDescent="0.2">
      <c r="C396" s="2"/>
      <c r="D396" s="28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</row>
    <row r="397" spans="3:44" ht="15.75" customHeight="1" x14ac:dyDescent="0.2">
      <c r="C397" s="2"/>
      <c r="D397" s="28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</row>
    <row r="398" spans="3:44" ht="15.75" customHeight="1" x14ac:dyDescent="0.2">
      <c r="C398" s="2"/>
      <c r="D398" s="28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</row>
    <row r="399" spans="3:44" ht="15.75" customHeight="1" x14ac:dyDescent="0.2">
      <c r="C399" s="2"/>
      <c r="D399" s="28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</row>
    <row r="400" spans="3:44" ht="15.75" customHeight="1" x14ac:dyDescent="0.2">
      <c r="C400" s="2"/>
      <c r="D400" s="28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</row>
    <row r="401" spans="3:44" ht="15.75" customHeight="1" x14ac:dyDescent="0.2">
      <c r="C401" s="2"/>
      <c r="D401" s="28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</row>
    <row r="402" spans="3:44" ht="15.75" customHeight="1" x14ac:dyDescent="0.2">
      <c r="C402" s="2"/>
      <c r="D402" s="28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</row>
    <row r="403" spans="3:44" ht="15.75" customHeight="1" x14ac:dyDescent="0.2">
      <c r="C403" s="2"/>
      <c r="D403" s="28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</row>
    <row r="404" spans="3:44" ht="15.75" customHeight="1" x14ac:dyDescent="0.2">
      <c r="C404" s="2"/>
      <c r="D404" s="28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</row>
    <row r="405" spans="3:44" ht="15.75" customHeight="1" x14ac:dyDescent="0.2">
      <c r="C405" s="2"/>
      <c r="D405" s="28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</row>
    <row r="406" spans="3:44" ht="15.75" customHeight="1" x14ac:dyDescent="0.2">
      <c r="C406" s="2"/>
      <c r="D406" s="28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</row>
    <row r="407" spans="3:44" ht="15.75" customHeight="1" x14ac:dyDescent="0.2">
      <c r="C407" s="2"/>
      <c r="D407" s="28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</row>
    <row r="408" spans="3:44" ht="15.75" customHeight="1" x14ac:dyDescent="0.2">
      <c r="C408" s="2"/>
      <c r="D408" s="28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</row>
    <row r="409" spans="3:44" ht="15.75" customHeight="1" x14ac:dyDescent="0.2">
      <c r="C409" s="2"/>
      <c r="D409" s="28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</row>
    <row r="410" spans="3:44" ht="15.75" customHeight="1" x14ac:dyDescent="0.2">
      <c r="C410" s="2"/>
      <c r="D410" s="28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</row>
    <row r="411" spans="3:44" ht="15.75" customHeight="1" x14ac:dyDescent="0.2">
      <c r="C411" s="2"/>
      <c r="D411" s="28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</row>
    <row r="412" spans="3:44" ht="15.75" customHeight="1" x14ac:dyDescent="0.2">
      <c r="C412" s="2"/>
      <c r="D412" s="28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</row>
    <row r="413" spans="3:44" ht="15.75" customHeight="1" x14ac:dyDescent="0.2">
      <c r="C413" s="2"/>
      <c r="D413" s="28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</row>
    <row r="414" spans="3:44" ht="15.75" customHeight="1" x14ac:dyDescent="0.2">
      <c r="C414" s="2"/>
      <c r="D414" s="28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</row>
    <row r="415" spans="3:44" ht="15.75" customHeight="1" x14ac:dyDescent="0.2">
      <c r="C415" s="2"/>
      <c r="D415" s="28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</row>
    <row r="416" spans="3:44" ht="15.75" customHeight="1" x14ac:dyDescent="0.2">
      <c r="C416" s="2"/>
      <c r="D416" s="28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</row>
    <row r="417" spans="3:44" ht="15.75" customHeight="1" x14ac:dyDescent="0.2">
      <c r="C417" s="2"/>
      <c r="D417" s="28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</row>
    <row r="418" spans="3:44" ht="15.75" customHeight="1" x14ac:dyDescent="0.2">
      <c r="C418" s="2"/>
      <c r="D418" s="28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</row>
    <row r="419" spans="3:44" ht="15.75" customHeight="1" x14ac:dyDescent="0.2">
      <c r="C419" s="2"/>
      <c r="D419" s="28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</row>
    <row r="420" spans="3:44" ht="15.75" customHeight="1" x14ac:dyDescent="0.2">
      <c r="C420" s="2"/>
      <c r="D420" s="28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</row>
    <row r="421" spans="3:44" ht="15.75" customHeight="1" x14ac:dyDescent="0.2">
      <c r="C421" s="2"/>
      <c r="D421" s="28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</row>
    <row r="422" spans="3:44" ht="15.75" customHeight="1" x14ac:dyDescent="0.2">
      <c r="C422" s="2"/>
      <c r="D422" s="28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</row>
    <row r="423" spans="3:44" ht="15.75" customHeight="1" x14ac:dyDescent="0.2">
      <c r="C423" s="2"/>
      <c r="D423" s="28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</row>
    <row r="424" spans="3:44" ht="15.75" customHeight="1" x14ac:dyDescent="0.2">
      <c r="C424" s="2"/>
      <c r="D424" s="28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</row>
    <row r="425" spans="3:44" ht="15.75" customHeight="1" x14ac:dyDescent="0.2">
      <c r="C425" s="2"/>
      <c r="D425" s="28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</row>
    <row r="426" spans="3:44" ht="15.75" customHeight="1" x14ac:dyDescent="0.2">
      <c r="C426" s="2"/>
      <c r="D426" s="28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</row>
    <row r="427" spans="3:44" ht="15.75" customHeight="1" x14ac:dyDescent="0.2">
      <c r="C427" s="2"/>
      <c r="D427" s="28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</row>
    <row r="428" spans="3:44" ht="15.75" customHeight="1" x14ac:dyDescent="0.2">
      <c r="C428" s="2"/>
      <c r="D428" s="28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</row>
    <row r="429" spans="3:44" ht="15.75" customHeight="1" x14ac:dyDescent="0.2">
      <c r="C429" s="2"/>
      <c r="D429" s="28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</row>
    <row r="430" spans="3:44" ht="15.75" customHeight="1" x14ac:dyDescent="0.2">
      <c r="C430" s="2"/>
      <c r="D430" s="28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</row>
    <row r="431" spans="3:44" ht="15.75" customHeight="1" x14ac:dyDescent="0.2">
      <c r="C431" s="2"/>
      <c r="D431" s="28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</row>
    <row r="432" spans="3:44" ht="15.75" customHeight="1" x14ac:dyDescent="0.2">
      <c r="C432" s="2"/>
      <c r="D432" s="28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</row>
    <row r="433" spans="3:44" ht="15.75" customHeight="1" x14ac:dyDescent="0.2">
      <c r="C433" s="2"/>
      <c r="D433" s="28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</row>
    <row r="434" spans="3:44" ht="15.75" customHeight="1" x14ac:dyDescent="0.2">
      <c r="C434" s="2"/>
      <c r="D434" s="28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</row>
    <row r="435" spans="3:44" ht="15.75" customHeight="1" x14ac:dyDescent="0.2">
      <c r="C435" s="2"/>
      <c r="D435" s="28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</row>
    <row r="436" spans="3:44" ht="15.75" customHeight="1" x14ac:dyDescent="0.2">
      <c r="C436" s="2"/>
      <c r="D436" s="28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</row>
    <row r="437" spans="3:44" ht="15.75" customHeight="1" x14ac:dyDescent="0.2">
      <c r="C437" s="2"/>
      <c r="D437" s="28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</row>
    <row r="438" spans="3:44" ht="15.75" customHeight="1" x14ac:dyDescent="0.2">
      <c r="C438" s="2"/>
      <c r="D438" s="28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</row>
    <row r="439" spans="3:44" ht="15.75" customHeight="1" x14ac:dyDescent="0.2">
      <c r="C439" s="2"/>
      <c r="D439" s="28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</row>
    <row r="440" spans="3:44" ht="15.75" customHeight="1" x14ac:dyDescent="0.2">
      <c r="C440" s="2"/>
      <c r="D440" s="28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</row>
    <row r="441" spans="3:44" ht="15.75" customHeight="1" x14ac:dyDescent="0.2">
      <c r="C441" s="2"/>
      <c r="D441" s="28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</row>
    <row r="442" spans="3:44" ht="15.75" customHeight="1" x14ac:dyDescent="0.2">
      <c r="C442" s="2"/>
      <c r="D442" s="28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</row>
    <row r="443" spans="3:44" ht="15.75" customHeight="1" x14ac:dyDescent="0.2">
      <c r="C443" s="2"/>
      <c r="D443" s="28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</row>
    <row r="444" spans="3:44" ht="15.75" customHeight="1" x14ac:dyDescent="0.2">
      <c r="C444" s="2"/>
      <c r="D444" s="28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</row>
    <row r="445" spans="3:44" ht="15.75" customHeight="1" x14ac:dyDescent="0.2">
      <c r="C445" s="2"/>
      <c r="D445" s="28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</row>
    <row r="446" spans="3:44" ht="15.75" customHeight="1" x14ac:dyDescent="0.2">
      <c r="C446" s="2"/>
      <c r="D446" s="28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</row>
    <row r="447" spans="3:44" ht="15.75" customHeight="1" x14ac:dyDescent="0.2">
      <c r="C447" s="2"/>
      <c r="D447" s="28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</row>
    <row r="448" spans="3:44" ht="15.75" customHeight="1" x14ac:dyDescent="0.2">
      <c r="C448" s="2"/>
      <c r="D448" s="28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</row>
    <row r="449" spans="3:44" ht="15.75" customHeight="1" x14ac:dyDescent="0.2">
      <c r="C449" s="2"/>
      <c r="D449" s="28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</row>
    <row r="450" spans="3:44" ht="15.75" customHeight="1" x14ac:dyDescent="0.2">
      <c r="C450" s="2"/>
      <c r="D450" s="28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</row>
    <row r="451" spans="3:44" ht="15.75" customHeight="1" x14ac:dyDescent="0.2">
      <c r="C451" s="2"/>
      <c r="D451" s="28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</row>
    <row r="452" spans="3:44" ht="15.75" customHeight="1" x14ac:dyDescent="0.2">
      <c r="C452" s="2"/>
      <c r="D452" s="28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</row>
    <row r="453" spans="3:44" ht="15.75" customHeight="1" x14ac:dyDescent="0.2">
      <c r="C453" s="2"/>
      <c r="D453" s="28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</row>
    <row r="454" spans="3:44" ht="15.75" customHeight="1" x14ac:dyDescent="0.2">
      <c r="C454" s="2"/>
      <c r="D454" s="28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</row>
    <row r="455" spans="3:44" ht="15.75" customHeight="1" x14ac:dyDescent="0.2">
      <c r="C455" s="2"/>
      <c r="D455" s="28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</row>
    <row r="456" spans="3:44" ht="15.75" customHeight="1" x14ac:dyDescent="0.2">
      <c r="C456" s="2"/>
      <c r="D456" s="28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</row>
    <row r="457" spans="3:44" ht="15.75" customHeight="1" x14ac:dyDescent="0.2">
      <c r="C457" s="2"/>
      <c r="D457" s="28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</row>
    <row r="458" spans="3:44" ht="15.75" customHeight="1" x14ac:dyDescent="0.2">
      <c r="C458" s="2"/>
      <c r="D458" s="28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</row>
    <row r="459" spans="3:44" ht="15.75" customHeight="1" x14ac:dyDescent="0.2">
      <c r="C459" s="2"/>
      <c r="D459" s="28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</row>
    <row r="460" spans="3:44" ht="15.75" customHeight="1" x14ac:dyDescent="0.2">
      <c r="C460" s="2"/>
      <c r="D460" s="28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</row>
    <row r="461" spans="3:44" ht="15.75" customHeight="1" x14ac:dyDescent="0.2">
      <c r="C461" s="2"/>
      <c r="D461" s="28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</row>
    <row r="462" spans="3:44" ht="15.75" customHeight="1" x14ac:dyDescent="0.2">
      <c r="C462" s="2"/>
      <c r="D462" s="28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</row>
    <row r="463" spans="3:44" ht="15.75" customHeight="1" x14ac:dyDescent="0.2">
      <c r="C463" s="2"/>
      <c r="D463" s="28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</row>
    <row r="464" spans="3:44" ht="15.75" customHeight="1" x14ac:dyDescent="0.2">
      <c r="C464" s="2"/>
      <c r="D464" s="28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</row>
    <row r="465" spans="3:44" ht="15.75" customHeight="1" x14ac:dyDescent="0.2">
      <c r="C465" s="2"/>
      <c r="D465" s="28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</row>
    <row r="466" spans="3:44" ht="15.75" customHeight="1" x14ac:dyDescent="0.2">
      <c r="C466" s="2"/>
      <c r="D466" s="28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</row>
    <row r="467" spans="3:44" ht="15.75" customHeight="1" x14ac:dyDescent="0.2">
      <c r="C467" s="2"/>
      <c r="D467" s="28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</row>
    <row r="468" spans="3:44" ht="15.75" customHeight="1" x14ac:dyDescent="0.2">
      <c r="C468" s="2"/>
      <c r="D468" s="28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</row>
    <row r="469" spans="3:44" ht="15.75" customHeight="1" x14ac:dyDescent="0.2">
      <c r="C469" s="2"/>
      <c r="D469" s="28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</row>
    <row r="470" spans="3:44" ht="15.75" customHeight="1" x14ac:dyDescent="0.2">
      <c r="C470" s="2"/>
      <c r="D470" s="28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</row>
    <row r="471" spans="3:44" ht="15.75" customHeight="1" x14ac:dyDescent="0.2">
      <c r="C471" s="2"/>
      <c r="D471" s="28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</row>
    <row r="472" spans="3:44" ht="15.75" customHeight="1" x14ac:dyDescent="0.2">
      <c r="C472" s="2"/>
      <c r="D472" s="28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</row>
    <row r="473" spans="3:44" ht="15.75" customHeight="1" x14ac:dyDescent="0.2">
      <c r="C473" s="2"/>
      <c r="D473" s="28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</row>
    <row r="474" spans="3:44" ht="15.75" customHeight="1" x14ac:dyDescent="0.2">
      <c r="C474" s="2"/>
      <c r="D474" s="28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</row>
    <row r="475" spans="3:44" ht="15.75" customHeight="1" x14ac:dyDescent="0.2">
      <c r="C475" s="2"/>
      <c r="D475" s="28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</row>
    <row r="476" spans="3:44" ht="15.75" customHeight="1" x14ac:dyDescent="0.2">
      <c r="C476" s="2"/>
      <c r="D476" s="28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</row>
    <row r="477" spans="3:44" ht="15.75" customHeight="1" x14ac:dyDescent="0.2">
      <c r="C477" s="2"/>
      <c r="D477" s="28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</row>
    <row r="478" spans="3:44" ht="15.75" customHeight="1" x14ac:dyDescent="0.2">
      <c r="C478" s="2"/>
      <c r="D478" s="28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</row>
    <row r="479" spans="3:44" ht="15.75" customHeight="1" x14ac:dyDescent="0.2">
      <c r="C479" s="2"/>
      <c r="D479" s="28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</row>
    <row r="480" spans="3:44" ht="15.75" customHeight="1" x14ac:dyDescent="0.2">
      <c r="C480" s="2"/>
      <c r="D480" s="28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</row>
    <row r="481" spans="3:44" ht="15.75" customHeight="1" x14ac:dyDescent="0.2">
      <c r="C481" s="2"/>
      <c r="D481" s="28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</row>
    <row r="482" spans="3:44" ht="15.75" customHeight="1" x14ac:dyDescent="0.2">
      <c r="C482" s="2"/>
      <c r="D482" s="28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</row>
    <row r="483" spans="3:44" ht="15.75" customHeight="1" x14ac:dyDescent="0.2">
      <c r="C483" s="2"/>
      <c r="D483" s="28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</row>
    <row r="484" spans="3:44" ht="15.75" customHeight="1" x14ac:dyDescent="0.2">
      <c r="C484" s="2"/>
      <c r="D484" s="28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</row>
    <row r="485" spans="3:44" ht="15.75" customHeight="1" x14ac:dyDescent="0.2">
      <c r="C485" s="2"/>
      <c r="D485" s="28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</row>
    <row r="486" spans="3:44" ht="15.75" customHeight="1" x14ac:dyDescent="0.2">
      <c r="C486" s="2"/>
      <c r="D486" s="28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</row>
    <row r="487" spans="3:44" ht="15.75" customHeight="1" x14ac:dyDescent="0.2">
      <c r="C487" s="2"/>
      <c r="D487" s="28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</row>
    <row r="488" spans="3:44" ht="15.75" customHeight="1" x14ac:dyDescent="0.2">
      <c r="C488" s="2"/>
      <c r="D488" s="28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</row>
    <row r="489" spans="3:44" ht="15.75" customHeight="1" x14ac:dyDescent="0.2">
      <c r="C489" s="2"/>
      <c r="D489" s="28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</row>
    <row r="490" spans="3:44" ht="15.75" customHeight="1" x14ac:dyDescent="0.2">
      <c r="C490" s="2"/>
      <c r="D490" s="28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</row>
    <row r="491" spans="3:44" ht="15.75" customHeight="1" x14ac:dyDescent="0.2">
      <c r="C491" s="2"/>
      <c r="D491" s="28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</row>
    <row r="492" spans="3:44" ht="15.75" customHeight="1" x14ac:dyDescent="0.2">
      <c r="C492" s="2"/>
      <c r="D492" s="28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</row>
    <row r="493" spans="3:44" ht="15.75" customHeight="1" x14ac:dyDescent="0.2">
      <c r="C493" s="2"/>
      <c r="D493" s="28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</row>
    <row r="494" spans="3:44" ht="15.75" customHeight="1" x14ac:dyDescent="0.2">
      <c r="C494" s="2"/>
      <c r="D494" s="28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</row>
    <row r="495" spans="3:44" ht="15.75" customHeight="1" x14ac:dyDescent="0.2">
      <c r="C495" s="2"/>
      <c r="D495" s="28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</row>
    <row r="496" spans="3:44" ht="15.75" customHeight="1" x14ac:dyDescent="0.2">
      <c r="C496" s="2"/>
      <c r="D496" s="28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</row>
    <row r="497" spans="3:44" ht="15.75" customHeight="1" x14ac:dyDescent="0.2">
      <c r="C497" s="2"/>
      <c r="D497" s="28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</row>
    <row r="498" spans="3:44" ht="15.75" customHeight="1" x14ac:dyDescent="0.2">
      <c r="C498" s="2"/>
      <c r="D498" s="28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</row>
    <row r="499" spans="3:44" ht="15.75" customHeight="1" x14ac:dyDescent="0.2">
      <c r="C499" s="2"/>
      <c r="D499" s="28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</row>
    <row r="500" spans="3:44" ht="15.75" customHeight="1" x14ac:dyDescent="0.2">
      <c r="C500" s="2"/>
      <c r="D500" s="28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</row>
    <row r="501" spans="3:44" ht="15.75" customHeight="1" x14ac:dyDescent="0.2">
      <c r="C501" s="2"/>
      <c r="D501" s="28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</row>
    <row r="502" spans="3:44" ht="15.75" customHeight="1" x14ac:dyDescent="0.2">
      <c r="C502" s="2"/>
      <c r="D502" s="28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</row>
    <row r="503" spans="3:44" ht="15.75" customHeight="1" x14ac:dyDescent="0.2">
      <c r="C503" s="2"/>
      <c r="D503" s="28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</row>
    <row r="504" spans="3:44" ht="15.75" customHeight="1" x14ac:dyDescent="0.2">
      <c r="C504" s="2"/>
      <c r="D504" s="28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</row>
    <row r="505" spans="3:44" ht="15.75" customHeight="1" x14ac:dyDescent="0.2">
      <c r="C505" s="2"/>
      <c r="D505" s="28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</row>
    <row r="506" spans="3:44" ht="15.75" customHeight="1" x14ac:dyDescent="0.2">
      <c r="C506" s="2"/>
      <c r="D506" s="28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</row>
    <row r="507" spans="3:44" ht="15.75" customHeight="1" x14ac:dyDescent="0.2">
      <c r="C507" s="2"/>
      <c r="D507" s="28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</row>
    <row r="508" spans="3:44" ht="15.75" customHeight="1" x14ac:dyDescent="0.2">
      <c r="C508" s="2"/>
      <c r="D508" s="28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</row>
    <row r="509" spans="3:44" ht="15.75" customHeight="1" x14ac:dyDescent="0.2">
      <c r="C509" s="2"/>
      <c r="D509" s="28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</row>
    <row r="510" spans="3:44" ht="15.75" customHeight="1" x14ac:dyDescent="0.2">
      <c r="C510" s="2"/>
      <c r="D510" s="28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</row>
    <row r="511" spans="3:44" ht="15.75" customHeight="1" x14ac:dyDescent="0.2">
      <c r="C511" s="2"/>
      <c r="D511" s="28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</row>
    <row r="512" spans="3:44" ht="15.75" customHeight="1" x14ac:dyDescent="0.2">
      <c r="C512" s="2"/>
      <c r="D512" s="28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</row>
    <row r="513" spans="3:44" ht="15.75" customHeight="1" x14ac:dyDescent="0.2">
      <c r="C513" s="2"/>
      <c r="D513" s="28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</row>
    <row r="514" spans="3:44" ht="15.75" customHeight="1" x14ac:dyDescent="0.2">
      <c r="C514" s="2"/>
      <c r="D514" s="28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</row>
    <row r="515" spans="3:44" ht="15.75" customHeight="1" x14ac:dyDescent="0.2">
      <c r="C515" s="2"/>
      <c r="D515" s="28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</row>
    <row r="516" spans="3:44" ht="15.75" customHeight="1" x14ac:dyDescent="0.2">
      <c r="C516" s="2"/>
      <c r="D516" s="28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</row>
    <row r="517" spans="3:44" ht="15.75" customHeight="1" x14ac:dyDescent="0.2">
      <c r="C517" s="2"/>
      <c r="D517" s="28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</row>
    <row r="518" spans="3:44" ht="15.75" customHeight="1" x14ac:dyDescent="0.2">
      <c r="C518" s="2"/>
      <c r="D518" s="28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</row>
    <row r="519" spans="3:44" ht="15.75" customHeight="1" x14ac:dyDescent="0.2">
      <c r="C519" s="2"/>
      <c r="D519" s="28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</row>
    <row r="520" spans="3:44" ht="15.75" customHeight="1" x14ac:dyDescent="0.2">
      <c r="C520" s="2"/>
      <c r="D520" s="28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</row>
    <row r="521" spans="3:44" ht="15.75" customHeight="1" x14ac:dyDescent="0.2">
      <c r="C521" s="2"/>
      <c r="D521" s="28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</row>
    <row r="522" spans="3:44" ht="15.75" customHeight="1" x14ac:dyDescent="0.2">
      <c r="C522" s="2"/>
      <c r="D522" s="28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</row>
    <row r="523" spans="3:44" ht="15.75" customHeight="1" x14ac:dyDescent="0.2">
      <c r="C523" s="2"/>
      <c r="D523" s="28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</row>
    <row r="524" spans="3:44" ht="15.75" customHeight="1" x14ac:dyDescent="0.2">
      <c r="C524" s="2"/>
      <c r="D524" s="28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</row>
    <row r="525" spans="3:44" ht="15.75" customHeight="1" x14ac:dyDescent="0.2">
      <c r="C525" s="2"/>
      <c r="D525" s="28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</row>
    <row r="526" spans="3:44" ht="15.75" customHeight="1" x14ac:dyDescent="0.2">
      <c r="C526" s="2"/>
      <c r="D526" s="28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</row>
    <row r="527" spans="3:44" ht="15.75" customHeight="1" x14ac:dyDescent="0.2">
      <c r="C527" s="2"/>
      <c r="D527" s="28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</row>
    <row r="528" spans="3:44" ht="15.75" customHeight="1" x14ac:dyDescent="0.2">
      <c r="C528" s="2"/>
      <c r="D528" s="28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</row>
    <row r="529" spans="3:44" ht="15.75" customHeight="1" x14ac:dyDescent="0.2">
      <c r="C529" s="2"/>
      <c r="D529" s="28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</row>
    <row r="530" spans="3:44" ht="15.75" customHeight="1" x14ac:dyDescent="0.2">
      <c r="C530" s="2"/>
      <c r="D530" s="28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</row>
    <row r="531" spans="3:44" ht="15.75" customHeight="1" x14ac:dyDescent="0.2">
      <c r="C531" s="2"/>
      <c r="D531" s="28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</row>
    <row r="532" spans="3:44" ht="15.75" customHeight="1" x14ac:dyDescent="0.2">
      <c r="C532" s="2"/>
      <c r="D532" s="28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</row>
    <row r="533" spans="3:44" ht="15.75" customHeight="1" x14ac:dyDescent="0.2">
      <c r="C533" s="2"/>
      <c r="D533" s="28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</row>
    <row r="534" spans="3:44" ht="15.75" customHeight="1" x14ac:dyDescent="0.2">
      <c r="C534" s="2"/>
      <c r="D534" s="28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</row>
    <row r="535" spans="3:44" ht="15.75" customHeight="1" x14ac:dyDescent="0.2">
      <c r="C535" s="2"/>
      <c r="D535" s="28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</row>
    <row r="536" spans="3:44" ht="15.75" customHeight="1" x14ac:dyDescent="0.2">
      <c r="C536" s="2"/>
      <c r="D536" s="28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</row>
    <row r="537" spans="3:44" ht="15.75" customHeight="1" x14ac:dyDescent="0.2">
      <c r="C537" s="2"/>
      <c r="D537" s="28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</row>
    <row r="538" spans="3:44" ht="15.75" customHeight="1" x14ac:dyDescent="0.2">
      <c r="C538" s="2"/>
      <c r="D538" s="28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</row>
    <row r="539" spans="3:44" ht="15.75" customHeight="1" x14ac:dyDescent="0.2">
      <c r="C539" s="2"/>
      <c r="D539" s="28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</row>
    <row r="540" spans="3:44" ht="15.75" customHeight="1" x14ac:dyDescent="0.2">
      <c r="C540" s="2"/>
      <c r="D540" s="28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</row>
    <row r="541" spans="3:44" ht="15.75" customHeight="1" x14ac:dyDescent="0.2">
      <c r="C541" s="2"/>
      <c r="D541" s="28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</row>
    <row r="542" spans="3:44" ht="15.75" customHeight="1" x14ac:dyDescent="0.2">
      <c r="C542" s="2"/>
      <c r="D542" s="28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</row>
    <row r="543" spans="3:44" ht="15.75" customHeight="1" x14ac:dyDescent="0.2">
      <c r="C543" s="2"/>
      <c r="D543" s="28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</row>
    <row r="544" spans="3:44" ht="15.75" customHeight="1" x14ac:dyDescent="0.2">
      <c r="C544" s="2"/>
      <c r="D544" s="28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</row>
    <row r="545" spans="3:44" ht="15.75" customHeight="1" x14ac:dyDescent="0.2">
      <c r="C545" s="2"/>
      <c r="D545" s="28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</row>
    <row r="546" spans="3:44" ht="15.75" customHeight="1" x14ac:dyDescent="0.2">
      <c r="C546" s="2"/>
      <c r="D546" s="28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</row>
    <row r="547" spans="3:44" ht="15.75" customHeight="1" x14ac:dyDescent="0.2">
      <c r="C547" s="2"/>
      <c r="D547" s="28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</row>
    <row r="548" spans="3:44" ht="15.75" customHeight="1" x14ac:dyDescent="0.2">
      <c r="C548" s="2"/>
      <c r="D548" s="28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</row>
    <row r="549" spans="3:44" ht="15.75" customHeight="1" x14ac:dyDescent="0.2">
      <c r="C549" s="2"/>
      <c r="D549" s="28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</row>
    <row r="550" spans="3:44" ht="15.75" customHeight="1" x14ac:dyDescent="0.2">
      <c r="C550" s="2"/>
      <c r="D550" s="28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</row>
    <row r="551" spans="3:44" ht="15.75" customHeight="1" x14ac:dyDescent="0.2">
      <c r="C551" s="2"/>
      <c r="D551" s="28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</row>
    <row r="552" spans="3:44" ht="15.75" customHeight="1" x14ac:dyDescent="0.2">
      <c r="C552" s="2"/>
      <c r="D552" s="28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</row>
    <row r="553" spans="3:44" ht="15.75" customHeight="1" x14ac:dyDescent="0.2">
      <c r="C553" s="2"/>
      <c r="D553" s="28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</row>
    <row r="554" spans="3:44" ht="15.75" customHeight="1" x14ac:dyDescent="0.2">
      <c r="C554" s="2"/>
      <c r="D554" s="28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</row>
    <row r="555" spans="3:44" ht="15.75" customHeight="1" x14ac:dyDescent="0.2">
      <c r="C555" s="2"/>
      <c r="D555" s="28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</row>
    <row r="556" spans="3:44" ht="15.75" customHeight="1" x14ac:dyDescent="0.2">
      <c r="C556" s="2"/>
      <c r="D556" s="28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</row>
    <row r="557" spans="3:44" ht="15.75" customHeight="1" x14ac:dyDescent="0.2">
      <c r="C557" s="2"/>
      <c r="D557" s="28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</row>
    <row r="558" spans="3:44" ht="15.75" customHeight="1" x14ac:dyDescent="0.2">
      <c r="C558" s="2"/>
      <c r="D558" s="28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</row>
    <row r="559" spans="3:44" ht="15.75" customHeight="1" x14ac:dyDescent="0.2">
      <c r="C559" s="2"/>
      <c r="D559" s="28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</row>
    <row r="560" spans="3:44" ht="15.75" customHeight="1" x14ac:dyDescent="0.2">
      <c r="C560" s="2"/>
      <c r="D560" s="28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</row>
    <row r="561" spans="3:44" ht="15.75" customHeight="1" x14ac:dyDescent="0.2">
      <c r="C561" s="2"/>
      <c r="D561" s="28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</row>
    <row r="562" spans="3:44" ht="15.75" customHeight="1" x14ac:dyDescent="0.2">
      <c r="C562" s="2"/>
      <c r="D562" s="28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</row>
    <row r="563" spans="3:44" ht="15.75" customHeight="1" x14ac:dyDescent="0.2">
      <c r="C563" s="2"/>
      <c r="D563" s="28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</row>
    <row r="564" spans="3:44" ht="15.75" customHeight="1" x14ac:dyDescent="0.2">
      <c r="C564" s="2"/>
      <c r="D564" s="28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</row>
    <row r="565" spans="3:44" ht="15.75" customHeight="1" x14ac:dyDescent="0.2">
      <c r="C565" s="2"/>
      <c r="D565" s="28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</row>
    <row r="566" spans="3:44" ht="15.75" customHeight="1" x14ac:dyDescent="0.2">
      <c r="C566" s="2"/>
      <c r="D566" s="28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</row>
    <row r="567" spans="3:44" ht="15.75" customHeight="1" x14ac:dyDescent="0.2">
      <c r="C567" s="2"/>
      <c r="D567" s="28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</row>
    <row r="568" spans="3:44" ht="15.75" customHeight="1" x14ac:dyDescent="0.2">
      <c r="C568" s="2"/>
      <c r="D568" s="28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</row>
    <row r="569" spans="3:44" ht="15.75" customHeight="1" x14ac:dyDescent="0.2">
      <c r="C569" s="2"/>
      <c r="D569" s="28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</row>
    <row r="570" spans="3:44" ht="15.75" customHeight="1" x14ac:dyDescent="0.2">
      <c r="C570" s="2"/>
      <c r="D570" s="28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</row>
    <row r="571" spans="3:44" ht="15.75" customHeight="1" x14ac:dyDescent="0.2">
      <c r="C571" s="2"/>
      <c r="D571" s="28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</row>
    <row r="572" spans="3:44" ht="15.75" customHeight="1" x14ac:dyDescent="0.2">
      <c r="C572" s="2"/>
      <c r="D572" s="28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</row>
    <row r="573" spans="3:44" ht="15.75" customHeight="1" x14ac:dyDescent="0.2">
      <c r="C573" s="2"/>
      <c r="D573" s="28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</row>
    <row r="574" spans="3:44" ht="15.75" customHeight="1" x14ac:dyDescent="0.2">
      <c r="C574" s="2"/>
      <c r="D574" s="28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</row>
    <row r="575" spans="3:44" ht="15.75" customHeight="1" x14ac:dyDescent="0.2">
      <c r="C575" s="2"/>
      <c r="D575" s="28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</row>
    <row r="576" spans="3:44" ht="15.75" customHeight="1" x14ac:dyDescent="0.2">
      <c r="C576" s="2"/>
      <c r="D576" s="28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</row>
    <row r="577" spans="3:44" ht="15.75" customHeight="1" x14ac:dyDescent="0.2">
      <c r="C577" s="2"/>
      <c r="D577" s="28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</row>
    <row r="578" spans="3:44" ht="15.75" customHeight="1" x14ac:dyDescent="0.2">
      <c r="C578" s="2"/>
      <c r="D578" s="28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</row>
    <row r="579" spans="3:44" ht="15.75" customHeight="1" x14ac:dyDescent="0.2">
      <c r="C579" s="2"/>
      <c r="D579" s="28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</row>
    <row r="580" spans="3:44" ht="15.75" customHeight="1" x14ac:dyDescent="0.2">
      <c r="C580" s="2"/>
      <c r="D580" s="28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</row>
    <row r="581" spans="3:44" ht="15.75" customHeight="1" x14ac:dyDescent="0.2">
      <c r="C581" s="2"/>
      <c r="D581" s="28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</row>
    <row r="582" spans="3:44" ht="15.75" customHeight="1" x14ac:dyDescent="0.2">
      <c r="C582" s="2"/>
      <c r="D582" s="28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</row>
    <row r="583" spans="3:44" ht="15.75" customHeight="1" x14ac:dyDescent="0.2">
      <c r="C583" s="2"/>
      <c r="D583" s="28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</row>
    <row r="584" spans="3:44" ht="15.75" customHeight="1" x14ac:dyDescent="0.2">
      <c r="C584" s="2"/>
      <c r="D584" s="28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</row>
    <row r="585" spans="3:44" ht="15.75" customHeight="1" x14ac:dyDescent="0.2">
      <c r="C585" s="2"/>
      <c r="D585" s="28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</row>
    <row r="586" spans="3:44" ht="15.75" customHeight="1" x14ac:dyDescent="0.2">
      <c r="C586" s="2"/>
      <c r="D586" s="28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</row>
    <row r="587" spans="3:44" ht="15.75" customHeight="1" x14ac:dyDescent="0.2">
      <c r="C587" s="2"/>
      <c r="D587" s="28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</row>
    <row r="588" spans="3:44" ht="15.75" customHeight="1" x14ac:dyDescent="0.2">
      <c r="C588" s="2"/>
      <c r="D588" s="28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</row>
    <row r="589" spans="3:44" ht="15.75" customHeight="1" x14ac:dyDescent="0.2">
      <c r="C589" s="2"/>
      <c r="D589" s="28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</row>
    <row r="590" spans="3:44" ht="15.75" customHeight="1" x14ac:dyDescent="0.2">
      <c r="C590" s="2"/>
      <c r="D590" s="28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</row>
    <row r="591" spans="3:44" ht="15.75" customHeight="1" x14ac:dyDescent="0.2">
      <c r="C591" s="2"/>
      <c r="D591" s="28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</row>
    <row r="592" spans="3:44" ht="15.75" customHeight="1" x14ac:dyDescent="0.2">
      <c r="C592" s="2"/>
      <c r="D592" s="28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</row>
    <row r="593" spans="3:44" ht="15.75" customHeight="1" x14ac:dyDescent="0.2">
      <c r="C593" s="2"/>
      <c r="D593" s="28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</row>
    <row r="594" spans="3:44" ht="15.75" customHeight="1" x14ac:dyDescent="0.2">
      <c r="C594" s="2"/>
      <c r="D594" s="28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</row>
    <row r="595" spans="3:44" ht="15.75" customHeight="1" x14ac:dyDescent="0.2">
      <c r="C595" s="2"/>
      <c r="D595" s="28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</row>
    <row r="596" spans="3:44" ht="15.75" customHeight="1" x14ac:dyDescent="0.2">
      <c r="C596" s="2"/>
      <c r="D596" s="28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</row>
    <row r="597" spans="3:44" ht="15.75" customHeight="1" x14ac:dyDescent="0.2">
      <c r="C597" s="2"/>
      <c r="D597" s="28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</row>
    <row r="598" spans="3:44" ht="15.75" customHeight="1" x14ac:dyDescent="0.2">
      <c r="C598" s="2"/>
      <c r="D598" s="28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</row>
    <row r="599" spans="3:44" ht="15.75" customHeight="1" x14ac:dyDescent="0.2">
      <c r="C599" s="2"/>
      <c r="D599" s="28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</row>
    <row r="600" spans="3:44" ht="15.75" customHeight="1" x14ac:dyDescent="0.2">
      <c r="C600" s="2"/>
      <c r="D600" s="28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</row>
    <row r="601" spans="3:44" ht="15.75" customHeight="1" x14ac:dyDescent="0.2">
      <c r="C601" s="2"/>
      <c r="D601" s="28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</row>
    <row r="602" spans="3:44" ht="15.75" customHeight="1" x14ac:dyDescent="0.2">
      <c r="C602" s="2"/>
      <c r="D602" s="28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</row>
    <row r="603" spans="3:44" ht="15.75" customHeight="1" x14ac:dyDescent="0.2">
      <c r="C603" s="2"/>
      <c r="D603" s="28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</row>
    <row r="604" spans="3:44" ht="15.75" customHeight="1" x14ac:dyDescent="0.2">
      <c r="C604" s="2"/>
      <c r="D604" s="28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</row>
    <row r="605" spans="3:44" ht="15.75" customHeight="1" x14ac:dyDescent="0.2">
      <c r="C605" s="2"/>
      <c r="D605" s="28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</row>
    <row r="606" spans="3:44" ht="15.75" customHeight="1" x14ac:dyDescent="0.2">
      <c r="C606" s="2"/>
      <c r="D606" s="28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</row>
    <row r="607" spans="3:44" ht="15.75" customHeight="1" x14ac:dyDescent="0.2">
      <c r="C607" s="2"/>
      <c r="D607" s="28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</row>
    <row r="608" spans="3:44" ht="15.75" customHeight="1" x14ac:dyDescent="0.2">
      <c r="C608" s="2"/>
      <c r="D608" s="28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</row>
    <row r="609" spans="3:44" ht="15.75" customHeight="1" x14ac:dyDescent="0.2">
      <c r="C609" s="2"/>
      <c r="D609" s="28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</row>
    <row r="610" spans="3:44" ht="15.75" customHeight="1" x14ac:dyDescent="0.2">
      <c r="C610" s="2"/>
      <c r="D610" s="28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</row>
    <row r="611" spans="3:44" ht="15.75" customHeight="1" x14ac:dyDescent="0.2">
      <c r="C611" s="2"/>
      <c r="D611" s="28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</row>
    <row r="612" spans="3:44" ht="15.75" customHeight="1" x14ac:dyDescent="0.2">
      <c r="C612" s="2"/>
      <c r="D612" s="28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</row>
    <row r="613" spans="3:44" ht="15.75" customHeight="1" x14ac:dyDescent="0.2">
      <c r="C613" s="2"/>
      <c r="D613" s="28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</row>
    <row r="614" spans="3:44" ht="15.75" customHeight="1" x14ac:dyDescent="0.2">
      <c r="C614" s="2"/>
      <c r="D614" s="28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</row>
    <row r="615" spans="3:44" ht="15.75" customHeight="1" x14ac:dyDescent="0.2">
      <c r="C615" s="2"/>
      <c r="D615" s="28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</row>
    <row r="616" spans="3:44" ht="15.75" customHeight="1" x14ac:dyDescent="0.2">
      <c r="C616" s="2"/>
      <c r="D616" s="28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</row>
    <row r="617" spans="3:44" ht="15.75" customHeight="1" x14ac:dyDescent="0.2">
      <c r="C617" s="2"/>
      <c r="D617" s="28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</row>
    <row r="618" spans="3:44" ht="15.75" customHeight="1" x14ac:dyDescent="0.2">
      <c r="C618" s="2"/>
      <c r="D618" s="28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</row>
    <row r="619" spans="3:44" ht="15.75" customHeight="1" x14ac:dyDescent="0.2">
      <c r="C619" s="2"/>
      <c r="D619" s="28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</row>
    <row r="620" spans="3:44" ht="15.75" customHeight="1" x14ac:dyDescent="0.2">
      <c r="C620" s="2"/>
      <c r="D620" s="28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</row>
    <row r="621" spans="3:44" ht="15.75" customHeight="1" x14ac:dyDescent="0.2">
      <c r="C621" s="2"/>
      <c r="D621" s="28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</row>
    <row r="622" spans="3:44" ht="15.75" customHeight="1" x14ac:dyDescent="0.2">
      <c r="C622" s="2"/>
      <c r="D622" s="28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</row>
    <row r="623" spans="3:44" ht="15.75" customHeight="1" x14ac:dyDescent="0.2">
      <c r="C623" s="2"/>
      <c r="D623" s="28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</row>
    <row r="624" spans="3:44" ht="15.75" customHeight="1" x14ac:dyDescent="0.2">
      <c r="C624" s="2"/>
      <c r="D624" s="28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</row>
    <row r="625" spans="3:44" ht="15.75" customHeight="1" x14ac:dyDescent="0.2">
      <c r="C625" s="2"/>
      <c r="D625" s="28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</row>
    <row r="626" spans="3:44" ht="15.75" customHeight="1" x14ac:dyDescent="0.2">
      <c r="C626" s="2"/>
      <c r="D626" s="28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</row>
    <row r="627" spans="3:44" ht="15.75" customHeight="1" x14ac:dyDescent="0.2">
      <c r="C627" s="2"/>
      <c r="D627" s="28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</row>
    <row r="628" spans="3:44" ht="15.75" customHeight="1" x14ac:dyDescent="0.2">
      <c r="C628" s="2"/>
      <c r="D628" s="28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</row>
    <row r="629" spans="3:44" ht="15.75" customHeight="1" x14ac:dyDescent="0.2">
      <c r="C629" s="2"/>
      <c r="D629" s="28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</row>
    <row r="630" spans="3:44" ht="15.75" customHeight="1" x14ac:dyDescent="0.2">
      <c r="C630" s="2"/>
      <c r="D630" s="28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</row>
    <row r="631" spans="3:44" ht="15.75" customHeight="1" x14ac:dyDescent="0.2">
      <c r="C631" s="2"/>
      <c r="D631" s="28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</row>
    <row r="632" spans="3:44" ht="15.75" customHeight="1" x14ac:dyDescent="0.2">
      <c r="C632" s="2"/>
      <c r="D632" s="28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</row>
    <row r="633" spans="3:44" ht="15.75" customHeight="1" x14ac:dyDescent="0.2">
      <c r="C633" s="2"/>
      <c r="D633" s="28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</row>
    <row r="634" spans="3:44" ht="15.75" customHeight="1" x14ac:dyDescent="0.2">
      <c r="C634" s="2"/>
      <c r="D634" s="28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</row>
    <row r="635" spans="3:44" ht="15.75" customHeight="1" x14ac:dyDescent="0.2">
      <c r="C635" s="2"/>
      <c r="D635" s="28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</row>
    <row r="636" spans="3:44" ht="15.75" customHeight="1" x14ac:dyDescent="0.2">
      <c r="C636" s="2"/>
      <c r="D636" s="28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</row>
    <row r="637" spans="3:44" ht="15.75" customHeight="1" x14ac:dyDescent="0.2">
      <c r="C637" s="2"/>
      <c r="D637" s="28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</row>
    <row r="638" spans="3:44" ht="15.75" customHeight="1" x14ac:dyDescent="0.2">
      <c r="C638" s="2"/>
      <c r="D638" s="28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</row>
    <row r="639" spans="3:44" ht="15.75" customHeight="1" x14ac:dyDescent="0.2">
      <c r="C639" s="2"/>
      <c r="D639" s="28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</row>
    <row r="640" spans="3:44" ht="15.75" customHeight="1" x14ac:dyDescent="0.2">
      <c r="C640" s="2"/>
      <c r="D640" s="28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</row>
    <row r="641" spans="3:44" ht="15.75" customHeight="1" x14ac:dyDescent="0.2">
      <c r="C641" s="2"/>
      <c r="D641" s="28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</row>
    <row r="642" spans="3:44" ht="15.75" customHeight="1" x14ac:dyDescent="0.2">
      <c r="C642" s="2"/>
      <c r="D642" s="28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</row>
    <row r="643" spans="3:44" ht="15.75" customHeight="1" x14ac:dyDescent="0.2">
      <c r="C643" s="2"/>
      <c r="D643" s="28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</row>
    <row r="644" spans="3:44" ht="15.75" customHeight="1" x14ac:dyDescent="0.2">
      <c r="C644" s="2"/>
      <c r="D644" s="28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</row>
    <row r="645" spans="3:44" ht="15.75" customHeight="1" x14ac:dyDescent="0.2">
      <c r="C645" s="2"/>
      <c r="D645" s="28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</row>
    <row r="646" spans="3:44" ht="15.75" customHeight="1" x14ac:dyDescent="0.2">
      <c r="C646" s="2"/>
      <c r="D646" s="28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</row>
    <row r="647" spans="3:44" ht="15.75" customHeight="1" x14ac:dyDescent="0.2">
      <c r="C647" s="2"/>
      <c r="D647" s="28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</row>
    <row r="648" spans="3:44" ht="15.75" customHeight="1" x14ac:dyDescent="0.2">
      <c r="C648" s="2"/>
      <c r="D648" s="28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</row>
    <row r="649" spans="3:44" ht="15.75" customHeight="1" x14ac:dyDescent="0.2">
      <c r="C649" s="2"/>
      <c r="D649" s="28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</row>
    <row r="650" spans="3:44" ht="15.75" customHeight="1" x14ac:dyDescent="0.2">
      <c r="C650" s="2"/>
      <c r="D650" s="28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</row>
    <row r="651" spans="3:44" ht="15.75" customHeight="1" x14ac:dyDescent="0.2">
      <c r="C651" s="2"/>
      <c r="D651" s="28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</row>
    <row r="652" spans="3:44" ht="15.75" customHeight="1" x14ac:dyDescent="0.2">
      <c r="C652" s="2"/>
      <c r="D652" s="28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</row>
    <row r="653" spans="3:44" ht="15.75" customHeight="1" x14ac:dyDescent="0.2">
      <c r="C653" s="2"/>
      <c r="D653" s="28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</row>
    <row r="654" spans="3:44" ht="15.75" customHeight="1" x14ac:dyDescent="0.2">
      <c r="C654" s="2"/>
      <c r="D654" s="28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</row>
    <row r="655" spans="3:44" ht="15.75" customHeight="1" x14ac:dyDescent="0.2">
      <c r="C655" s="2"/>
      <c r="D655" s="28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</row>
    <row r="656" spans="3:44" ht="15.75" customHeight="1" x14ac:dyDescent="0.2">
      <c r="C656" s="2"/>
      <c r="D656" s="28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</row>
    <row r="657" spans="3:44" ht="15.75" customHeight="1" x14ac:dyDescent="0.2">
      <c r="C657" s="2"/>
      <c r="D657" s="28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</row>
    <row r="658" spans="3:44" ht="15.75" customHeight="1" x14ac:dyDescent="0.2">
      <c r="C658" s="2"/>
      <c r="D658" s="28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</row>
    <row r="659" spans="3:44" ht="15.75" customHeight="1" x14ac:dyDescent="0.2">
      <c r="C659" s="2"/>
      <c r="D659" s="28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</row>
    <row r="660" spans="3:44" ht="15.75" customHeight="1" x14ac:dyDescent="0.2">
      <c r="C660" s="2"/>
      <c r="D660" s="28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</row>
    <row r="661" spans="3:44" ht="15.75" customHeight="1" x14ac:dyDescent="0.2">
      <c r="C661" s="2"/>
      <c r="D661" s="28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</row>
    <row r="662" spans="3:44" ht="15.75" customHeight="1" x14ac:dyDescent="0.2">
      <c r="C662" s="2"/>
      <c r="D662" s="28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</row>
    <row r="663" spans="3:44" ht="15.75" customHeight="1" x14ac:dyDescent="0.2">
      <c r="C663" s="2"/>
      <c r="D663" s="28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</row>
    <row r="664" spans="3:44" ht="15.75" customHeight="1" x14ac:dyDescent="0.2">
      <c r="C664" s="2"/>
      <c r="D664" s="28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</row>
    <row r="665" spans="3:44" ht="15.75" customHeight="1" x14ac:dyDescent="0.2">
      <c r="C665" s="2"/>
      <c r="D665" s="28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</row>
    <row r="666" spans="3:44" ht="15.75" customHeight="1" x14ac:dyDescent="0.2">
      <c r="C666" s="2"/>
      <c r="D666" s="28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</row>
    <row r="667" spans="3:44" ht="15.75" customHeight="1" x14ac:dyDescent="0.2">
      <c r="C667" s="2"/>
      <c r="D667" s="28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</row>
    <row r="668" spans="3:44" ht="15.75" customHeight="1" x14ac:dyDescent="0.2">
      <c r="C668" s="2"/>
      <c r="D668" s="28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</row>
    <row r="669" spans="3:44" ht="15.75" customHeight="1" x14ac:dyDescent="0.2">
      <c r="C669" s="2"/>
      <c r="D669" s="28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</row>
    <row r="670" spans="3:44" ht="15.75" customHeight="1" x14ac:dyDescent="0.2">
      <c r="C670" s="2"/>
      <c r="D670" s="28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</row>
    <row r="671" spans="3:44" ht="15.75" customHeight="1" x14ac:dyDescent="0.2">
      <c r="C671" s="2"/>
      <c r="D671" s="28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</row>
    <row r="672" spans="3:44" ht="15.75" customHeight="1" x14ac:dyDescent="0.2">
      <c r="C672" s="2"/>
      <c r="D672" s="28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</row>
    <row r="673" spans="3:44" ht="15.75" customHeight="1" x14ac:dyDescent="0.2">
      <c r="C673" s="2"/>
      <c r="D673" s="28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</row>
    <row r="674" spans="3:44" ht="15.75" customHeight="1" x14ac:dyDescent="0.2">
      <c r="C674" s="2"/>
      <c r="D674" s="28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</row>
    <row r="675" spans="3:44" ht="15.75" customHeight="1" x14ac:dyDescent="0.2">
      <c r="C675" s="2"/>
      <c r="D675" s="28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</row>
    <row r="676" spans="3:44" ht="15.75" customHeight="1" x14ac:dyDescent="0.2">
      <c r="C676" s="2"/>
      <c r="D676" s="28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</row>
    <row r="677" spans="3:44" ht="15.75" customHeight="1" x14ac:dyDescent="0.2">
      <c r="C677" s="2"/>
      <c r="D677" s="28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</row>
    <row r="678" spans="3:44" ht="15.75" customHeight="1" x14ac:dyDescent="0.2">
      <c r="C678" s="2"/>
      <c r="D678" s="28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</row>
    <row r="679" spans="3:44" ht="15.75" customHeight="1" x14ac:dyDescent="0.2"/>
    <row r="680" spans="3:44" ht="15.75" customHeight="1" x14ac:dyDescent="0.2"/>
    <row r="681" spans="3:44" ht="15.75" customHeight="1" x14ac:dyDescent="0.2"/>
    <row r="682" spans="3:44" ht="15.75" customHeight="1" x14ac:dyDescent="0.2"/>
    <row r="683" spans="3:44" ht="15.75" customHeight="1" x14ac:dyDescent="0.2"/>
    <row r="684" spans="3:44" ht="15.75" customHeight="1" x14ac:dyDescent="0.2"/>
    <row r="685" spans="3:44" ht="15.75" customHeight="1" x14ac:dyDescent="0.2"/>
    <row r="686" spans="3:44" ht="15.75" customHeight="1" x14ac:dyDescent="0.2"/>
    <row r="687" spans="3:44" ht="15.75" customHeight="1" x14ac:dyDescent="0.2"/>
    <row r="688" spans="3:44" ht="15.75" customHeight="1" x14ac:dyDescent="0.2"/>
    <row r="689" spans="3:44" s="2" customFormat="1" ht="15.75" customHeight="1" x14ac:dyDescent="0.2">
      <c r="C689"/>
      <c r="D689" s="35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</row>
    <row r="690" spans="3:44" s="2" customFormat="1" ht="15.75" customHeight="1" x14ac:dyDescent="0.2">
      <c r="C690"/>
      <c r="D690" s="35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</row>
    <row r="691" spans="3:44" s="2" customFormat="1" ht="15.75" customHeight="1" x14ac:dyDescent="0.2">
      <c r="C691"/>
      <c r="D691" s="35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</row>
    <row r="692" spans="3:44" s="2" customFormat="1" ht="15.75" customHeight="1" x14ac:dyDescent="0.2">
      <c r="C692"/>
      <c r="D692" s="35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</row>
    <row r="693" spans="3:44" s="2" customFormat="1" ht="15.75" customHeight="1" x14ac:dyDescent="0.2">
      <c r="C693"/>
      <c r="D693" s="35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</row>
    <row r="694" spans="3:44" s="2" customFormat="1" ht="15.75" customHeight="1" x14ac:dyDescent="0.2">
      <c r="C694"/>
      <c r="D694" s="35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</row>
    <row r="695" spans="3:44" s="2" customFormat="1" ht="15.75" customHeight="1" x14ac:dyDescent="0.2">
      <c r="C695"/>
      <c r="D695" s="3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</row>
    <row r="696" spans="3:44" s="2" customFormat="1" ht="15.75" customHeight="1" x14ac:dyDescent="0.2">
      <c r="C696"/>
      <c r="D696" s="35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</row>
    <row r="697" spans="3:44" s="2" customFormat="1" ht="15.75" customHeight="1" x14ac:dyDescent="0.2">
      <c r="C697"/>
      <c r="D697" s="35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</row>
    <row r="698" spans="3:44" s="2" customFormat="1" ht="15.75" customHeight="1" x14ac:dyDescent="0.2">
      <c r="C698"/>
      <c r="D698" s="35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</row>
    <row r="699" spans="3:44" s="2" customFormat="1" ht="15.75" customHeight="1" x14ac:dyDescent="0.2">
      <c r="C699"/>
      <c r="D699" s="35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</row>
    <row r="700" spans="3:44" s="2" customFormat="1" ht="15.75" customHeight="1" x14ac:dyDescent="0.2">
      <c r="C700"/>
      <c r="D700" s="35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</row>
    <row r="701" spans="3:44" s="2" customFormat="1" ht="15.75" customHeight="1" x14ac:dyDescent="0.2">
      <c r="C701"/>
      <c r="D701" s="35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</row>
    <row r="702" spans="3:44" s="2" customFormat="1" ht="15.75" customHeight="1" x14ac:dyDescent="0.2">
      <c r="C702"/>
      <c r="D702" s="35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</row>
    <row r="703" spans="3:44" s="2" customFormat="1" ht="15.75" customHeight="1" x14ac:dyDescent="0.2">
      <c r="C703"/>
      <c r="D703" s="35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</row>
    <row r="704" spans="3:44" s="2" customFormat="1" ht="15.75" customHeight="1" x14ac:dyDescent="0.2">
      <c r="C704"/>
      <c r="D704" s="35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</row>
    <row r="705" spans="3:44" s="2" customFormat="1" ht="15.75" customHeight="1" x14ac:dyDescent="0.2">
      <c r="C705"/>
      <c r="D705" s="3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</row>
    <row r="706" spans="3:44" s="2" customFormat="1" ht="15.75" customHeight="1" x14ac:dyDescent="0.2">
      <c r="C706"/>
      <c r="D706" s="35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</row>
    <row r="707" spans="3:44" s="2" customFormat="1" ht="15.75" customHeight="1" x14ac:dyDescent="0.2">
      <c r="C707"/>
      <c r="D707" s="35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</row>
    <row r="708" spans="3:44" s="2" customFormat="1" ht="15.75" customHeight="1" x14ac:dyDescent="0.2">
      <c r="C708"/>
      <c r="D708" s="35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</row>
    <row r="709" spans="3:44" s="2" customFormat="1" ht="15.75" customHeight="1" x14ac:dyDescent="0.2">
      <c r="C709"/>
      <c r="D709" s="35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</row>
    <row r="710" spans="3:44" s="2" customFormat="1" ht="15.75" customHeight="1" x14ac:dyDescent="0.2">
      <c r="C710"/>
      <c r="D710" s="35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</row>
    <row r="711" spans="3:44" s="2" customFormat="1" ht="15.75" customHeight="1" x14ac:dyDescent="0.2">
      <c r="C711"/>
      <c r="D711" s="35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</row>
    <row r="712" spans="3:44" s="2" customFormat="1" ht="15.75" customHeight="1" x14ac:dyDescent="0.2">
      <c r="C712"/>
      <c r="D712" s="35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</row>
    <row r="713" spans="3:44" s="2" customFormat="1" ht="15.75" customHeight="1" x14ac:dyDescent="0.2">
      <c r="C713"/>
      <c r="D713" s="35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</row>
    <row r="714" spans="3:44" s="2" customFormat="1" ht="15.75" customHeight="1" x14ac:dyDescent="0.2">
      <c r="C714"/>
      <c r="D714" s="35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</row>
    <row r="715" spans="3:44" s="2" customFormat="1" ht="15.75" customHeight="1" x14ac:dyDescent="0.2">
      <c r="C715"/>
      <c r="D715" s="3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</row>
    <row r="716" spans="3:44" s="2" customFormat="1" ht="15.75" customHeight="1" x14ac:dyDescent="0.2">
      <c r="C716"/>
      <c r="D716" s="35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</row>
    <row r="717" spans="3:44" s="2" customFormat="1" ht="15.75" customHeight="1" x14ac:dyDescent="0.2">
      <c r="C717"/>
      <c r="D717" s="35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</row>
    <row r="718" spans="3:44" s="2" customFormat="1" ht="15.75" customHeight="1" x14ac:dyDescent="0.2">
      <c r="C718"/>
      <c r="D718" s="35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</row>
    <row r="719" spans="3:44" s="2" customFormat="1" ht="15.75" customHeight="1" x14ac:dyDescent="0.2">
      <c r="C719"/>
      <c r="D719" s="35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</row>
    <row r="720" spans="3:44" s="2" customFormat="1" ht="15.75" customHeight="1" x14ac:dyDescent="0.2">
      <c r="C720"/>
      <c r="D720" s="35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</row>
    <row r="721" spans="3:44" s="2" customFormat="1" ht="15.75" customHeight="1" x14ac:dyDescent="0.2">
      <c r="C721"/>
      <c r="D721" s="35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</row>
    <row r="722" spans="3:44" s="2" customFormat="1" ht="15.75" customHeight="1" x14ac:dyDescent="0.2">
      <c r="C722"/>
      <c r="D722" s="35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</row>
    <row r="723" spans="3:44" s="2" customFormat="1" ht="15.75" customHeight="1" x14ac:dyDescent="0.2">
      <c r="C723"/>
      <c r="D723" s="35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</row>
    <row r="724" spans="3:44" s="2" customFormat="1" ht="15.75" customHeight="1" x14ac:dyDescent="0.2">
      <c r="C724"/>
      <c r="D724" s="35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</row>
    <row r="725" spans="3:44" s="2" customFormat="1" ht="15.75" customHeight="1" x14ac:dyDescent="0.2">
      <c r="C725"/>
      <c r="D725" s="3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</row>
    <row r="726" spans="3:44" s="2" customFormat="1" ht="15.75" customHeight="1" x14ac:dyDescent="0.2">
      <c r="C726"/>
      <c r="D726" s="35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</row>
    <row r="727" spans="3:44" s="2" customFormat="1" ht="15.75" customHeight="1" x14ac:dyDescent="0.2">
      <c r="C727"/>
      <c r="D727" s="35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</row>
    <row r="728" spans="3:44" s="2" customFormat="1" ht="15.75" customHeight="1" x14ac:dyDescent="0.2">
      <c r="C728"/>
      <c r="D728" s="35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</row>
    <row r="729" spans="3:44" s="2" customFormat="1" ht="15.75" customHeight="1" x14ac:dyDescent="0.2">
      <c r="C729"/>
      <c r="D729" s="35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</row>
    <row r="730" spans="3:44" s="2" customFormat="1" ht="15.75" customHeight="1" x14ac:dyDescent="0.2">
      <c r="C730"/>
      <c r="D730" s="35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</row>
    <row r="731" spans="3:44" s="2" customFormat="1" ht="15.75" customHeight="1" x14ac:dyDescent="0.2">
      <c r="C731"/>
      <c r="D731" s="35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</row>
    <row r="732" spans="3:44" s="2" customFormat="1" ht="15.75" customHeight="1" x14ac:dyDescent="0.2">
      <c r="C732"/>
      <c r="D732" s="35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</row>
    <row r="733" spans="3:44" s="2" customFormat="1" ht="15.75" customHeight="1" x14ac:dyDescent="0.2">
      <c r="C733"/>
      <c r="D733" s="35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</row>
    <row r="734" spans="3:44" s="2" customFormat="1" ht="15.75" customHeight="1" x14ac:dyDescent="0.2">
      <c r="C734"/>
      <c r="D734" s="35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</row>
    <row r="735" spans="3:44" s="2" customFormat="1" ht="15.75" customHeight="1" x14ac:dyDescent="0.2">
      <c r="C735"/>
      <c r="D735" s="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</row>
    <row r="736" spans="3:44" s="2" customFormat="1" ht="15.75" customHeight="1" x14ac:dyDescent="0.2">
      <c r="C736"/>
      <c r="D736" s="35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</row>
    <row r="737" spans="3:44" s="2" customFormat="1" ht="15.75" customHeight="1" x14ac:dyDescent="0.2">
      <c r="C737"/>
      <c r="D737" s="35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</row>
    <row r="738" spans="3:44" s="2" customFormat="1" ht="15.75" customHeight="1" x14ac:dyDescent="0.2">
      <c r="C738"/>
      <c r="D738" s="35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</row>
    <row r="739" spans="3:44" s="2" customFormat="1" ht="15.75" customHeight="1" x14ac:dyDescent="0.2">
      <c r="C739"/>
      <c r="D739" s="35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</row>
    <row r="740" spans="3:44" s="2" customFormat="1" ht="15.75" customHeight="1" x14ac:dyDescent="0.2">
      <c r="C740"/>
      <c r="D740" s="35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</row>
    <row r="741" spans="3:44" s="2" customFormat="1" ht="15.75" customHeight="1" x14ac:dyDescent="0.2">
      <c r="C741"/>
      <c r="D741" s="35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</row>
    <row r="742" spans="3:44" s="2" customFormat="1" ht="15.75" customHeight="1" x14ac:dyDescent="0.2">
      <c r="C742"/>
      <c r="D742" s="35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</row>
    <row r="743" spans="3:44" s="2" customFormat="1" ht="15.75" customHeight="1" x14ac:dyDescent="0.2">
      <c r="C743"/>
      <c r="D743" s="35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</row>
    <row r="744" spans="3:44" s="2" customFormat="1" ht="15.75" customHeight="1" x14ac:dyDescent="0.2">
      <c r="C744"/>
      <c r="D744" s="35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</row>
    <row r="745" spans="3:44" s="2" customFormat="1" ht="15.75" customHeight="1" x14ac:dyDescent="0.2">
      <c r="C745"/>
      <c r="D745" s="3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</row>
    <row r="746" spans="3:44" s="2" customFormat="1" ht="15.75" customHeight="1" x14ac:dyDescent="0.2">
      <c r="C746"/>
      <c r="D746" s="35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</row>
    <row r="747" spans="3:44" s="2" customFormat="1" ht="15.75" customHeight="1" x14ac:dyDescent="0.2">
      <c r="C747"/>
      <c r="D747" s="35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</row>
    <row r="748" spans="3:44" s="2" customFormat="1" ht="15.75" customHeight="1" x14ac:dyDescent="0.2">
      <c r="C748"/>
      <c r="D748" s="35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</row>
    <row r="749" spans="3:44" s="2" customFormat="1" ht="15.75" customHeight="1" x14ac:dyDescent="0.2">
      <c r="C749"/>
      <c r="D749" s="35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</row>
    <row r="750" spans="3:44" s="2" customFormat="1" ht="15.75" customHeight="1" x14ac:dyDescent="0.2">
      <c r="C750"/>
      <c r="D750" s="35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</row>
    <row r="751" spans="3:44" s="2" customFormat="1" ht="15.75" customHeight="1" x14ac:dyDescent="0.2">
      <c r="C751"/>
      <c r="D751" s="35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</row>
    <row r="752" spans="3:44" s="2" customFormat="1" ht="15.75" customHeight="1" x14ac:dyDescent="0.2">
      <c r="C752"/>
      <c r="D752" s="35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</row>
    <row r="753" spans="3:44" s="2" customFormat="1" ht="15.75" customHeight="1" x14ac:dyDescent="0.2">
      <c r="C753"/>
      <c r="D753" s="35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</row>
    <row r="754" spans="3:44" s="2" customFormat="1" ht="15.75" customHeight="1" x14ac:dyDescent="0.2">
      <c r="C754"/>
      <c r="D754" s="35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</row>
    <row r="755" spans="3:44" s="2" customFormat="1" ht="15.75" customHeight="1" x14ac:dyDescent="0.2">
      <c r="C755"/>
      <c r="D755" s="3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</row>
    <row r="756" spans="3:44" s="2" customFormat="1" ht="15.75" customHeight="1" x14ac:dyDescent="0.2">
      <c r="C756"/>
      <c r="D756" s="35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</row>
    <row r="757" spans="3:44" s="2" customFormat="1" ht="15.75" customHeight="1" x14ac:dyDescent="0.2">
      <c r="C757"/>
      <c r="D757" s="35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</row>
    <row r="758" spans="3:44" s="2" customFormat="1" ht="15.75" customHeight="1" x14ac:dyDescent="0.2">
      <c r="C758"/>
      <c r="D758" s="35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</row>
    <row r="759" spans="3:44" s="2" customFormat="1" ht="15.75" customHeight="1" x14ac:dyDescent="0.2">
      <c r="C759"/>
      <c r="D759" s="35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</row>
    <row r="760" spans="3:44" s="2" customFormat="1" ht="15.75" customHeight="1" x14ac:dyDescent="0.2">
      <c r="C760"/>
      <c r="D760" s="35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</row>
    <row r="761" spans="3:44" s="2" customFormat="1" ht="15.75" customHeight="1" x14ac:dyDescent="0.2">
      <c r="C761"/>
      <c r="D761" s="35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</row>
    <row r="762" spans="3:44" s="2" customFormat="1" ht="15.75" customHeight="1" x14ac:dyDescent="0.2">
      <c r="C762"/>
      <c r="D762" s="35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</row>
    <row r="763" spans="3:44" s="2" customFormat="1" ht="15.75" customHeight="1" x14ac:dyDescent="0.2">
      <c r="C763"/>
      <c r="D763" s="35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</row>
    <row r="764" spans="3:44" s="2" customFormat="1" ht="15.75" customHeight="1" x14ac:dyDescent="0.2">
      <c r="C764"/>
      <c r="D764" s="35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</row>
    <row r="765" spans="3:44" s="2" customFormat="1" ht="15.75" customHeight="1" x14ac:dyDescent="0.2">
      <c r="C765"/>
      <c r="D765" s="3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</row>
    <row r="766" spans="3:44" s="2" customFormat="1" ht="15.75" customHeight="1" x14ac:dyDescent="0.2">
      <c r="C766"/>
      <c r="D766" s="35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</row>
    <row r="767" spans="3:44" s="2" customFormat="1" ht="15.75" customHeight="1" x14ac:dyDescent="0.2">
      <c r="C767"/>
      <c r="D767" s="35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</row>
    <row r="768" spans="3:44" s="2" customFormat="1" ht="15.75" customHeight="1" x14ac:dyDescent="0.2">
      <c r="C768"/>
      <c r="D768" s="35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</row>
    <row r="769" spans="3:44" s="2" customFormat="1" ht="15.75" customHeight="1" x14ac:dyDescent="0.2">
      <c r="C769"/>
      <c r="D769" s="35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</row>
    <row r="770" spans="3:44" s="2" customFormat="1" ht="15.75" customHeight="1" x14ac:dyDescent="0.2">
      <c r="C770"/>
      <c r="D770" s="35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</row>
    <row r="771" spans="3:44" s="2" customFormat="1" ht="15.75" customHeight="1" x14ac:dyDescent="0.2">
      <c r="C771"/>
      <c r="D771" s="35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</row>
    <row r="772" spans="3:44" s="2" customFormat="1" ht="15.75" customHeight="1" x14ac:dyDescent="0.2">
      <c r="C772"/>
      <c r="D772" s="35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</row>
    <row r="773" spans="3:44" s="2" customFormat="1" ht="15.75" customHeight="1" x14ac:dyDescent="0.2">
      <c r="C773"/>
      <c r="D773" s="35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</row>
    <row r="774" spans="3:44" s="2" customFormat="1" ht="15.75" customHeight="1" x14ac:dyDescent="0.2">
      <c r="C774"/>
      <c r="D774" s="35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</row>
    <row r="775" spans="3:44" s="2" customFormat="1" ht="15.75" customHeight="1" x14ac:dyDescent="0.2">
      <c r="C775"/>
      <c r="D775" s="3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</row>
    <row r="776" spans="3:44" s="2" customFormat="1" ht="15.75" customHeight="1" x14ac:dyDescent="0.2">
      <c r="C776"/>
      <c r="D776" s="35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</row>
    <row r="777" spans="3:44" s="2" customFormat="1" ht="15.75" customHeight="1" x14ac:dyDescent="0.2">
      <c r="C777"/>
      <c r="D777" s="35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</row>
    <row r="778" spans="3:44" s="2" customFormat="1" ht="15.75" customHeight="1" x14ac:dyDescent="0.2">
      <c r="C778"/>
      <c r="D778" s="35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</row>
    <row r="779" spans="3:44" s="2" customFormat="1" ht="15.75" customHeight="1" x14ac:dyDescent="0.2">
      <c r="C779"/>
      <c r="D779" s="35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</row>
    <row r="780" spans="3:44" s="2" customFormat="1" ht="15.75" customHeight="1" x14ac:dyDescent="0.2">
      <c r="C780"/>
      <c r="D780" s="35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</row>
    <row r="781" spans="3:44" s="2" customFormat="1" ht="15.75" customHeight="1" x14ac:dyDescent="0.2">
      <c r="C781"/>
      <c r="D781" s="35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</row>
    <row r="782" spans="3:44" s="2" customFormat="1" ht="15.75" customHeight="1" x14ac:dyDescent="0.2">
      <c r="C782"/>
      <c r="D782" s="35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</row>
  </sheetData>
  <mergeCells count="2">
    <mergeCell ref="C2:D2"/>
    <mergeCell ref="C3:D3"/>
  </mergeCells>
  <phoneticPr fontId="14" type="noConversion"/>
  <pageMargins left="0.70866141732283472" right="0.70866141732283472" top="0.15748031496062992" bottom="0.35433070866141736" header="0.31496062992125984" footer="0.31496062992125984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0"/>
  <sheetViews>
    <sheetView zoomScale="110" zoomScaleNormal="110" workbookViewId="0">
      <selection activeCell="A13" sqref="A13:C15"/>
    </sheetView>
  </sheetViews>
  <sheetFormatPr defaultRowHeight="12.75" x14ac:dyDescent="0.2"/>
  <cols>
    <col min="1" max="1" width="38.7109375" customWidth="1"/>
    <col min="2" max="2" width="12.7109375" customWidth="1"/>
    <col min="3" max="3" width="12.7109375" style="105" customWidth="1"/>
    <col min="4" max="11" width="12.7109375" customWidth="1"/>
    <col min="12" max="12" width="10.28515625" customWidth="1"/>
  </cols>
  <sheetData>
    <row r="1" spans="1:8" ht="12.95" customHeight="1" x14ac:dyDescent="0.2">
      <c r="A1" s="52"/>
      <c r="B1" s="52"/>
      <c r="C1" s="52"/>
      <c r="D1" s="52"/>
      <c r="E1" s="52"/>
      <c r="F1" s="52"/>
      <c r="G1" s="52"/>
      <c r="H1" s="189" t="s">
        <v>666</v>
      </c>
    </row>
    <row r="2" spans="1:8" ht="12.95" customHeight="1" x14ac:dyDescent="0.2">
      <c r="A2" s="52"/>
      <c r="B2" s="52"/>
      <c r="C2" s="52"/>
      <c r="D2" s="52"/>
      <c r="E2" s="52"/>
      <c r="F2" s="52"/>
      <c r="G2" s="52"/>
      <c r="H2" s="221" t="str">
        <f>'1.Bev-kiad.'!C2</f>
        <v>a 2/2025.(III.6.) önkormányzati rendelethez</v>
      </c>
    </row>
    <row r="3" spans="1:8" ht="12.95" customHeight="1" x14ac:dyDescent="0.2">
      <c r="A3" s="52"/>
      <c r="B3" s="52"/>
      <c r="C3" s="52"/>
      <c r="D3" s="52"/>
      <c r="E3" s="52"/>
      <c r="F3" s="52"/>
      <c r="G3" s="52"/>
      <c r="H3" s="221"/>
    </row>
    <row r="4" spans="1:8" ht="12.95" customHeight="1" x14ac:dyDescent="0.2">
      <c r="A4" s="52"/>
      <c r="B4" s="52"/>
      <c r="C4" s="52"/>
      <c r="D4" s="52"/>
      <c r="E4" s="52"/>
      <c r="F4" s="52"/>
      <c r="G4" s="52"/>
      <c r="H4" s="55"/>
    </row>
    <row r="5" spans="1:8" ht="16.5" customHeight="1" x14ac:dyDescent="0.2">
      <c r="A5" s="487" t="s">
        <v>369</v>
      </c>
      <c r="B5" s="489"/>
      <c r="C5" s="489"/>
      <c r="D5" s="489"/>
      <c r="E5" s="489"/>
      <c r="F5" s="489"/>
      <c r="G5" s="489"/>
      <c r="H5" s="489"/>
    </row>
    <row r="6" spans="1:8" ht="12.95" customHeight="1" x14ac:dyDescent="0.2">
      <c r="A6" s="488" t="s">
        <v>795</v>
      </c>
      <c r="B6" s="489"/>
      <c r="C6" s="489"/>
      <c r="D6" s="489"/>
      <c r="E6" s="489"/>
      <c r="F6" s="489"/>
      <c r="G6" s="489"/>
      <c r="H6" s="489"/>
    </row>
    <row r="7" spans="1:8" ht="12.95" customHeight="1" x14ac:dyDescent="0.2">
      <c r="A7" s="3"/>
      <c r="B7" s="3"/>
      <c r="C7" s="90"/>
      <c r="D7" s="91"/>
      <c r="E7" s="91"/>
      <c r="F7" s="91"/>
      <c r="G7" s="91"/>
      <c r="H7" s="189" t="s">
        <v>0</v>
      </c>
    </row>
    <row r="8" spans="1:8" ht="17.25" customHeight="1" x14ac:dyDescent="0.2">
      <c r="A8" s="499" t="s">
        <v>494</v>
      </c>
      <c r="B8" s="499" t="s">
        <v>54</v>
      </c>
      <c r="C8" s="499" t="s">
        <v>55</v>
      </c>
      <c r="D8" s="501" t="s">
        <v>104</v>
      </c>
      <c r="E8" s="501"/>
      <c r="F8" s="501"/>
      <c r="G8" s="501"/>
      <c r="H8" s="502" t="s">
        <v>40</v>
      </c>
    </row>
    <row r="9" spans="1:8" ht="30" customHeight="1" x14ac:dyDescent="0.2">
      <c r="A9" s="500"/>
      <c r="B9" s="500"/>
      <c r="C9" s="500"/>
      <c r="D9" s="128">
        <v>2025</v>
      </c>
      <c r="E9" s="153">
        <v>2026</v>
      </c>
      <c r="F9" s="101">
        <v>2027</v>
      </c>
      <c r="G9" s="101">
        <v>2028</v>
      </c>
      <c r="H9" s="503"/>
    </row>
    <row r="10" spans="1:8" ht="12.95" customHeight="1" x14ac:dyDescent="0.2">
      <c r="A10" s="102" t="s">
        <v>52</v>
      </c>
      <c r="B10" s="24" t="s">
        <v>52</v>
      </c>
      <c r="C10" s="25" t="s">
        <v>52</v>
      </c>
      <c r="D10" s="129">
        <v>0</v>
      </c>
      <c r="E10" s="25">
        <v>0</v>
      </c>
      <c r="F10" s="25">
        <v>0</v>
      </c>
      <c r="G10" s="25">
        <v>0</v>
      </c>
      <c r="H10" s="25"/>
    </row>
    <row r="11" spans="1:8" ht="12.95" customHeight="1" x14ac:dyDescent="0.2">
      <c r="A11" s="58"/>
      <c r="B11" s="60"/>
      <c r="C11" s="60"/>
      <c r="D11" s="127"/>
      <c r="E11" s="60"/>
      <c r="F11" s="60"/>
      <c r="G11" s="60"/>
      <c r="H11" s="25"/>
    </row>
    <row r="12" spans="1:8" ht="12.95" customHeight="1" x14ac:dyDescent="0.2">
      <c r="A12" s="103" t="s">
        <v>40</v>
      </c>
      <c r="B12" s="62"/>
      <c r="C12" s="59"/>
      <c r="D12" s="130">
        <f>SUM(D10:D11)</f>
        <v>0</v>
      </c>
      <c r="E12" s="58"/>
      <c r="F12" s="59">
        <f>SUM(F10:F11)</f>
        <v>0</v>
      </c>
      <c r="G12" s="59">
        <v>0</v>
      </c>
      <c r="H12" s="59">
        <f>SUM(H10:H11)</f>
        <v>0</v>
      </c>
    </row>
    <row r="13" spans="1:8" ht="22.5" customHeight="1" x14ac:dyDescent="0.2">
      <c r="A13" s="490" t="s">
        <v>375</v>
      </c>
      <c r="B13" s="491"/>
      <c r="C13" s="492"/>
      <c r="D13" s="501" t="s">
        <v>105</v>
      </c>
      <c r="E13" s="501"/>
      <c r="F13" s="501"/>
      <c r="G13" s="501"/>
      <c r="H13" s="502" t="s">
        <v>40</v>
      </c>
    </row>
    <row r="14" spans="1:8" ht="27" customHeight="1" x14ac:dyDescent="0.2">
      <c r="A14" s="493"/>
      <c r="B14" s="494"/>
      <c r="C14" s="495"/>
      <c r="D14" s="128">
        <f>D9</f>
        <v>2025</v>
      </c>
      <c r="E14" s="153">
        <f>E9</f>
        <v>2026</v>
      </c>
      <c r="F14" s="153">
        <f>F9</f>
        <v>2027</v>
      </c>
      <c r="G14" s="153">
        <f>G9</f>
        <v>2028</v>
      </c>
      <c r="H14" s="503"/>
    </row>
    <row r="15" spans="1:8" ht="12.95" customHeight="1" x14ac:dyDescent="0.2">
      <c r="A15" s="496"/>
      <c r="B15" s="497"/>
      <c r="C15" s="498"/>
      <c r="D15" s="129">
        <f>('2.működés'!C69+'2.működés'!C75+'2.működés'!C77+'2.működés'!C78+'2.működés'!C83+'3.felh'!C25+'3.felh'!C26+'3.felh'!C27)/2</f>
        <v>16500</v>
      </c>
      <c r="E15" s="25">
        <v>16500</v>
      </c>
      <c r="F15" s="25">
        <v>16500</v>
      </c>
      <c r="G15" s="25">
        <v>16500</v>
      </c>
      <c r="H15" s="25"/>
    </row>
    <row r="16" spans="1:8" ht="12.95" customHeight="1" x14ac:dyDescent="0.2">
      <c r="B16" s="76"/>
      <c r="C16" s="104"/>
    </row>
    <row r="17" spans="2:3" ht="12.95" customHeight="1" x14ac:dyDescent="0.2">
      <c r="B17" s="76"/>
      <c r="C17" s="104"/>
    </row>
    <row r="18" spans="2:3" ht="12.95" customHeight="1" x14ac:dyDescent="0.2">
      <c r="B18" s="76"/>
      <c r="C18" s="104"/>
    </row>
    <row r="19" spans="2:3" ht="12.95" customHeight="1" x14ac:dyDescent="0.2">
      <c r="B19" s="76"/>
      <c r="C19" s="104"/>
    </row>
    <row r="20" spans="2:3" ht="12.95" customHeight="1" x14ac:dyDescent="0.2">
      <c r="B20" s="76"/>
      <c r="C20" s="104"/>
    </row>
    <row r="21" spans="2:3" ht="12.95" customHeight="1" x14ac:dyDescent="0.2">
      <c r="B21" s="76"/>
      <c r="C21" s="104"/>
    </row>
    <row r="22" spans="2:3" ht="12.95" customHeight="1" x14ac:dyDescent="0.2">
      <c r="B22" s="76"/>
      <c r="C22" s="104"/>
    </row>
    <row r="23" spans="2:3" ht="12.95" customHeight="1" x14ac:dyDescent="0.2">
      <c r="B23" s="76"/>
      <c r="C23" s="104"/>
    </row>
    <row r="24" spans="2:3" ht="12.95" customHeight="1" x14ac:dyDescent="0.2">
      <c r="B24" s="76"/>
      <c r="C24" s="104"/>
    </row>
    <row r="25" spans="2:3" ht="12.95" customHeight="1" x14ac:dyDescent="0.2">
      <c r="B25" s="76"/>
      <c r="C25" s="104"/>
    </row>
    <row r="26" spans="2:3" ht="12.95" customHeight="1" x14ac:dyDescent="0.2">
      <c r="B26" s="76"/>
      <c r="C26" s="104"/>
    </row>
    <row r="27" spans="2:3" ht="12.95" customHeight="1" x14ac:dyDescent="0.2">
      <c r="B27" s="76"/>
      <c r="C27" s="104"/>
    </row>
    <row r="28" spans="2:3" ht="12.95" customHeight="1" x14ac:dyDescent="0.2">
      <c r="B28" s="76"/>
      <c r="C28" s="104"/>
    </row>
    <row r="29" spans="2:3" ht="12.95" customHeight="1" x14ac:dyDescent="0.2">
      <c r="B29" s="76"/>
      <c r="C29" s="104"/>
    </row>
    <row r="30" spans="2:3" ht="12.95" customHeight="1" x14ac:dyDescent="0.2">
      <c r="B30" s="76"/>
      <c r="C30" s="104"/>
    </row>
    <row r="31" spans="2:3" ht="12.95" customHeight="1" x14ac:dyDescent="0.2">
      <c r="B31" s="76"/>
      <c r="C31" s="104"/>
    </row>
    <row r="32" spans="2:3" ht="12.95" customHeight="1" x14ac:dyDescent="0.2">
      <c r="B32" s="76"/>
      <c r="C32" s="104"/>
    </row>
    <row r="33" spans="2:3" ht="12.95" customHeight="1" x14ac:dyDescent="0.2">
      <c r="B33" s="76"/>
      <c r="C33" s="104"/>
    </row>
    <row r="34" spans="2:3" ht="12.95" customHeight="1" x14ac:dyDescent="0.2">
      <c r="B34" s="76"/>
      <c r="C34" s="104"/>
    </row>
    <row r="35" spans="2:3" ht="12.95" customHeight="1" x14ac:dyDescent="0.2">
      <c r="B35" s="76"/>
      <c r="C35" s="104"/>
    </row>
    <row r="36" spans="2:3" ht="12.95" customHeight="1" x14ac:dyDescent="0.2">
      <c r="B36" s="76"/>
      <c r="C36" s="104"/>
    </row>
    <row r="37" spans="2:3" ht="12.95" customHeight="1" x14ac:dyDescent="0.2">
      <c r="B37" s="76"/>
      <c r="C37" s="104"/>
    </row>
    <row r="38" spans="2:3" ht="12.95" customHeight="1" x14ac:dyDescent="0.2">
      <c r="B38" s="76"/>
      <c r="C38" s="104"/>
    </row>
    <row r="39" spans="2:3" ht="12.95" customHeight="1" x14ac:dyDescent="0.2">
      <c r="B39" s="76"/>
      <c r="C39" s="104"/>
    </row>
    <row r="40" spans="2:3" ht="12.95" customHeight="1" x14ac:dyDescent="0.2">
      <c r="B40" s="76"/>
      <c r="C40" s="104"/>
    </row>
    <row r="41" spans="2:3" ht="12.95" customHeight="1" x14ac:dyDescent="0.2">
      <c r="B41" s="76"/>
      <c r="C41" s="104"/>
    </row>
    <row r="42" spans="2:3" ht="12.95" customHeight="1" x14ac:dyDescent="0.2">
      <c r="B42" s="76"/>
      <c r="C42" s="104"/>
    </row>
    <row r="43" spans="2:3" ht="12.95" customHeight="1" x14ac:dyDescent="0.2">
      <c r="B43" s="76"/>
      <c r="C43" s="104"/>
    </row>
    <row r="44" spans="2:3" ht="12.95" customHeight="1" x14ac:dyDescent="0.2">
      <c r="B44" s="76"/>
      <c r="C44" s="104"/>
    </row>
    <row r="45" spans="2:3" ht="12.95" customHeight="1" x14ac:dyDescent="0.2">
      <c r="B45" s="76"/>
      <c r="C45" s="104"/>
    </row>
    <row r="46" spans="2:3" ht="12.95" customHeight="1" x14ac:dyDescent="0.2">
      <c r="B46" s="76"/>
      <c r="C46" s="104"/>
    </row>
    <row r="47" spans="2:3" ht="12.95" customHeight="1" x14ac:dyDescent="0.2">
      <c r="B47" s="76"/>
      <c r="C47" s="104"/>
    </row>
    <row r="48" spans="2:3" ht="12.95" customHeight="1" x14ac:dyDescent="0.2">
      <c r="B48" s="76"/>
      <c r="C48" s="104"/>
    </row>
    <row r="49" spans="2:3" ht="12.95" customHeight="1" x14ac:dyDescent="0.2">
      <c r="B49" s="76"/>
      <c r="C49" s="104"/>
    </row>
    <row r="50" spans="2:3" ht="12.95" customHeight="1" x14ac:dyDescent="0.2">
      <c r="B50" s="76"/>
      <c r="C50" s="104"/>
    </row>
    <row r="51" spans="2:3" ht="12.95" customHeight="1" x14ac:dyDescent="0.2">
      <c r="B51" s="76"/>
      <c r="C51" s="104"/>
    </row>
    <row r="52" spans="2:3" ht="12.95" customHeight="1" x14ac:dyDescent="0.2">
      <c r="B52" s="76"/>
      <c r="C52" s="104"/>
    </row>
    <row r="53" spans="2:3" x14ac:dyDescent="0.2">
      <c r="B53" s="76"/>
      <c r="C53" s="104"/>
    </row>
    <row r="54" spans="2:3" x14ac:dyDescent="0.2">
      <c r="B54" s="76"/>
      <c r="C54" s="104"/>
    </row>
    <row r="55" spans="2:3" x14ac:dyDescent="0.2">
      <c r="B55" s="76"/>
      <c r="C55" s="104"/>
    </row>
    <row r="56" spans="2:3" x14ac:dyDescent="0.2">
      <c r="B56" s="76"/>
      <c r="C56" s="104"/>
    </row>
    <row r="57" spans="2:3" x14ac:dyDescent="0.2">
      <c r="B57" s="76"/>
      <c r="C57" s="104"/>
    </row>
    <row r="58" spans="2:3" x14ac:dyDescent="0.2">
      <c r="B58" s="76"/>
      <c r="C58" s="104"/>
    </row>
    <row r="59" spans="2:3" x14ac:dyDescent="0.2">
      <c r="B59" s="76"/>
      <c r="C59" s="104"/>
    </row>
    <row r="60" spans="2:3" x14ac:dyDescent="0.2">
      <c r="B60" s="76"/>
      <c r="C60" s="104"/>
    </row>
    <row r="61" spans="2:3" x14ac:dyDescent="0.2">
      <c r="B61" s="76"/>
      <c r="C61" s="104"/>
    </row>
    <row r="62" spans="2:3" x14ac:dyDescent="0.2">
      <c r="B62" s="76"/>
      <c r="C62" s="104"/>
    </row>
    <row r="63" spans="2:3" x14ac:dyDescent="0.2">
      <c r="B63" s="76"/>
      <c r="C63" s="104"/>
    </row>
    <row r="64" spans="2:3" x14ac:dyDescent="0.2">
      <c r="B64" s="76"/>
      <c r="C64" s="104"/>
    </row>
    <row r="65" spans="2:3" x14ac:dyDescent="0.2">
      <c r="B65" s="76"/>
      <c r="C65" s="104"/>
    </row>
    <row r="66" spans="2:3" x14ac:dyDescent="0.2">
      <c r="B66" s="76"/>
      <c r="C66" s="104"/>
    </row>
    <row r="67" spans="2:3" x14ac:dyDescent="0.2">
      <c r="B67" s="76"/>
      <c r="C67" s="104"/>
    </row>
    <row r="68" spans="2:3" x14ac:dyDescent="0.2">
      <c r="B68" s="76"/>
      <c r="C68" s="104"/>
    </row>
    <row r="69" spans="2:3" x14ac:dyDescent="0.2">
      <c r="B69" s="76"/>
      <c r="C69" s="104"/>
    </row>
    <row r="70" spans="2:3" x14ac:dyDescent="0.2">
      <c r="B70" s="76"/>
      <c r="C70" s="104"/>
    </row>
  </sheetData>
  <mergeCells count="10">
    <mergeCell ref="A5:H5"/>
    <mergeCell ref="A13:C15"/>
    <mergeCell ref="A6:H6"/>
    <mergeCell ref="A8:A9"/>
    <mergeCell ref="B8:B9"/>
    <mergeCell ref="C8:C9"/>
    <mergeCell ref="D8:G8"/>
    <mergeCell ref="H8:H9"/>
    <mergeCell ref="D13:G13"/>
    <mergeCell ref="H13:H14"/>
  </mergeCells>
  <pageMargins left="0.64" right="0.2" top="0.31" bottom="1" header="0.19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7"/>
  <sheetViews>
    <sheetView zoomScaleNormal="100" workbookViewId="0">
      <selection activeCell="A7" sqref="A7"/>
    </sheetView>
  </sheetViews>
  <sheetFormatPr defaultRowHeight="12.75" x14ac:dyDescent="0.2"/>
  <cols>
    <col min="1" max="1" width="32.5703125" customWidth="1"/>
    <col min="2" max="6" width="9.85546875" bestFit="1" customWidth="1"/>
    <col min="7" max="7" width="9.42578125" customWidth="1"/>
    <col min="8" max="9" width="8.28515625" customWidth="1"/>
    <col min="10" max="10" width="8.85546875" bestFit="1" customWidth="1"/>
    <col min="11" max="13" width="9.85546875" bestFit="1" customWidth="1"/>
    <col min="14" max="14" width="10.85546875" customWidth="1"/>
  </cols>
  <sheetData>
    <row r="1" spans="1:17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M1" s="3"/>
      <c r="N1" s="189" t="s">
        <v>797</v>
      </c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M2" s="3"/>
      <c r="N2" s="221" t="str">
        <f>'1.Bev-kiad.'!C2</f>
        <v>a 2/2025.(III.6.) önkormányzati rendelethez</v>
      </c>
    </row>
    <row r="3" spans="1:17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3"/>
      <c r="N3" s="221"/>
    </row>
    <row r="4" spans="1:17" ht="15.75" x14ac:dyDescent="0.25">
      <c r="A4" s="504" t="s">
        <v>796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</row>
    <row r="5" spans="1:17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8"/>
    </row>
    <row r="6" spans="1:17" ht="13.5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88" t="s">
        <v>0</v>
      </c>
    </row>
    <row r="7" spans="1:17" ht="30.75" customHeight="1" thickBot="1" x14ac:dyDescent="0.25">
      <c r="A7" s="106" t="s">
        <v>57</v>
      </c>
      <c r="B7" s="107" t="s">
        <v>58</v>
      </c>
      <c r="C7" s="107" t="s">
        <v>59</v>
      </c>
      <c r="D7" s="107" t="s">
        <v>60</v>
      </c>
      <c r="E7" s="107" t="s">
        <v>61</v>
      </c>
      <c r="F7" s="107" t="s">
        <v>62</v>
      </c>
      <c r="G7" s="107" t="s">
        <v>63</v>
      </c>
      <c r="H7" s="107" t="s">
        <v>64</v>
      </c>
      <c r="I7" s="107" t="s">
        <v>65</v>
      </c>
      <c r="J7" s="107" t="s">
        <v>66</v>
      </c>
      <c r="K7" s="107" t="s">
        <v>67</v>
      </c>
      <c r="L7" s="107" t="s">
        <v>68</v>
      </c>
      <c r="M7" s="107" t="s">
        <v>69</v>
      </c>
      <c r="N7" s="108" t="s">
        <v>40</v>
      </c>
    </row>
    <row r="8" spans="1:17" ht="15.95" customHeight="1" x14ac:dyDescent="0.2">
      <c r="A8" s="109" t="s">
        <v>70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110"/>
    </row>
    <row r="9" spans="1:17" ht="15.95" customHeight="1" x14ac:dyDescent="0.2">
      <c r="A9" s="111" t="s">
        <v>324</v>
      </c>
      <c r="B9" s="32">
        <v>3010</v>
      </c>
      <c r="C9" s="32">
        <v>3015</v>
      </c>
      <c r="D9" s="32">
        <v>3015</v>
      </c>
      <c r="E9" s="32">
        <v>3015</v>
      </c>
      <c r="F9" s="32">
        <v>3015</v>
      </c>
      <c r="G9" s="32">
        <v>3015</v>
      </c>
      <c r="H9" s="32">
        <v>3015</v>
      </c>
      <c r="I9" s="32">
        <v>3015</v>
      </c>
      <c r="J9" s="32">
        <v>3015</v>
      </c>
      <c r="K9" s="32">
        <v>3015</v>
      </c>
      <c r="L9" s="32">
        <v>3015</v>
      </c>
      <c r="M9" s="32">
        <v>3015</v>
      </c>
      <c r="N9" s="112">
        <f t="shared" ref="N9:N15" si="0">SUM(B9:M9)</f>
        <v>36175</v>
      </c>
      <c r="P9" s="35"/>
      <c r="Q9" s="76"/>
    </row>
    <row r="10" spans="1:17" ht="15.95" customHeight="1" x14ac:dyDescent="0.2">
      <c r="A10" s="111" t="s">
        <v>325</v>
      </c>
      <c r="B10" s="32">
        <v>300</v>
      </c>
      <c r="C10" s="32">
        <v>150</v>
      </c>
      <c r="D10" s="32">
        <v>7800</v>
      </c>
      <c r="E10" s="32">
        <v>7000</v>
      </c>
      <c r="F10" s="32">
        <v>1000</v>
      </c>
      <c r="G10" s="32">
        <v>800</v>
      </c>
      <c r="H10" s="32">
        <v>500</v>
      </c>
      <c r="I10" s="32">
        <v>2500</v>
      </c>
      <c r="J10" s="32">
        <v>9750</v>
      </c>
      <c r="K10" s="32">
        <v>2000</v>
      </c>
      <c r="L10" s="32">
        <v>400</v>
      </c>
      <c r="M10" s="32">
        <v>800</v>
      </c>
      <c r="N10" s="112">
        <f t="shared" si="0"/>
        <v>33000</v>
      </c>
      <c r="P10" s="35"/>
      <c r="Q10" s="76"/>
    </row>
    <row r="11" spans="1:17" ht="15.75" customHeight="1" x14ac:dyDescent="0.2">
      <c r="A11" s="131" t="s">
        <v>326</v>
      </c>
      <c r="B11" s="32">
        <v>866</v>
      </c>
      <c r="C11" s="32">
        <v>869</v>
      </c>
      <c r="D11" s="32">
        <v>869</v>
      </c>
      <c r="E11" s="32">
        <v>869</v>
      </c>
      <c r="F11" s="32">
        <v>869</v>
      </c>
      <c r="G11" s="32">
        <v>869</v>
      </c>
      <c r="H11" s="32">
        <v>869</v>
      </c>
      <c r="I11" s="32">
        <v>869</v>
      </c>
      <c r="J11" s="32">
        <v>869</v>
      </c>
      <c r="K11" s="32">
        <v>869</v>
      </c>
      <c r="L11" s="32">
        <v>869</v>
      </c>
      <c r="M11" s="32">
        <v>869</v>
      </c>
      <c r="N11" s="112">
        <f t="shared" si="0"/>
        <v>10425</v>
      </c>
      <c r="P11" s="35"/>
      <c r="Q11" s="76"/>
    </row>
    <row r="12" spans="1:17" ht="15.95" customHeight="1" x14ac:dyDescent="0.2">
      <c r="A12" s="111" t="s">
        <v>327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112">
        <f t="shared" si="0"/>
        <v>0</v>
      </c>
      <c r="P12" s="35"/>
      <c r="Q12" s="76"/>
    </row>
    <row r="13" spans="1:17" ht="15.95" customHeight="1" x14ac:dyDescent="0.2">
      <c r="A13" s="111" t="s">
        <v>328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12">
        <f t="shared" si="0"/>
        <v>0</v>
      </c>
      <c r="P13" s="35"/>
      <c r="Q13" s="76"/>
    </row>
    <row r="14" spans="1:17" ht="15.95" customHeight="1" x14ac:dyDescent="0.2">
      <c r="A14" s="111" t="s">
        <v>634</v>
      </c>
      <c r="B14" s="32">
        <v>11995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112">
        <f t="shared" si="0"/>
        <v>11995</v>
      </c>
      <c r="P14" s="35"/>
      <c r="Q14" s="76"/>
    </row>
    <row r="15" spans="1:17" ht="15.95" customHeight="1" x14ac:dyDescent="0.2">
      <c r="A15" s="111" t="s">
        <v>635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12">
        <f t="shared" si="0"/>
        <v>0</v>
      </c>
      <c r="P15" s="35"/>
      <c r="Q15" s="76"/>
    </row>
    <row r="16" spans="1:17" ht="15.95" customHeight="1" x14ac:dyDescent="0.2">
      <c r="A16" s="113" t="s">
        <v>71</v>
      </c>
      <c r="B16" s="34">
        <f t="shared" ref="B16:M16" si="1">SUM(B9:B14)</f>
        <v>16171</v>
      </c>
      <c r="C16" s="34">
        <f t="shared" si="1"/>
        <v>4034</v>
      </c>
      <c r="D16" s="34">
        <f t="shared" si="1"/>
        <v>11684</v>
      </c>
      <c r="E16" s="34">
        <f t="shared" si="1"/>
        <v>10884</v>
      </c>
      <c r="F16" s="34">
        <f t="shared" si="1"/>
        <v>4884</v>
      </c>
      <c r="G16" s="34">
        <f t="shared" si="1"/>
        <v>4684</v>
      </c>
      <c r="H16" s="34">
        <f t="shared" si="1"/>
        <v>4384</v>
      </c>
      <c r="I16" s="34">
        <f t="shared" si="1"/>
        <v>6384</v>
      </c>
      <c r="J16" s="34">
        <f t="shared" si="1"/>
        <v>13634</v>
      </c>
      <c r="K16" s="34">
        <f t="shared" si="1"/>
        <v>5884</v>
      </c>
      <c r="L16" s="34">
        <f t="shared" si="1"/>
        <v>4284</v>
      </c>
      <c r="M16" s="34">
        <f t="shared" si="1"/>
        <v>4684</v>
      </c>
      <c r="N16" s="112">
        <f>SUM(N9:N15)</f>
        <v>91595</v>
      </c>
      <c r="P16" s="76"/>
      <c r="Q16" s="76"/>
    </row>
    <row r="17" spans="1:17" ht="16.5" customHeight="1" x14ac:dyDescent="0.2">
      <c r="A17" s="113" t="s">
        <v>72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112"/>
      <c r="Q17" s="76"/>
    </row>
    <row r="18" spans="1:17" ht="15.95" customHeight="1" x14ac:dyDescent="0.2">
      <c r="A18" s="111" t="s">
        <v>73</v>
      </c>
      <c r="B18" s="32">
        <v>7473</v>
      </c>
      <c r="C18" s="32">
        <v>7473</v>
      </c>
      <c r="D18" s="32">
        <v>7473</v>
      </c>
      <c r="E18" s="32">
        <v>7473</v>
      </c>
      <c r="F18" s="32">
        <v>7473</v>
      </c>
      <c r="G18" s="32">
        <v>7474</v>
      </c>
      <c r="H18" s="32">
        <v>7473</v>
      </c>
      <c r="I18" s="32">
        <v>7473</v>
      </c>
      <c r="J18" s="32">
        <v>7473</v>
      </c>
      <c r="K18" s="32">
        <v>7473</v>
      </c>
      <c r="L18" s="32">
        <v>7473</v>
      </c>
      <c r="M18" s="32">
        <v>7474</v>
      </c>
      <c r="N18" s="112">
        <f t="shared" ref="N18:N23" si="2">SUM(B18:M18)</f>
        <v>89678</v>
      </c>
      <c r="O18" s="115"/>
      <c r="P18" s="35"/>
      <c r="Q18" s="76"/>
    </row>
    <row r="19" spans="1:17" ht="15.95" customHeight="1" x14ac:dyDescent="0.2">
      <c r="A19" s="111" t="s">
        <v>386</v>
      </c>
      <c r="B19" s="32">
        <v>933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112">
        <f t="shared" si="2"/>
        <v>933</v>
      </c>
      <c r="O19" s="76"/>
      <c r="P19" s="35"/>
      <c r="Q19" s="76"/>
    </row>
    <row r="20" spans="1:17" ht="15.95" customHeight="1" x14ac:dyDescent="0.2">
      <c r="A20" s="111" t="s">
        <v>74</v>
      </c>
      <c r="B20" s="32"/>
      <c r="C20" s="32"/>
      <c r="D20" s="32">
        <v>634</v>
      </c>
      <c r="E20" s="32"/>
      <c r="F20" s="32"/>
      <c r="G20" s="32">
        <v>350</v>
      </c>
      <c r="H20" s="32"/>
      <c r="I20" s="32"/>
      <c r="J20" s="32"/>
      <c r="K20" s="32"/>
      <c r="L20" s="32"/>
      <c r="M20" s="32"/>
      <c r="N20" s="112">
        <f t="shared" si="2"/>
        <v>984</v>
      </c>
      <c r="P20" s="35"/>
      <c r="Q20" s="76"/>
    </row>
    <row r="21" spans="1:17" ht="15.95" customHeight="1" x14ac:dyDescent="0.2">
      <c r="A21" s="111" t="s">
        <v>623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12">
        <f t="shared" si="2"/>
        <v>0</v>
      </c>
      <c r="P21" s="35"/>
      <c r="Q21" s="76"/>
    </row>
    <row r="22" spans="1:17" ht="15.75" customHeight="1" x14ac:dyDescent="0.2">
      <c r="A22" s="111" t="s">
        <v>739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>
        <v>0</v>
      </c>
      <c r="N22" s="271">
        <f t="shared" si="2"/>
        <v>0</v>
      </c>
      <c r="P22" s="35"/>
      <c r="Q22" s="76"/>
    </row>
    <row r="23" spans="1:17" ht="15.95" customHeight="1" x14ac:dyDescent="0.2">
      <c r="A23" s="113" t="s">
        <v>75</v>
      </c>
      <c r="B23" s="114">
        <f t="shared" ref="B23:M23" si="3">SUM(B18:B22)</f>
        <v>8406</v>
      </c>
      <c r="C23" s="114">
        <f t="shared" si="3"/>
        <v>7473</v>
      </c>
      <c r="D23" s="114">
        <f t="shared" si="3"/>
        <v>8107</v>
      </c>
      <c r="E23" s="114">
        <f t="shared" si="3"/>
        <v>7473</v>
      </c>
      <c r="F23" s="114">
        <f t="shared" si="3"/>
        <v>7473</v>
      </c>
      <c r="G23" s="114">
        <f t="shared" si="3"/>
        <v>7824</v>
      </c>
      <c r="H23" s="114">
        <f t="shared" si="3"/>
        <v>7473</v>
      </c>
      <c r="I23" s="114">
        <f t="shared" si="3"/>
        <v>7473</v>
      </c>
      <c r="J23" s="114">
        <f t="shared" si="3"/>
        <v>7473</v>
      </c>
      <c r="K23" s="114">
        <f t="shared" si="3"/>
        <v>7473</v>
      </c>
      <c r="L23" s="114">
        <f t="shared" si="3"/>
        <v>7473</v>
      </c>
      <c r="M23" s="114">
        <f t="shared" si="3"/>
        <v>7474</v>
      </c>
      <c r="N23" s="112">
        <f t="shared" si="2"/>
        <v>91595</v>
      </c>
      <c r="O23" s="76"/>
      <c r="P23" s="35"/>
      <c r="Q23" s="76"/>
    </row>
    <row r="24" spans="1:17" ht="15.95" customHeight="1" x14ac:dyDescent="0.2">
      <c r="A24" s="113" t="s">
        <v>76</v>
      </c>
      <c r="B24" s="114">
        <f t="shared" ref="B24:N24" si="4">SUM(B16-B23)</f>
        <v>7765</v>
      </c>
      <c r="C24" s="114">
        <f t="shared" si="4"/>
        <v>-3439</v>
      </c>
      <c r="D24" s="114">
        <f t="shared" si="4"/>
        <v>3577</v>
      </c>
      <c r="E24" s="114">
        <f t="shared" si="4"/>
        <v>3411</v>
      </c>
      <c r="F24" s="114">
        <f t="shared" si="4"/>
        <v>-2589</v>
      </c>
      <c r="G24" s="114">
        <f t="shared" si="4"/>
        <v>-3140</v>
      </c>
      <c r="H24" s="114">
        <f t="shared" si="4"/>
        <v>-3089</v>
      </c>
      <c r="I24" s="114">
        <f t="shared" si="4"/>
        <v>-1089</v>
      </c>
      <c r="J24" s="114">
        <f t="shared" si="4"/>
        <v>6161</v>
      </c>
      <c r="K24" s="114">
        <f t="shared" si="4"/>
        <v>-1589</v>
      </c>
      <c r="L24" s="114">
        <f t="shared" si="4"/>
        <v>-3189</v>
      </c>
      <c r="M24" s="114">
        <f t="shared" si="4"/>
        <v>-2790</v>
      </c>
      <c r="N24" s="112">
        <f t="shared" si="4"/>
        <v>0</v>
      </c>
      <c r="Q24" s="76"/>
    </row>
    <row r="25" spans="1:17" ht="15.95" customHeight="1" thickBot="1" x14ac:dyDescent="0.25">
      <c r="A25" s="116" t="s">
        <v>77</v>
      </c>
      <c r="B25" s="117">
        <f>SUM(B24)</f>
        <v>7765</v>
      </c>
      <c r="C25" s="117">
        <f t="shared" ref="C25:M25" si="5">B25+C16-C23</f>
        <v>4326</v>
      </c>
      <c r="D25" s="117">
        <f t="shared" si="5"/>
        <v>7903</v>
      </c>
      <c r="E25" s="117">
        <f t="shared" si="5"/>
        <v>11314</v>
      </c>
      <c r="F25" s="117">
        <f t="shared" si="5"/>
        <v>8725</v>
      </c>
      <c r="G25" s="117">
        <f t="shared" si="5"/>
        <v>5585</v>
      </c>
      <c r="H25" s="117">
        <f t="shared" si="5"/>
        <v>2496</v>
      </c>
      <c r="I25" s="117">
        <f t="shared" si="5"/>
        <v>1407</v>
      </c>
      <c r="J25" s="117">
        <f t="shared" si="5"/>
        <v>7568</v>
      </c>
      <c r="K25" s="117">
        <f t="shared" si="5"/>
        <v>5979</v>
      </c>
      <c r="L25" s="117">
        <f t="shared" si="5"/>
        <v>2790</v>
      </c>
      <c r="M25" s="117">
        <f t="shared" si="5"/>
        <v>0</v>
      </c>
      <c r="N25" s="118">
        <f>SUM(N24)</f>
        <v>0</v>
      </c>
    </row>
    <row r="26" spans="1:17" ht="18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119"/>
    </row>
    <row r="27" spans="1:17" ht="18" customHeight="1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19"/>
    </row>
    <row r="28" spans="1:17" ht="15.95" customHeight="1" x14ac:dyDescent="0.2">
      <c r="A28" s="52"/>
      <c r="B28" s="52"/>
      <c r="C28" s="52"/>
      <c r="D28" s="52"/>
      <c r="E28" s="52"/>
      <c r="F28" s="52"/>
      <c r="G28" s="120"/>
      <c r="H28" s="52"/>
      <c r="I28" s="52"/>
      <c r="J28" s="52"/>
      <c r="K28" s="52"/>
      <c r="L28" s="52"/>
      <c r="M28" s="52"/>
      <c r="N28" s="119"/>
    </row>
    <row r="29" spans="1:17" ht="15.95" customHeight="1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19"/>
    </row>
    <row r="30" spans="1:17" ht="15.95" customHeight="1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119"/>
    </row>
    <row r="31" spans="1:17" ht="15.95" customHeight="1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19"/>
    </row>
    <row r="32" spans="1:17" ht="15.95" customHeight="1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119"/>
    </row>
    <row r="33" spans="1:14" ht="15" customHeight="1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ht="14.1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ht="14.1" customHeight="1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ht="14.1" customHeight="1" x14ac:dyDescent="0.2"/>
    <row r="37" spans="1:14" ht="14.1" customHeight="1" x14ac:dyDescent="0.2"/>
  </sheetData>
  <mergeCells count="1">
    <mergeCell ref="A4:N4"/>
  </mergeCells>
  <pageMargins left="0.51" right="0.19685039370078741" top="0.74803149606299213" bottom="0.98425196850393704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4"/>
  <sheetViews>
    <sheetView zoomScaleNormal="100" workbookViewId="0">
      <selection activeCell="A8" sqref="A8:A10"/>
    </sheetView>
  </sheetViews>
  <sheetFormatPr defaultRowHeight="12.75" x14ac:dyDescent="0.2"/>
  <cols>
    <col min="1" max="1" width="31.140625" customWidth="1"/>
    <col min="2" max="2" width="23.85546875" customWidth="1"/>
    <col min="3" max="3" width="10.5703125" customWidth="1"/>
    <col min="4" max="4" width="9.140625" customWidth="1"/>
    <col min="5" max="5" width="10.7109375" customWidth="1"/>
    <col min="6" max="6" width="13.28515625" customWidth="1"/>
    <col min="7" max="7" width="16.42578125" customWidth="1"/>
    <col min="8" max="9" width="16.28515625" style="105" customWidth="1"/>
    <col min="10" max="11" width="14.7109375" style="105" customWidth="1"/>
    <col min="12" max="14" width="12.7109375" customWidth="1"/>
    <col min="15" max="15" width="10.28515625" customWidth="1"/>
  </cols>
  <sheetData>
    <row r="1" spans="1:12" x14ac:dyDescent="0.2">
      <c r="A1" s="52"/>
      <c r="B1" s="52"/>
      <c r="C1" s="52"/>
      <c r="D1" s="52"/>
      <c r="E1" s="52"/>
      <c r="F1" s="52"/>
      <c r="G1" s="52"/>
      <c r="H1" s="144"/>
      <c r="I1" s="144"/>
      <c r="J1" s="144"/>
      <c r="K1" s="189" t="s">
        <v>490</v>
      </c>
    </row>
    <row r="2" spans="1:12" x14ac:dyDescent="0.2">
      <c r="A2" s="52"/>
      <c r="B2" s="52"/>
      <c r="C2" s="52"/>
      <c r="D2" s="52"/>
      <c r="E2" s="52"/>
      <c r="F2" s="52"/>
      <c r="G2" s="52"/>
      <c r="H2" s="144"/>
      <c r="I2" s="144"/>
      <c r="J2" s="144"/>
      <c r="K2" s="221" t="str">
        <f>'8.Többéves'!G2</f>
        <v>a 2/2025.(III.6.) önkormányzati rendelethez</v>
      </c>
    </row>
    <row r="3" spans="1:12" x14ac:dyDescent="0.2">
      <c r="A3" s="52"/>
      <c r="B3" s="52"/>
      <c r="C3" s="52"/>
      <c r="D3" s="52"/>
      <c r="E3" s="52"/>
      <c r="F3" s="52"/>
      <c r="G3" s="52"/>
      <c r="H3" s="144"/>
      <c r="I3" s="144"/>
      <c r="J3" s="144"/>
      <c r="K3" s="55"/>
    </row>
    <row r="4" spans="1:12" ht="16.5" customHeight="1" x14ac:dyDescent="0.2">
      <c r="A4" s="487" t="s">
        <v>600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</row>
    <row r="5" spans="1:12" ht="34.5" customHeight="1" x14ac:dyDescent="0.2">
      <c r="A5" s="505" t="s">
        <v>798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145"/>
    </row>
    <row r="6" spans="1:12" ht="12" customHeight="1" x14ac:dyDescent="0.2">
      <c r="A6" s="488"/>
      <c r="B6" s="488"/>
      <c r="C6" s="488"/>
      <c r="D6" s="488"/>
      <c r="E6" s="488"/>
      <c r="F6" s="488"/>
      <c r="G6" s="488"/>
      <c r="H6" s="488"/>
      <c r="I6" s="488"/>
      <c r="J6" s="488"/>
      <c r="K6" s="488"/>
    </row>
    <row r="7" spans="1:12" ht="12.95" customHeight="1" x14ac:dyDescent="0.2">
      <c r="A7" s="3"/>
      <c r="B7" s="3"/>
      <c r="C7" s="3"/>
      <c r="D7" s="3"/>
      <c r="E7" s="3"/>
      <c r="F7" s="3"/>
      <c r="G7" s="3"/>
      <c r="H7" s="90"/>
      <c r="I7" s="90"/>
      <c r="J7" s="90"/>
      <c r="K7" s="88" t="s">
        <v>0</v>
      </c>
    </row>
    <row r="8" spans="1:12" ht="43.5" customHeight="1" x14ac:dyDescent="0.2">
      <c r="A8" s="506" t="s">
        <v>90</v>
      </c>
      <c r="B8" s="506" t="s">
        <v>91</v>
      </c>
      <c r="C8" s="506" t="s">
        <v>92</v>
      </c>
      <c r="D8" s="511" t="s">
        <v>102</v>
      </c>
      <c r="E8" s="506" t="s">
        <v>93</v>
      </c>
      <c r="F8" s="514" t="s">
        <v>95</v>
      </c>
      <c r="G8" s="515"/>
      <c r="H8" s="515"/>
      <c r="I8" s="516"/>
      <c r="J8" s="506" t="s">
        <v>94</v>
      </c>
      <c r="K8" s="506" t="s">
        <v>100</v>
      </c>
    </row>
    <row r="9" spans="1:12" ht="51" customHeight="1" x14ac:dyDescent="0.2">
      <c r="A9" s="507"/>
      <c r="B9" s="507"/>
      <c r="C9" s="507"/>
      <c r="D9" s="512"/>
      <c r="E9" s="507"/>
      <c r="F9" s="509" t="s">
        <v>97</v>
      </c>
      <c r="G9" s="510"/>
      <c r="H9" s="507" t="s">
        <v>96</v>
      </c>
      <c r="I9" s="507" t="s">
        <v>101</v>
      </c>
      <c r="J9" s="507"/>
      <c r="K9" s="507"/>
    </row>
    <row r="10" spans="1:12" ht="26.25" customHeight="1" thickBot="1" x14ac:dyDescent="0.25">
      <c r="A10" s="508"/>
      <c r="B10" s="508"/>
      <c r="C10" s="508"/>
      <c r="D10" s="513"/>
      <c r="E10" s="508"/>
      <c r="F10" s="147" t="s">
        <v>98</v>
      </c>
      <c r="G10" s="146" t="s">
        <v>99</v>
      </c>
      <c r="H10" s="508"/>
      <c r="I10" s="508"/>
      <c r="J10" s="508"/>
      <c r="K10" s="508"/>
    </row>
    <row r="11" spans="1:12" ht="25.5" hidden="1" x14ac:dyDescent="0.2">
      <c r="A11" s="306" t="s">
        <v>573</v>
      </c>
      <c r="B11" s="373" t="s">
        <v>572</v>
      </c>
      <c r="C11" s="303"/>
      <c r="D11" s="304"/>
      <c r="E11" s="303"/>
      <c r="F11" s="303"/>
      <c r="G11" s="305"/>
      <c r="H11" s="303"/>
      <c r="I11" s="303"/>
      <c r="J11" s="303">
        <v>0</v>
      </c>
      <c r="K11" s="303" t="e">
        <f>J11/I11</f>
        <v>#DIV/0!</v>
      </c>
    </row>
    <row r="12" spans="1:12" ht="25.5" hidden="1" x14ac:dyDescent="0.2">
      <c r="A12" s="302" t="s">
        <v>515</v>
      </c>
      <c r="B12" s="199" t="s">
        <v>516</v>
      </c>
      <c r="C12" s="303"/>
      <c r="D12" s="304"/>
      <c r="E12" s="303"/>
      <c r="F12" s="303"/>
      <c r="G12" s="305"/>
      <c r="H12" s="303"/>
      <c r="I12" s="303"/>
      <c r="J12" s="303">
        <v>0</v>
      </c>
      <c r="K12" s="303" t="e">
        <f>J12/I12</f>
        <v>#DIV/0!</v>
      </c>
    </row>
    <row r="13" spans="1:12" ht="26.25" hidden="1" thickBot="1" x14ac:dyDescent="0.25">
      <c r="A13" s="302" t="s">
        <v>592</v>
      </c>
      <c r="B13" s="199" t="s">
        <v>591</v>
      </c>
      <c r="C13" s="303"/>
      <c r="D13" s="304"/>
      <c r="E13" s="303"/>
      <c r="F13" s="303"/>
      <c r="G13" s="305"/>
      <c r="H13" s="303"/>
      <c r="I13" s="303"/>
      <c r="J13" s="303">
        <v>0</v>
      </c>
      <c r="K13" s="303" t="e">
        <f>J13/I13</f>
        <v>#DIV/0!</v>
      </c>
    </row>
    <row r="14" spans="1:12" ht="19.5" customHeight="1" thickBot="1" x14ac:dyDescent="0.25">
      <c r="A14" s="148" t="s">
        <v>56</v>
      </c>
      <c r="B14" s="149"/>
      <c r="C14" s="150">
        <f>SUM(C11:C13)</f>
        <v>0</v>
      </c>
      <c r="D14" s="149">
        <v>0</v>
      </c>
      <c r="E14" s="150">
        <f t="shared" ref="E14:J14" si="0">SUM(E11:E13)</f>
        <v>0</v>
      </c>
      <c r="F14" s="150">
        <f t="shared" si="0"/>
        <v>0</v>
      </c>
      <c r="G14" s="150">
        <f t="shared" si="0"/>
        <v>0</v>
      </c>
      <c r="H14" s="150">
        <f t="shared" si="0"/>
        <v>0</v>
      </c>
      <c r="I14" s="150">
        <f t="shared" si="0"/>
        <v>0</v>
      </c>
      <c r="J14" s="150">
        <f t="shared" si="0"/>
        <v>0</v>
      </c>
      <c r="K14" s="151">
        <v>0</v>
      </c>
    </row>
    <row r="15" spans="1:12" ht="12.95" hidden="1" customHeight="1" x14ac:dyDescent="0.2">
      <c r="H15"/>
      <c r="I15" s="35">
        <f>SUM(F14:H14)</f>
        <v>0</v>
      </c>
      <c r="J15"/>
      <c r="K15"/>
    </row>
    <row r="16" spans="1:12" ht="12.95" customHeight="1" x14ac:dyDescent="0.2">
      <c r="B16" s="76"/>
      <c r="C16" s="76"/>
      <c r="D16" s="76"/>
      <c r="E16" s="76"/>
      <c r="F16" s="76"/>
      <c r="G16" s="76"/>
      <c r="H16" s="104"/>
      <c r="I16" s="104"/>
      <c r="J16" s="104"/>
      <c r="K16" s="104"/>
    </row>
    <row r="17" spans="2:11" ht="12.95" customHeight="1" x14ac:dyDescent="0.2">
      <c r="B17" s="76"/>
      <c r="C17" s="76"/>
      <c r="D17" s="76"/>
      <c r="E17" s="76"/>
      <c r="F17" s="76"/>
      <c r="G17" s="76"/>
      <c r="H17" s="104"/>
      <c r="I17" s="104"/>
      <c r="J17" s="104"/>
      <c r="K17" s="104"/>
    </row>
    <row r="18" spans="2:11" ht="12.95" customHeight="1" x14ac:dyDescent="0.2">
      <c r="B18" s="76"/>
      <c r="C18" s="76"/>
      <c r="D18" s="76"/>
      <c r="E18" s="76"/>
      <c r="F18" s="76"/>
      <c r="G18" s="76"/>
      <c r="H18" s="104"/>
      <c r="I18" s="104"/>
      <c r="J18" s="104"/>
      <c r="K18" s="104"/>
    </row>
    <row r="19" spans="2:11" ht="12.95" customHeight="1" x14ac:dyDescent="0.2">
      <c r="B19" s="76"/>
      <c r="C19" s="76"/>
      <c r="D19" s="76"/>
      <c r="E19" s="76"/>
      <c r="F19" s="76"/>
      <c r="G19" s="76"/>
      <c r="H19" s="104"/>
      <c r="I19" s="104"/>
      <c r="J19" s="104"/>
      <c r="K19" s="104"/>
    </row>
    <row r="20" spans="2:11" ht="12.95" customHeight="1" x14ac:dyDescent="0.2">
      <c r="B20" s="76"/>
      <c r="C20" s="76"/>
      <c r="D20" s="76"/>
      <c r="E20" s="76"/>
      <c r="F20" s="76"/>
      <c r="G20" s="76"/>
      <c r="H20" s="104"/>
      <c r="I20" s="104"/>
      <c r="J20" s="104"/>
      <c r="K20" s="104"/>
    </row>
    <row r="21" spans="2:11" ht="12.95" customHeight="1" x14ac:dyDescent="0.2">
      <c r="B21" s="76"/>
      <c r="C21" s="76"/>
      <c r="D21" s="76"/>
      <c r="E21" s="76"/>
      <c r="F21" s="76"/>
      <c r="G21" s="76"/>
      <c r="H21" s="104"/>
      <c r="I21" s="104"/>
      <c r="J21" s="104"/>
      <c r="K21" s="104"/>
    </row>
    <row r="22" spans="2:11" ht="12.95" customHeight="1" x14ac:dyDescent="0.2">
      <c r="B22" s="76"/>
      <c r="C22" s="76"/>
      <c r="D22" s="76"/>
      <c r="E22" s="76"/>
      <c r="F22" s="76"/>
      <c r="G22" s="76"/>
      <c r="H22" s="104"/>
      <c r="I22" s="104"/>
      <c r="J22" s="104"/>
      <c r="K22" s="104"/>
    </row>
    <row r="23" spans="2:11" ht="12.95" customHeight="1" x14ac:dyDescent="0.2">
      <c r="B23" s="76"/>
      <c r="C23" s="76"/>
      <c r="D23" s="76"/>
      <c r="E23" s="76"/>
      <c r="F23" s="76"/>
      <c r="G23" s="76"/>
      <c r="H23" s="104"/>
      <c r="I23" s="104"/>
      <c r="J23" s="104"/>
      <c r="K23" s="104"/>
    </row>
    <row r="24" spans="2:11" ht="12.95" customHeight="1" x14ac:dyDescent="0.2">
      <c r="B24" s="76"/>
      <c r="C24" s="76"/>
      <c r="D24" s="76"/>
      <c r="E24" s="76"/>
      <c r="F24" s="76"/>
      <c r="G24" s="76"/>
      <c r="H24" s="104"/>
      <c r="I24" s="104"/>
      <c r="J24" s="104"/>
      <c r="K24" s="104"/>
    </row>
    <row r="25" spans="2:11" ht="12.95" customHeight="1" x14ac:dyDescent="0.2">
      <c r="B25" s="76"/>
      <c r="C25" s="76"/>
      <c r="D25" s="76"/>
      <c r="E25" s="76"/>
      <c r="F25" s="76"/>
      <c r="G25" s="76"/>
      <c r="H25" s="104"/>
      <c r="I25" s="104"/>
      <c r="J25" s="104"/>
      <c r="K25" s="104"/>
    </row>
    <row r="26" spans="2:11" ht="12.95" customHeight="1" x14ac:dyDescent="0.2">
      <c r="B26" s="76"/>
      <c r="C26" s="76"/>
      <c r="D26" s="76"/>
      <c r="E26" s="76"/>
      <c r="F26" s="76"/>
      <c r="G26" s="76"/>
      <c r="H26" s="104"/>
      <c r="I26" s="104"/>
      <c r="J26" s="104"/>
      <c r="K26" s="104"/>
    </row>
    <row r="27" spans="2:11" ht="12.95" customHeight="1" x14ac:dyDescent="0.2">
      <c r="B27" s="76"/>
      <c r="C27" s="76"/>
      <c r="D27" s="76"/>
      <c r="E27" s="76"/>
      <c r="F27" s="76"/>
      <c r="G27" s="76"/>
      <c r="H27" s="104"/>
      <c r="I27" s="104"/>
      <c r="J27" s="104"/>
      <c r="K27" s="104"/>
    </row>
    <row r="28" spans="2:11" ht="12.95" customHeight="1" x14ac:dyDescent="0.2">
      <c r="B28" s="76"/>
      <c r="C28" s="76"/>
      <c r="D28" s="76"/>
      <c r="E28" s="76"/>
      <c r="F28" s="76"/>
      <c r="G28" s="76"/>
      <c r="H28" s="104"/>
      <c r="I28" s="104"/>
      <c r="J28" s="104"/>
      <c r="K28" s="104"/>
    </row>
    <row r="29" spans="2:11" ht="12.95" customHeight="1" x14ac:dyDescent="0.2">
      <c r="B29" s="76"/>
      <c r="C29" s="76"/>
      <c r="D29" s="76"/>
      <c r="E29" s="76"/>
      <c r="F29" s="76"/>
      <c r="G29" s="76"/>
      <c r="H29" s="104"/>
      <c r="I29" s="104"/>
      <c r="J29" s="104"/>
      <c r="K29" s="104"/>
    </row>
    <row r="30" spans="2:11" ht="12.95" customHeight="1" x14ac:dyDescent="0.2">
      <c r="B30" s="76"/>
      <c r="C30" s="76"/>
      <c r="D30" s="76"/>
      <c r="E30" s="76"/>
      <c r="F30" s="76"/>
      <c r="G30" s="76"/>
      <c r="H30" s="104"/>
      <c r="I30" s="104"/>
      <c r="J30" s="104"/>
      <c r="K30" s="104"/>
    </row>
    <row r="31" spans="2:11" ht="12.95" customHeight="1" x14ac:dyDescent="0.2">
      <c r="B31" s="76"/>
      <c r="C31" s="76"/>
      <c r="D31" s="76"/>
      <c r="E31" s="76"/>
      <c r="F31" s="76"/>
      <c r="G31" s="76"/>
      <c r="H31" s="104"/>
      <c r="I31" s="104"/>
      <c r="J31" s="104"/>
      <c r="K31" s="104"/>
    </row>
    <row r="32" spans="2:11" ht="12.95" customHeight="1" x14ac:dyDescent="0.2">
      <c r="B32" s="76"/>
      <c r="C32" s="76"/>
      <c r="D32" s="76"/>
      <c r="E32" s="76"/>
      <c r="F32" s="76"/>
      <c r="G32" s="76"/>
      <c r="H32" s="104"/>
      <c r="I32" s="104"/>
      <c r="J32" s="104"/>
      <c r="K32" s="104"/>
    </row>
    <row r="33" spans="2:11" ht="12.95" customHeight="1" x14ac:dyDescent="0.2">
      <c r="B33" s="76"/>
      <c r="C33" s="76"/>
      <c r="D33" s="76"/>
      <c r="E33" s="76"/>
      <c r="F33" s="76"/>
      <c r="G33" s="76"/>
      <c r="H33" s="104"/>
      <c r="I33" s="104"/>
      <c r="J33" s="104"/>
      <c r="K33" s="104"/>
    </row>
    <row r="34" spans="2:11" ht="12.95" customHeight="1" x14ac:dyDescent="0.2">
      <c r="B34" s="76"/>
      <c r="C34" s="76"/>
      <c r="D34" s="76"/>
      <c r="E34" s="76"/>
      <c r="F34" s="76"/>
      <c r="G34" s="76"/>
      <c r="H34" s="104"/>
      <c r="I34" s="104"/>
      <c r="J34" s="104"/>
      <c r="K34" s="104"/>
    </row>
    <row r="35" spans="2:11" ht="12.95" customHeight="1" x14ac:dyDescent="0.2">
      <c r="B35" s="76"/>
      <c r="C35" s="76"/>
      <c r="D35" s="76"/>
      <c r="E35" s="76"/>
      <c r="F35" s="76"/>
      <c r="G35" s="76"/>
      <c r="H35" s="104"/>
      <c r="I35" s="104"/>
      <c r="J35" s="104"/>
      <c r="K35" s="104"/>
    </row>
    <row r="36" spans="2:11" ht="12.95" customHeight="1" x14ac:dyDescent="0.2">
      <c r="B36" s="76"/>
      <c r="C36" s="76"/>
      <c r="D36" s="76"/>
      <c r="E36" s="76"/>
      <c r="F36" s="76"/>
      <c r="G36" s="76"/>
      <c r="H36" s="104"/>
      <c r="I36" s="104"/>
      <c r="J36" s="104"/>
      <c r="K36" s="104"/>
    </row>
    <row r="37" spans="2:11" ht="12.95" customHeight="1" x14ac:dyDescent="0.2">
      <c r="B37" s="76"/>
      <c r="C37" s="76"/>
      <c r="D37" s="76"/>
      <c r="E37" s="76"/>
      <c r="F37" s="76"/>
      <c r="G37" s="76"/>
      <c r="H37" s="104"/>
      <c r="I37" s="104"/>
      <c r="J37" s="104"/>
      <c r="K37" s="104"/>
    </row>
    <row r="38" spans="2:11" ht="12.95" customHeight="1" x14ac:dyDescent="0.2">
      <c r="B38" s="76"/>
      <c r="C38" s="76"/>
      <c r="D38" s="76"/>
      <c r="E38" s="76"/>
      <c r="F38" s="76"/>
      <c r="G38" s="76"/>
      <c r="H38" s="104"/>
      <c r="I38" s="104"/>
      <c r="J38" s="104"/>
      <c r="K38" s="104"/>
    </row>
    <row r="39" spans="2:11" ht="12.95" customHeight="1" x14ac:dyDescent="0.2">
      <c r="B39" s="76"/>
      <c r="C39" s="76"/>
      <c r="D39" s="76"/>
      <c r="E39" s="76"/>
      <c r="F39" s="76"/>
      <c r="G39" s="76"/>
      <c r="H39" s="104"/>
      <c r="I39" s="104"/>
      <c r="J39" s="104"/>
      <c r="K39" s="104"/>
    </row>
    <row r="40" spans="2:11" ht="12.95" customHeight="1" x14ac:dyDescent="0.2">
      <c r="B40" s="76"/>
      <c r="C40" s="76"/>
      <c r="D40" s="76"/>
      <c r="E40" s="76"/>
      <c r="F40" s="76"/>
      <c r="G40" s="76"/>
      <c r="H40" s="104"/>
      <c r="I40" s="104"/>
      <c r="J40" s="104"/>
      <c r="K40" s="104"/>
    </row>
    <row r="41" spans="2:11" ht="12.95" customHeight="1" x14ac:dyDescent="0.2">
      <c r="B41" s="76"/>
      <c r="C41" s="76"/>
      <c r="D41" s="76"/>
      <c r="E41" s="76"/>
      <c r="F41" s="76"/>
      <c r="G41" s="76"/>
      <c r="H41" s="104"/>
      <c r="I41" s="104"/>
      <c r="J41" s="104"/>
      <c r="K41" s="104"/>
    </row>
    <row r="42" spans="2:11" ht="12.95" customHeight="1" x14ac:dyDescent="0.2">
      <c r="B42" s="76"/>
      <c r="C42" s="76"/>
      <c r="D42" s="76"/>
      <c r="E42" s="76"/>
      <c r="F42" s="76"/>
      <c r="G42" s="76"/>
      <c r="H42" s="104"/>
      <c r="I42" s="104"/>
      <c r="J42" s="104"/>
      <c r="K42" s="104"/>
    </row>
    <row r="43" spans="2:11" ht="12.95" customHeight="1" x14ac:dyDescent="0.2">
      <c r="B43" s="76"/>
      <c r="C43" s="76"/>
      <c r="D43" s="76"/>
      <c r="E43" s="76"/>
      <c r="F43" s="76"/>
      <c r="G43" s="76"/>
      <c r="H43" s="104"/>
      <c r="I43" s="104"/>
      <c r="J43" s="104"/>
      <c r="K43" s="104"/>
    </row>
    <row r="44" spans="2:11" ht="12.95" customHeight="1" x14ac:dyDescent="0.2">
      <c r="B44" s="76"/>
      <c r="C44" s="76"/>
      <c r="D44" s="76"/>
      <c r="E44" s="76"/>
      <c r="F44" s="76"/>
      <c r="G44" s="76"/>
      <c r="H44" s="104"/>
      <c r="I44" s="104"/>
      <c r="J44" s="104"/>
      <c r="K44" s="104"/>
    </row>
    <row r="45" spans="2:11" ht="12.95" customHeight="1" x14ac:dyDescent="0.2">
      <c r="B45" s="76"/>
      <c r="C45" s="76"/>
      <c r="D45" s="76"/>
      <c r="E45" s="76"/>
      <c r="F45" s="76"/>
      <c r="G45" s="76"/>
      <c r="H45" s="104"/>
      <c r="I45" s="104"/>
      <c r="J45" s="104"/>
      <c r="K45" s="104"/>
    </row>
    <row r="46" spans="2:11" ht="12.95" customHeight="1" x14ac:dyDescent="0.2">
      <c r="B46" s="76"/>
      <c r="C46" s="76"/>
      <c r="D46" s="76"/>
      <c r="E46" s="76"/>
      <c r="F46" s="76"/>
      <c r="G46" s="76"/>
      <c r="H46" s="104"/>
      <c r="I46" s="104"/>
      <c r="J46" s="104"/>
      <c r="K46" s="104"/>
    </row>
    <row r="47" spans="2:11" ht="12.95" customHeight="1" x14ac:dyDescent="0.2">
      <c r="B47" s="76"/>
      <c r="C47" s="76"/>
      <c r="D47" s="76"/>
      <c r="E47" s="76"/>
      <c r="F47" s="76"/>
      <c r="G47" s="76"/>
      <c r="H47" s="104"/>
      <c r="I47" s="104"/>
      <c r="J47" s="104"/>
      <c r="K47" s="104"/>
    </row>
    <row r="48" spans="2:11" ht="12.95" customHeight="1" x14ac:dyDescent="0.2">
      <c r="B48" s="76"/>
      <c r="C48" s="76"/>
      <c r="D48" s="76"/>
      <c r="E48" s="76"/>
      <c r="F48" s="76"/>
      <c r="G48" s="76"/>
      <c r="H48" s="104"/>
      <c r="I48" s="104"/>
      <c r="J48" s="104"/>
      <c r="K48" s="104"/>
    </row>
    <row r="49" spans="2:11" ht="12.95" customHeight="1" x14ac:dyDescent="0.2">
      <c r="B49" s="76"/>
      <c r="C49" s="76"/>
      <c r="D49" s="76"/>
      <c r="E49" s="76"/>
      <c r="F49" s="76"/>
      <c r="G49" s="76"/>
      <c r="H49" s="104"/>
      <c r="I49" s="104"/>
      <c r="J49" s="104"/>
      <c r="K49" s="104"/>
    </row>
    <row r="50" spans="2:11" ht="12.95" customHeight="1" x14ac:dyDescent="0.2">
      <c r="B50" s="76"/>
      <c r="C50" s="76"/>
      <c r="D50" s="76"/>
      <c r="E50" s="76"/>
      <c r="F50" s="76"/>
      <c r="G50" s="76"/>
      <c r="H50" s="104"/>
      <c r="I50" s="104"/>
      <c r="J50" s="104"/>
      <c r="K50" s="104"/>
    </row>
    <row r="51" spans="2:11" ht="12.95" customHeight="1" x14ac:dyDescent="0.2">
      <c r="B51" s="76"/>
      <c r="C51" s="76"/>
      <c r="D51" s="76"/>
      <c r="E51" s="76"/>
      <c r="F51" s="76"/>
      <c r="G51" s="76"/>
      <c r="H51" s="104"/>
      <c r="I51" s="104"/>
      <c r="J51" s="104"/>
      <c r="K51" s="104"/>
    </row>
    <row r="52" spans="2:11" ht="12.95" customHeight="1" x14ac:dyDescent="0.2">
      <c r="B52" s="76"/>
      <c r="C52" s="76"/>
      <c r="D52" s="76"/>
      <c r="E52" s="76"/>
      <c r="F52" s="76"/>
      <c r="G52" s="76"/>
      <c r="H52" s="104"/>
      <c r="I52" s="104"/>
      <c r="J52" s="104"/>
      <c r="K52" s="104"/>
    </row>
    <row r="53" spans="2:11" ht="12.95" customHeight="1" x14ac:dyDescent="0.2">
      <c r="B53" s="76"/>
      <c r="C53" s="76"/>
      <c r="D53" s="76"/>
      <c r="E53" s="76"/>
      <c r="F53" s="76"/>
      <c r="G53" s="76"/>
      <c r="H53" s="104"/>
      <c r="I53" s="104"/>
      <c r="J53" s="104"/>
      <c r="K53" s="104"/>
    </row>
    <row r="54" spans="2:11" ht="12.95" customHeight="1" x14ac:dyDescent="0.2">
      <c r="B54" s="76"/>
      <c r="C54" s="76"/>
      <c r="D54" s="76"/>
      <c r="E54" s="76"/>
      <c r="F54" s="76"/>
      <c r="G54" s="76"/>
      <c r="H54" s="104"/>
      <c r="I54" s="104"/>
      <c r="J54" s="104"/>
      <c r="K54" s="104"/>
    </row>
    <row r="55" spans="2:11" ht="12.95" customHeight="1" x14ac:dyDescent="0.2">
      <c r="B55" s="76"/>
      <c r="C55" s="76"/>
      <c r="D55" s="76"/>
      <c r="E55" s="76"/>
      <c r="F55" s="76"/>
      <c r="G55" s="76"/>
      <c r="H55" s="104"/>
      <c r="I55" s="104"/>
      <c r="J55" s="104"/>
      <c r="K55" s="104"/>
    </row>
    <row r="56" spans="2:11" x14ac:dyDescent="0.2">
      <c r="B56" s="76"/>
      <c r="C56" s="76"/>
      <c r="D56" s="76"/>
      <c r="E56" s="76"/>
      <c r="F56" s="76"/>
      <c r="G56" s="76"/>
      <c r="H56" s="104"/>
      <c r="I56" s="104"/>
      <c r="J56" s="104"/>
      <c r="K56" s="104"/>
    </row>
    <row r="57" spans="2:11" x14ac:dyDescent="0.2">
      <c r="B57" s="76"/>
      <c r="C57" s="76"/>
      <c r="D57" s="76"/>
      <c r="E57" s="76"/>
      <c r="F57" s="76"/>
      <c r="G57" s="76"/>
      <c r="H57" s="104"/>
      <c r="I57" s="104"/>
      <c r="J57" s="104"/>
      <c r="K57" s="104"/>
    </row>
    <row r="58" spans="2:11" x14ac:dyDescent="0.2">
      <c r="B58" s="76"/>
      <c r="C58" s="76"/>
      <c r="D58" s="76"/>
      <c r="E58" s="76"/>
      <c r="F58" s="76"/>
      <c r="G58" s="76"/>
      <c r="H58" s="104"/>
      <c r="I58" s="104"/>
      <c r="J58" s="104"/>
      <c r="K58" s="104"/>
    </row>
    <row r="59" spans="2:11" x14ac:dyDescent="0.2">
      <c r="B59" s="76"/>
      <c r="C59" s="76"/>
      <c r="D59" s="76"/>
      <c r="E59" s="76"/>
      <c r="F59" s="76"/>
      <c r="G59" s="76"/>
      <c r="H59" s="104"/>
      <c r="I59" s="104"/>
      <c r="J59" s="104"/>
      <c r="K59" s="104"/>
    </row>
    <row r="60" spans="2:11" x14ac:dyDescent="0.2">
      <c r="B60" s="76"/>
      <c r="C60" s="76"/>
      <c r="D60" s="76"/>
      <c r="E60" s="76"/>
      <c r="F60" s="76"/>
      <c r="G60" s="76"/>
      <c r="H60" s="104"/>
      <c r="I60" s="104"/>
      <c r="J60" s="104"/>
      <c r="K60" s="104"/>
    </row>
    <row r="61" spans="2:11" x14ac:dyDescent="0.2">
      <c r="B61" s="76"/>
      <c r="C61" s="76"/>
      <c r="D61" s="76"/>
      <c r="E61" s="76"/>
      <c r="F61" s="76"/>
      <c r="G61" s="76"/>
      <c r="H61" s="104"/>
      <c r="I61" s="104"/>
      <c r="J61" s="104"/>
      <c r="K61" s="104"/>
    </row>
    <row r="62" spans="2:11" x14ac:dyDescent="0.2">
      <c r="B62" s="76"/>
      <c r="C62" s="76"/>
      <c r="D62" s="76"/>
      <c r="E62" s="76"/>
      <c r="F62" s="76"/>
      <c r="G62" s="76"/>
      <c r="H62" s="104"/>
      <c r="I62" s="104"/>
      <c r="J62" s="104"/>
      <c r="K62" s="104"/>
    </row>
    <row r="63" spans="2:11" x14ac:dyDescent="0.2">
      <c r="B63" s="76"/>
      <c r="C63" s="76"/>
      <c r="D63" s="76"/>
      <c r="E63" s="76"/>
      <c r="F63" s="76"/>
      <c r="G63" s="76"/>
      <c r="H63" s="104"/>
      <c r="I63" s="104"/>
      <c r="J63" s="104"/>
      <c r="K63" s="104"/>
    </row>
    <row r="64" spans="2:11" x14ac:dyDescent="0.2">
      <c r="B64" s="76"/>
      <c r="C64" s="76"/>
      <c r="D64" s="76"/>
      <c r="E64" s="76"/>
      <c r="F64" s="76"/>
      <c r="G64" s="76"/>
      <c r="H64" s="104"/>
      <c r="I64" s="104"/>
      <c r="J64" s="104"/>
      <c r="K64" s="104"/>
    </row>
    <row r="65" spans="2:11" x14ac:dyDescent="0.2">
      <c r="B65" s="76"/>
      <c r="C65" s="76"/>
      <c r="D65" s="76"/>
      <c r="E65" s="76"/>
      <c r="F65" s="76"/>
      <c r="G65" s="76"/>
      <c r="H65" s="104"/>
      <c r="I65" s="104"/>
      <c r="J65" s="104"/>
      <c r="K65" s="104"/>
    </row>
    <row r="66" spans="2:11" x14ac:dyDescent="0.2">
      <c r="B66" s="76"/>
      <c r="C66" s="76"/>
      <c r="D66" s="76"/>
      <c r="E66" s="76"/>
      <c r="F66" s="76"/>
      <c r="G66" s="76"/>
      <c r="H66" s="104"/>
      <c r="I66" s="104"/>
      <c r="J66" s="104"/>
      <c r="K66" s="104"/>
    </row>
    <row r="67" spans="2:11" x14ac:dyDescent="0.2">
      <c r="B67" s="76"/>
      <c r="C67" s="76"/>
      <c r="D67" s="76"/>
      <c r="E67" s="76"/>
      <c r="F67" s="76"/>
      <c r="G67" s="76"/>
      <c r="H67" s="104"/>
      <c r="I67" s="104"/>
      <c r="J67" s="104"/>
      <c r="K67" s="104"/>
    </row>
    <row r="68" spans="2:11" x14ac:dyDescent="0.2">
      <c r="B68" s="76"/>
      <c r="C68" s="76"/>
      <c r="D68" s="76"/>
      <c r="E68" s="76"/>
      <c r="F68" s="76"/>
      <c r="G68" s="76"/>
      <c r="H68" s="104"/>
      <c r="I68" s="104"/>
      <c r="J68" s="104"/>
      <c r="K68" s="104"/>
    </row>
    <row r="69" spans="2:11" x14ac:dyDescent="0.2">
      <c r="B69" s="76"/>
      <c r="C69" s="76"/>
      <c r="D69" s="76"/>
      <c r="E69" s="76"/>
      <c r="F69" s="76"/>
      <c r="G69" s="76"/>
      <c r="H69" s="104"/>
      <c r="I69" s="104"/>
      <c r="J69" s="104"/>
      <c r="K69" s="104"/>
    </row>
    <row r="70" spans="2:11" x14ac:dyDescent="0.2">
      <c r="B70" s="76"/>
      <c r="C70" s="76"/>
      <c r="D70" s="76"/>
      <c r="E70" s="76"/>
      <c r="F70" s="76"/>
      <c r="G70" s="76"/>
      <c r="H70" s="104"/>
      <c r="I70" s="104"/>
      <c r="J70" s="104"/>
      <c r="K70" s="104"/>
    </row>
    <row r="71" spans="2:11" x14ac:dyDescent="0.2">
      <c r="B71" s="76"/>
      <c r="C71" s="76"/>
      <c r="D71" s="76"/>
      <c r="E71" s="76"/>
      <c r="F71" s="76"/>
      <c r="G71" s="76"/>
      <c r="H71" s="104"/>
      <c r="I71" s="104"/>
      <c r="J71" s="104"/>
      <c r="K71" s="104"/>
    </row>
    <row r="72" spans="2:11" x14ac:dyDescent="0.2">
      <c r="B72" s="76"/>
      <c r="C72" s="76"/>
      <c r="D72" s="76"/>
      <c r="E72" s="76"/>
      <c r="F72" s="76"/>
      <c r="G72" s="76"/>
      <c r="H72" s="104"/>
      <c r="I72" s="104"/>
      <c r="J72" s="104"/>
      <c r="K72" s="104"/>
    </row>
    <row r="73" spans="2:11" x14ac:dyDescent="0.2">
      <c r="B73" s="76"/>
      <c r="C73" s="76"/>
      <c r="D73" s="76"/>
      <c r="E73" s="76"/>
      <c r="F73" s="76"/>
      <c r="G73" s="76"/>
      <c r="H73" s="104"/>
      <c r="I73" s="104"/>
      <c r="J73" s="104"/>
      <c r="K73" s="104"/>
    </row>
    <row r="74" spans="2:11" x14ac:dyDescent="0.2">
      <c r="G74" s="76"/>
    </row>
  </sheetData>
  <mergeCells count="14">
    <mergeCell ref="A4:K4"/>
    <mergeCell ref="A6:K6"/>
    <mergeCell ref="A5:K5"/>
    <mergeCell ref="K8:K10"/>
    <mergeCell ref="J8:J10"/>
    <mergeCell ref="F9:G9"/>
    <mergeCell ref="A8:A10"/>
    <mergeCell ref="B8:B10"/>
    <mergeCell ref="C8:C10"/>
    <mergeCell ref="D8:D10"/>
    <mergeCell ref="E8:E10"/>
    <mergeCell ref="H9:H10"/>
    <mergeCell ref="F8:I8"/>
    <mergeCell ref="I9:I10"/>
  </mergeCells>
  <pageMargins left="0.35" right="0.16" top="0.31" bottom="1" header="0.19" footer="0.5"/>
  <pageSetup paperSize="9" scale="8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740"/>
  <sheetViews>
    <sheetView zoomScaleNormal="100" workbookViewId="0">
      <selection activeCell="F70" sqref="F70"/>
    </sheetView>
  </sheetViews>
  <sheetFormatPr defaultRowHeight="12.75" x14ac:dyDescent="0.2"/>
  <cols>
    <col min="1" max="1" width="6.28515625" style="2" customWidth="1"/>
    <col min="2" max="2" width="64.42578125" customWidth="1"/>
    <col min="3" max="3" width="14.5703125" style="35" customWidth="1"/>
    <col min="4" max="4" width="14.28515625" style="35" customWidth="1"/>
    <col min="5" max="5" width="12.85546875" style="35" customWidth="1"/>
    <col min="6" max="6" width="13.140625" style="35" customWidth="1"/>
    <col min="7" max="7" width="18.7109375" style="9" customWidth="1"/>
    <col min="8" max="8" width="18.7109375" customWidth="1"/>
  </cols>
  <sheetData>
    <row r="1" spans="1:47" ht="15" customHeight="1" x14ac:dyDescent="0.3">
      <c r="A1" s="54"/>
      <c r="B1" s="219"/>
      <c r="C1" s="220"/>
      <c r="D1" s="221"/>
      <c r="E1" s="221"/>
      <c r="F1" s="221" t="s">
        <v>491</v>
      </c>
      <c r="G1" s="2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5" customHeight="1" x14ac:dyDescent="0.3">
      <c r="A2" s="54"/>
      <c r="B2" s="219"/>
      <c r="C2" s="220"/>
      <c r="D2" s="221"/>
      <c r="E2" s="221"/>
      <c r="F2" s="221" t="str">
        <f>'11.Eu projekt'!K2</f>
        <v>a 2/2025.(III.6.) önkormányzati rendelethez</v>
      </c>
      <c r="G2" s="2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9.5" x14ac:dyDescent="0.35">
      <c r="A3" s="517" t="s">
        <v>369</v>
      </c>
      <c r="B3" s="517"/>
      <c r="C3" s="517"/>
      <c r="D3" s="517"/>
      <c r="E3" s="517"/>
      <c r="F3" s="517"/>
      <c r="G3" s="2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9.5" x14ac:dyDescent="0.35">
      <c r="A4" s="517" t="s">
        <v>794</v>
      </c>
      <c r="B4" s="517"/>
      <c r="C4" s="517"/>
      <c r="D4" s="517"/>
      <c r="E4" s="517"/>
      <c r="F4" s="517"/>
      <c r="G4" s="2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3.5" thickBot="1" x14ac:dyDescent="0.25">
      <c r="A5" s="54"/>
      <c r="B5" s="54"/>
      <c r="C5" s="220"/>
      <c r="D5" s="221"/>
      <c r="E5" s="221"/>
      <c r="F5" s="221" t="s">
        <v>0</v>
      </c>
      <c r="G5" s="2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53.25" customHeight="1" thickBot="1" x14ac:dyDescent="0.25">
      <c r="A6" s="213" t="s">
        <v>106</v>
      </c>
      <c r="B6" s="216" t="s">
        <v>14</v>
      </c>
      <c r="C6" s="217" t="s">
        <v>601</v>
      </c>
      <c r="D6" s="217" t="s">
        <v>626</v>
      </c>
      <c r="E6" s="217" t="s">
        <v>667</v>
      </c>
      <c r="F6" s="42" t="s">
        <v>799</v>
      </c>
      <c r="G6" s="2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20.25" customHeight="1" x14ac:dyDescent="0.2">
      <c r="A7" s="167" t="s">
        <v>107</v>
      </c>
      <c r="B7" s="159" t="s">
        <v>353</v>
      </c>
      <c r="C7" s="207">
        <f>SUM(C8+C15+C21+C28+C39+C45+C49)</f>
        <v>79600</v>
      </c>
      <c r="D7" s="207">
        <f>SUM(D8+D15+D21+D28+D39+D45+D49)</f>
        <v>80500</v>
      </c>
      <c r="E7" s="207">
        <f>SUM(E8+E15+E21+E28+E39+E45+E49)</f>
        <v>81000</v>
      </c>
      <c r="F7" s="207">
        <f>SUM(F8+F15+F21+F28+F39+F45+F49)</f>
        <v>81000</v>
      </c>
      <c r="G7" s="2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8" customHeight="1" x14ac:dyDescent="0.25">
      <c r="A8" s="13" t="s">
        <v>108</v>
      </c>
      <c r="B8" s="160" t="s">
        <v>208</v>
      </c>
      <c r="C8" s="36">
        <f>'1.Bev-kiad.'!C10</f>
        <v>36175</v>
      </c>
      <c r="D8" s="36">
        <v>37500</v>
      </c>
      <c r="E8" s="36">
        <v>38000</v>
      </c>
      <c r="F8" s="36">
        <v>38000</v>
      </c>
      <c r="G8" s="2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3.5" hidden="1" customHeight="1" x14ac:dyDescent="0.25">
      <c r="A9" s="8" t="s">
        <v>109</v>
      </c>
      <c r="B9" s="162" t="s">
        <v>117</v>
      </c>
      <c r="C9" s="36">
        <f>'1.Bev-kiad.'!C11</f>
        <v>0</v>
      </c>
      <c r="D9" s="5"/>
      <c r="E9" s="5"/>
      <c r="F9" s="5"/>
      <c r="G9" s="2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3.5" hidden="1" customHeight="1" x14ac:dyDescent="0.25">
      <c r="A10" s="8" t="s">
        <v>158</v>
      </c>
      <c r="B10" s="162" t="s">
        <v>159</v>
      </c>
      <c r="C10" s="36">
        <f>'1.Bev-kiad.'!C12</f>
        <v>0</v>
      </c>
      <c r="D10" s="5"/>
      <c r="E10" s="5"/>
      <c r="F10" s="5"/>
      <c r="G10" s="2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3.5" hidden="1" customHeight="1" x14ac:dyDescent="0.25">
      <c r="A11" s="8" t="s">
        <v>110</v>
      </c>
      <c r="B11" s="162" t="s">
        <v>114</v>
      </c>
      <c r="C11" s="36">
        <f>'1.Bev-kiad.'!C13</f>
        <v>0</v>
      </c>
      <c r="D11" s="6"/>
      <c r="E11" s="6"/>
      <c r="F11" s="6"/>
      <c r="G11" s="2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3.5" hidden="1" customHeight="1" x14ac:dyDescent="0.25">
      <c r="A12" s="8" t="s">
        <v>111</v>
      </c>
      <c r="B12" s="162" t="s">
        <v>115</v>
      </c>
      <c r="C12" s="36">
        <f>'1.Bev-kiad.'!C14</f>
        <v>0</v>
      </c>
      <c r="D12" s="10"/>
      <c r="E12" s="10"/>
      <c r="F12" s="10"/>
      <c r="G12" s="2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3.5" hidden="1" customHeight="1" x14ac:dyDescent="0.25">
      <c r="A13" s="8" t="s">
        <v>112</v>
      </c>
      <c r="B13" s="162" t="s">
        <v>116</v>
      </c>
      <c r="C13" s="36">
        <f>'1.Bev-kiad.'!C15</f>
        <v>0</v>
      </c>
      <c r="D13" s="12"/>
      <c r="E13" s="12"/>
      <c r="F13" s="12"/>
      <c r="G13" s="2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2.75" hidden="1" customHeight="1" x14ac:dyDescent="0.25">
      <c r="A14" s="8" t="s">
        <v>113</v>
      </c>
      <c r="B14" s="162" t="s">
        <v>118</v>
      </c>
      <c r="C14" s="36">
        <f>'1.Bev-kiad.'!C16</f>
        <v>0</v>
      </c>
      <c r="D14" s="12"/>
      <c r="E14" s="12"/>
      <c r="F14" s="12"/>
      <c r="G14" s="2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8" customHeight="1" x14ac:dyDescent="0.25">
      <c r="A15" s="13" t="s">
        <v>119</v>
      </c>
      <c r="B15" s="160" t="s">
        <v>209</v>
      </c>
      <c r="C15" s="36">
        <f>'1.Bev-kiad.'!C17</f>
        <v>0</v>
      </c>
      <c r="D15" s="40">
        <v>0</v>
      </c>
      <c r="E15" s="40">
        <v>0</v>
      </c>
      <c r="F15" s="40">
        <v>0</v>
      </c>
      <c r="G15" s="2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3.5" hidden="1" customHeight="1" x14ac:dyDescent="0.25">
      <c r="A16" s="8" t="s">
        <v>120</v>
      </c>
      <c r="B16" s="162" t="s">
        <v>127</v>
      </c>
      <c r="C16" s="36">
        <f>'1.Bev-kiad.'!C18</f>
        <v>0</v>
      </c>
      <c r="D16" s="5"/>
      <c r="E16" s="5"/>
      <c r="F16" s="5"/>
      <c r="G16" s="2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3.5" hidden="1" customHeight="1" x14ac:dyDescent="0.25">
      <c r="A17" s="8" t="s">
        <v>160</v>
      </c>
      <c r="B17" s="162" t="s">
        <v>161</v>
      </c>
      <c r="C17" s="36">
        <f>'1.Bev-kiad.'!C19</f>
        <v>0</v>
      </c>
      <c r="D17" s="12"/>
      <c r="E17" s="12"/>
      <c r="F17" s="12"/>
      <c r="G17" s="2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3.5" hidden="1" customHeight="1" x14ac:dyDescent="0.25">
      <c r="A18" s="8" t="s">
        <v>121</v>
      </c>
      <c r="B18" s="162" t="s">
        <v>124</v>
      </c>
      <c r="C18" s="36">
        <f>'1.Bev-kiad.'!C20</f>
        <v>0</v>
      </c>
      <c r="D18" s="12"/>
      <c r="E18" s="12"/>
      <c r="F18" s="12"/>
      <c r="G18" s="2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3.5" hidden="1" customHeight="1" x14ac:dyDescent="0.25">
      <c r="A19" s="8" t="s">
        <v>122</v>
      </c>
      <c r="B19" s="162" t="s">
        <v>125</v>
      </c>
      <c r="C19" s="36">
        <f>'1.Bev-kiad.'!C21</f>
        <v>0</v>
      </c>
      <c r="D19" s="12"/>
      <c r="E19" s="12"/>
      <c r="F19" s="12"/>
      <c r="G19" s="2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3.5" hidden="1" customHeight="1" x14ac:dyDescent="0.25">
      <c r="A20" s="8" t="s">
        <v>123</v>
      </c>
      <c r="B20" s="162" t="s">
        <v>126</v>
      </c>
      <c r="C20" s="36">
        <f>'1.Bev-kiad.'!C22</f>
        <v>0</v>
      </c>
      <c r="D20" s="12"/>
      <c r="E20" s="12"/>
      <c r="F20" s="12"/>
      <c r="G20" s="2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8" customHeight="1" x14ac:dyDescent="0.25">
      <c r="A21" s="13" t="s">
        <v>128</v>
      </c>
      <c r="B21" s="160" t="s">
        <v>87</v>
      </c>
      <c r="C21" s="36">
        <f>'1.Bev-kiad.'!C23</f>
        <v>33000</v>
      </c>
      <c r="D21" s="40">
        <v>33000</v>
      </c>
      <c r="E21" s="40">
        <v>33000</v>
      </c>
      <c r="F21" s="40">
        <v>33000</v>
      </c>
      <c r="G21" s="2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3.5" hidden="1" customHeight="1" x14ac:dyDescent="0.25">
      <c r="A22" s="8" t="s">
        <v>129</v>
      </c>
      <c r="B22" s="162" t="s">
        <v>135</v>
      </c>
      <c r="C22" s="36">
        <f>'1.Bev-kiad.'!C24</f>
        <v>0</v>
      </c>
      <c r="D22" s="12"/>
      <c r="E22" s="12"/>
      <c r="F22" s="12"/>
      <c r="G22" s="2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3.5" hidden="1" customHeight="1" x14ac:dyDescent="0.25">
      <c r="A23" s="8" t="s">
        <v>130</v>
      </c>
      <c r="B23" s="162" t="s">
        <v>136</v>
      </c>
      <c r="C23" s="36">
        <f>'1.Bev-kiad.'!C25</f>
        <v>0</v>
      </c>
      <c r="D23" s="12"/>
      <c r="E23" s="12"/>
      <c r="F23" s="12"/>
      <c r="G23" s="28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3.5" hidden="1" customHeight="1" x14ac:dyDescent="0.25">
      <c r="A24" s="8" t="s">
        <v>131</v>
      </c>
      <c r="B24" s="163" t="s">
        <v>137</v>
      </c>
      <c r="C24" s="36">
        <f>'1.Bev-kiad.'!C26</f>
        <v>0</v>
      </c>
      <c r="D24" s="45"/>
      <c r="E24" s="45"/>
      <c r="F24" s="45"/>
      <c r="G24" s="2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3.5" hidden="1" customHeight="1" x14ac:dyDescent="0.25">
      <c r="A25" s="8" t="s">
        <v>132</v>
      </c>
      <c r="B25" s="162" t="s">
        <v>164</v>
      </c>
      <c r="C25" s="36">
        <f>'1.Bev-kiad.'!C27</f>
        <v>0</v>
      </c>
      <c r="D25" s="37"/>
      <c r="E25" s="37"/>
      <c r="F25" s="37"/>
      <c r="G25" s="2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s="46" customFormat="1" ht="13.5" hidden="1" customHeight="1" x14ac:dyDescent="0.25">
      <c r="A26" s="8" t="s">
        <v>133</v>
      </c>
      <c r="B26" s="162" t="s">
        <v>165</v>
      </c>
      <c r="C26" s="36">
        <f>'1.Bev-kiad.'!C28</f>
        <v>0</v>
      </c>
      <c r="D26" s="12"/>
      <c r="E26" s="12"/>
      <c r="F26" s="12"/>
      <c r="G26" s="2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s="46" customFormat="1" ht="13.5" hidden="1" customHeight="1" x14ac:dyDescent="0.25">
      <c r="A27" s="8" t="s">
        <v>134</v>
      </c>
      <c r="B27" s="162" t="s">
        <v>138</v>
      </c>
      <c r="C27" s="36">
        <f>'1.Bev-kiad.'!C29</f>
        <v>0</v>
      </c>
      <c r="D27" s="12"/>
      <c r="E27" s="12"/>
      <c r="F27" s="12"/>
      <c r="G27" s="2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s="46" customFormat="1" ht="18" customHeight="1" x14ac:dyDescent="0.25">
      <c r="A28" s="13" t="s">
        <v>139</v>
      </c>
      <c r="B28" s="160" t="s">
        <v>210</v>
      </c>
      <c r="C28" s="36">
        <f>'1.Bev-kiad.'!C30</f>
        <v>10425</v>
      </c>
      <c r="D28" s="40">
        <v>10000</v>
      </c>
      <c r="E28" s="40">
        <v>10000</v>
      </c>
      <c r="F28" s="40">
        <v>10000</v>
      </c>
      <c r="G28" s="2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3.5" hidden="1" customHeight="1" x14ac:dyDescent="0.25">
      <c r="A29" s="8" t="s">
        <v>142</v>
      </c>
      <c r="B29" s="162" t="s">
        <v>140</v>
      </c>
      <c r="C29" s="36">
        <f>'1.Bev-kiad.'!C31</f>
        <v>0</v>
      </c>
      <c r="D29" s="12"/>
      <c r="E29" s="12"/>
      <c r="F29" s="12"/>
      <c r="G29" s="2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s="46" customFormat="1" ht="13.5" hidden="1" customHeight="1" x14ac:dyDescent="0.25">
      <c r="A30" s="8" t="s">
        <v>143</v>
      </c>
      <c r="B30" s="162" t="s">
        <v>141</v>
      </c>
      <c r="C30" s="36">
        <f>'1.Bev-kiad.'!C32</f>
        <v>0</v>
      </c>
      <c r="D30" s="12"/>
      <c r="E30" s="12"/>
      <c r="F30" s="12"/>
      <c r="G30" s="2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s="46" customFormat="1" ht="13.5" hidden="1" customHeight="1" x14ac:dyDescent="0.25">
      <c r="A31" s="8" t="s">
        <v>144</v>
      </c>
      <c r="B31" s="162" t="s">
        <v>147</v>
      </c>
      <c r="C31" s="36">
        <f>'1.Bev-kiad.'!C33</f>
        <v>0</v>
      </c>
      <c r="D31" s="10"/>
      <c r="E31" s="10"/>
      <c r="F31" s="10"/>
      <c r="G31" s="2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3.5" hidden="1" customHeight="1" x14ac:dyDescent="0.25">
      <c r="A32" s="8" t="s">
        <v>145</v>
      </c>
      <c r="B32" s="163" t="s">
        <v>148</v>
      </c>
      <c r="C32" s="36">
        <f>'1.Bev-kiad.'!C34</f>
        <v>0</v>
      </c>
      <c r="D32" s="8"/>
      <c r="E32" s="8"/>
      <c r="F32" s="8"/>
      <c r="G32" s="2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3.5" hidden="1" customHeight="1" x14ac:dyDescent="0.25">
      <c r="A33" s="8" t="s">
        <v>146</v>
      </c>
      <c r="B33" s="20" t="s">
        <v>149</v>
      </c>
      <c r="C33" s="36">
        <f>'1.Bev-kiad.'!C35</f>
        <v>0</v>
      </c>
      <c r="D33" s="8"/>
      <c r="E33" s="8"/>
      <c r="F33" s="8"/>
      <c r="G33" s="2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3.5" hidden="1" customHeight="1" x14ac:dyDescent="0.25">
      <c r="A34" s="8" t="s">
        <v>150</v>
      </c>
      <c r="B34" s="20" t="s">
        <v>151</v>
      </c>
      <c r="C34" s="36">
        <f>'1.Bev-kiad.'!C36</f>
        <v>0</v>
      </c>
      <c r="D34" s="8"/>
      <c r="E34" s="8"/>
      <c r="F34" s="8"/>
      <c r="G34" s="2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3.5" hidden="1" customHeight="1" x14ac:dyDescent="0.25">
      <c r="A35" s="8" t="s">
        <v>152</v>
      </c>
      <c r="B35" s="20" t="s">
        <v>153</v>
      </c>
      <c r="C35" s="36">
        <f>'1.Bev-kiad.'!C37</f>
        <v>0</v>
      </c>
      <c r="D35" s="8"/>
      <c r="E35" s="8"/>
      <c r="F35" s="8"/>
      <c r="G35" s="2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3.5" hidden="1" customHeight="1" x14ac:dyDescent="0.25">
      <c r="A36" s="8" t="s">
        <v>154</v>
      </c>
      <c r="B36" s="20" t="s">
        <v>155</v>
      </c>
      <c r="C36" s="36">
        <f>'1.Bev-kiad.'!C38</f>
        <v>0</v>
      </c>
      <c r="D36" s="8"/>
      <c r="E36" s="8"/>
      <c r="F36" s="8"/>
      <c r="G36" s="2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3.5" hidden="1" customHeight="1" x14ac:dyDescent="0.25">
      <c r="A37" s="8" t="s">
        <v>156</v>
      </c>
      <c r="B37" s="20" t="s">
        <v>157</v>
      </c>
      <c r="C37" s="36">
        <f>'1.Bev-kiad.'!C39</f>
        <v>0</v>
      </c>
      <c r="D37" s="8"/>
      <c r="E37" s="8"/>
      <c r="F37" s="8"/>
      <c r="G37" s="2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3.5" hidden="1" customHeight="1" x14ac:dyDescent="0.25">
      <c r="A38" s="8" t="s">
        <v>162</v>
      </c>
      <c r="B38" s="20" t="s">
        <v>163</v>
      </c>
      <c r="C38" s="36">
        <f>'1.Bev-kiad.'!C40</f>
        <v>0</v>
      </c>
      <c r="D38" s="8"/>
      <c r="E38" s="8"/>
      <c r="F38" s="8"/>
      <c r="G38" s="2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7.25" customHeight="1" x14ac:dyDescent="0.25">
      <c r="A39" s="13" t="s">
        <v>166</v>
      </c>
      <c r="B39" s="160" t="s">
        <v>211</v>
      </c>
      <c r="C39" s="36">
        <f>'1.Bev-kiad.'!C41</f>
        <v>0</v>
      </c>
      <c r="D39" s="40">
        <f>SUM('3.felh'!H24)</f>
        <v>0</v>
      </c>
      <c r="E39" s="40">
        <f>SUM('3.felh'!I24)</f>
        <v>0</v>
      </c>
      <c r="F39" s="40">
        <f>SUM('3.felh'!J24)</f>
        <v>0</v>
      </c>
      <c r="G39" s="2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3.5" hidden="1" customHeight="1" x14ac:dyDescent="0.25">
      <c r="A40" s="8" t="s">
        <v>167</v>
      </c>
      <c r="B40" s="20" t="s">
        <v>172</v>
      </c>
      <c r="C40" s="36">
        <f>'1.Bev-kiad.'!C42</f>
        <v>0</v>
      </c>
      <c r="D40" s="8"/>
      <c r="E40" s="8"/>
      <c r="F40" s="8"/>
      <c r="G40" s="2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3.5" hidden="1" customHeight="1" x14ac:dyDescent="0.25">
      <c r="A41" s="8" t="s">
        <v>168</v>
      </c>
      <c r="B41" s="20" t="s">
        <v>173</v>
      </c>
      <c r="C41" s="36">
        <f>'1.Bev-kiad.'!C43</f>
        <v>0</v>
      </c>
      <c r="D41" s="8"/>
      <c r="E41" s="8"/>
      <c r="F41" s="8"/>
      <c r="G41" s="2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3.5" hidden="1" customHeight="1" x14ac:dyDescent="0.25">
      <c r="A42" s="8" t="s">
        <v>169</v>
      </c>
      <c r="B42" s="20" t="s">
        <v>174</v>
      </c>
      <c r="C42" s="36">
        <f>'1.Bev-kiad.'!C44</f>
        <v>0</v>
      </c>
      <c r="D42" s="8"/>
      <c r="E42" s="8"/>
      <c r="F42" s="8"/>
      <c r="G42" s="2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3.5" hidden="1" customHeight="1" x14ac:dyDescent="0.25">
      <c r="A43" s="8" t="s">
        <v>170</v>
      </c>
      <c r="B43" s="20" t="s">
        <v>175</v>
      </c>
      <c r="C43" s="36">
        <f>'1.Bev-kiad.'!C45</f>
        <v>0</v>
      </c>
      <c r="D43" s="8"/>
      <c r="E43" s="8"/>
      <c r="F43" s="8"/>
      <c r="G43" s="2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3.5" hidden="1" customHeight="1" x14ac:dyDescent="0.25">
      <c r="A44" s="152" t="s">
        <v>171</v>
      </c>
      <c r="B44" s="20" t="s">
        <v>176</v>
      </c>
      <c r="C44" s="36">
        <f>'1.Bev-kiad.'!C46</f>
        <v>0</v>
      </c>
      <c r="D44" s="8"/>
      <c r="E44" s="8"/>
      <c r="F44" s="8"/>
      <c r="G44" s="2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8" customHeight="1" x14ac:dyDescent="0.25">
      <c r="A45" s="13" t="s">
        <v>177</v>
      </c>
      <c r="B45" s="160" t="s">
        <v>212</v>
      </c>
      <c r="C45" s="36">
        <f>'1.Bev-kiad.'!C47</f>
        <v>0</v>
      </c>
      <c r="D45" s="40">
        <v>0</v>
      </c>
      <c r="E45" s="40">
        <v>0</v>
      </c>
      <c r="F45" s="40">
        <v>0</v>
      </c>
      <c r="G45" s="2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3.5" hidden="1" customHeight="1" x14ac:dyDescent="0.25">
      <c r="A46" s="152" t="s">
        <v>182</v>
      </c>
      <c r="B46" s="20" t="s">
        <v>179</v>
      </c>
      <c r="C46" s="36">
        <f>'1.Bev-kiad.'!C48</f>
        <v>0</v>
      </c>
      <c r="D46" s="8"/>
      <c r="E46" s="8"/>
      <c r="F46" s="8"/>
      <c r="G46" s="2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3.5" hidden="1" customHeight="1" x14ac:dyDescent="0.25">
      <c r="A47" s="152" t="s">
        <v>183</v>
      </c>
      <c r="B47" s="20" t="s">
        <v>180</v>
      </c>
      <c r="C47" s="36">
        <f>'1.Bev-kiad.'!C49</f>
        <v>0</v>
      </c>
      <c r="D47" s="8"/>
      <c r="E47" s="8"/>
      <c r="F47" s="8"/>
      <c r="G47" s="2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3.5" hidden="1" customHeight="1" x14ac:dyDescent="0.25">
      <c r="A48" s="152" t="s">
        <v>184</v>
      </c>
      <c r="B48" s="20" t="s">
        <v>181</v>
      </c>
      <c r="C48" s="36">
        <f>'1.Bev-kiad.'!C50</f>
        <v>0</v>
      </c>
      <c r="D48" s="8"/>
      <c r="E48" s="8"/>
      <c r="F48" s="8"/>
      <c r="G48" s="2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8" customHeight="1" x14ac:dyDescent="0.25">
      <c r="A49" s="13" t="s">
        <v>178</v>
      </c>
      <c r="B49" s="160" t="s">
        <v>213</v>
      </c>
      <c r="C49" s="36">
        <f>'1.Bev-kiad.'!C51</f>
        <v>0</v>
      </c>
      <c r="D49" s="40">
        <f>SUM('3.felh'!H30)</f>
        <v>0</v>
      </c>
      <c r="E49" s="40">
        <f>SUM('3.felh'!I30)</f>
        <v>0</v>
      </c>
      <c r="F49" s="40">
        <f>SUM('3.felh'!J30)</f>
        <v>0</v>
      </c>
      <c r="G49" s="2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3.5" hidden="1" customHeight="1" x14ac:dyDescent="0.25">
      <c r="A50" s="8" t="s">
        <v>185</v>
      </c>
      <c r="B50" s="20" t="s">
        <v>188</v>
      </c>
      <c r="C50" s="36">
        <f>'1.Bev-kiad.'!C52</f>
        <v>0</v>
      </c>
      <c r="D50" s="40"/>
      <c r="E50" s="40"/>
      <c r="F50" s="40"/>
      <c r="G50" s="2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3.5" hidden="1" customHeight="1" x14ac:dyDescent="0.25">
      <c r="A51" s="8" t="s">
        <v>186</v>
      </c>
      <c r="B51" s="20" t="s">
        <v>189</v>
      </c>
      <c r="C51" s="36">
        <f>'1.Bev-kiad.'!C53</f>
        <v>0</v>
      </c>
      <c r="D51" s="40"/>
      <c r="E51" s="40"/>
      <c r="F51" s="40"/>
      <c r="G51" s="2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3.5" hidden="1" customHeight="1" thickBot="1" x14ac:dyDescent="0.3">
      <c r="A52" s="11" t="s">
        <v>187</v>
      </c>
      <c r="B52" s="169" t="s">
        <v>190</v>
      </c>
      <c r="C52" s="36">
        <f>'1.Bev-kiad.'!C54</f>
        <v>0</v>
      </c>
      <c r="D52" s="170"/>
      <c r="E52" s="170"/>
      <c r="F52" s="170"/>
      <c r="G52" s="2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21.75" customHeight="1" x14ac:dyDescent="0.25">
      <c r="A53" s="23" t="s">
        <v>347</v>
      </c>
      <c r="B53" s="209" t="s">
        <v>349</v>
      </c>
      <c r="C53" s="40">
        <f>SUM(C54+C58)</f>
        <v>11995</v>
      </c>
      <c r="D53" s="40">
        <f>SUM(D54+D58)</f>
        <v>10000</v>
      </c>
      <c r="E53" s="40">
        <f>SUM(E54+E58)</f>
        <v>10000</v>
      </c>
      <c r="F53" s="40">
        <f>SUM(F54+F58)</f>
        <v>10000</v>
      </c>
      <c r="G53" s="2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8" customHeight="1" x14ac:dyDescent="0.25">
      <c r="A54" s="23"/>
      <c r="B54" s="22" t="s">
        <v>361</v>
      </c>
      <c r="C54" s="40">
        <f>SUM(C55)</f>
        <v>11995</v>
      </c>
      <c r="D54" s="40">
        <f>SUM(D55)</f>
        <v>10000</v>
      </c>
      <c r="E54" s="40">
        <f>SUM(E55)</f>
        <v>10000</v>
      </c>
      <c r="F54" s="40">
        <f>SUM(F55)</f>
        <v>10000</v>
      </c>
      <c r="G54" s="2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3.5" customHeight="1" x14ac:dyDescent="0.2">
      <c r="A55" s="8"/>
      <c r="B55" s="165" t="s">
        <v>362</v>
      </c>
      <c r="C55" s="5">
        <f>SUM(C56:C57)</f>
        <v>11995</v>
      </c>
      <c r="D55" s="5">
        <f>SUM(D56:D57)</f>
        <v>10000</v>
      </c>
      <c r="E55" s="5">
        <f>SUM(E56:E57)</f>
        <v>10000</v>
      </c>
      <c r="F55" s="5">
        <f>SUM(F56:F57)</f>
        <v>10000</v>
      </c>
      <c r="G55" s="2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3.5" customHeight="1" x14ac:dyDescent="0.2">
      <c r="A56" s="8"/>
      <c r="B56" s="165" t="s">
        <v>363</v>
      </c>
      <c r="C56" s="12">
        <f>SUM('2.működés'!C95)</f>
        <v>11995</v>
      </c>
      <c r="D56" s="12">
        <v>10000</v>
      </c>
      <c r="E56" s="12">
        <v>10000</v>
      </c>
      <c r="F56" s="12">
        <v>10000</v>
      </c>
      <c r="G56" s="2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3.5" customHeight="1" x14ac:dyDescent="0.2">
      <c r="A57" s="8"/>
      <c r="B57" s="165" t="s">
        <v>367</v>
      </c>
      <c r="C57" s="12">
        <f>SUM('3.felh'!C35)</f>
        <v>0</v>
      </c>
      <c r="D57" s="12">
        <v>0</v>
      </c>
      <c r="E57" s="12">
        <f>SUM('3.felh'!I35)</f>
        <v>0</v>
      </c>
      <c r="F57" s="12">
        <f>SUM('3.felh'!J35)</f>
        <v>0</v>
      </c>
      <c r="G57" s="2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8" customHeight="1" thickBot="1" x14ac:dyDescent="0.3">
      <c r="A58" s="8"/>
      <c r="B58" s="22" t="s">
        <v>357</v>
      </c>
      <c r="C58" s="40">
        <f>SUM(C59:C60)</f>
        <v>0</v>
      </c>
      <c r="D58" s="40">
        <f>SUM(D59:D60)</f>
        <v>0</v>
      </c>
      <c r="E58" s="40">
        <f>SUM(E59:E60)</f>
        <v>0</v>
      </c>
      <c r="F58" s="40">
        <f>SUM(F59:F60)</f>
        <v>0</v>
      </c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3.5" hidden="1" customHeight="1" x14ac:dyDescent="0.2">
      <c r="A59" s="8"/>
      <c r="B59" s="162" t="s">
        <v>364</v>
      </c>
      <c r="C59" s="12"/>
      <c r="D59" s="12"/>
      <c r="E59" s="12"/>
      <c r="F59" s="12"/>
      <c r="G59" s="2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3.5" hidden="1" customHeight="1" thickBot="1" x14ac:dyDescent="0.25">
      <c r="A60" s="171"/>
      <c r="B60" s="11" t="s">
        <v>365</v>
      </c>
      <c r="C60" s="214"/>
      <c r="D60" s="214"/>
      <c r="E60" s="214"/>
      <c r="F60" s="214"/>
      <c r="G60" s="2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23.25" customHeight="1" thickBot="1" x14ac:dyDescent="0.4">
      <c r="A61" s="171"/>
      <c r="B61" s="43" t="s">
        <v>5</v>
      </c>
      <c r="C61" s="273">
        <f>SUM(C7+C53)</f>
        <v>91595</v>
      </c>
      <c r="D61" s="218">
        <f>SUM(D7+D53)</f>
        <v>90500</v>
      </c>
      <c r="E61" s="218">
        <f>SUM(E7+E53)</f>
        <v>91000</v>
      </c>
      <c r="F61" s="44">
        <f>SUM(F7+F53)</f>
        <v>91000</v>
      </c>
      <c r="G61" s="28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20.25" customHeight="1" x14ac:dyDescent="0.25">
      <c r="A62" s="167" t="s">
        <v>194</v>
      </c>
      <c r="B62" s="164" t="s">
        <v>352</v>
      </c>
      <c r="C62" s="206">
        <f>SUM(C63+C70)</f>
        <v>90662</v>
      </c>
      <c r="D62" s="206">
        <f t="shared" ref="D62:F62" si="0">SUM(D63+D70)</f>
        <v>90500</v>
      </c>
      <c r="E62" s="206">
        <f t="shared" si="0"/>
        <v>91000</v>
      </c>
      <c r="F62" s="206">
        <f t="shared" si="0"/>
        <v>91000</v>
      </c>
      <c r="G62" s="2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8" customHeight="1" x14ac:dyDescent="0.25">
      <c r="A63" s="13" t="s">
        <v>191</v>
      </c>
      <c r="B63" s="160" t="s">
        <v>9</v>
      </c>
      <c r="C63" s="168">
        <f>C64</f>
        <v>89678</v>
      </c>
      <c r="D63" s="168">
        <f t="shared" ref="D63:F63" si="1">D64</f>
        <v>90500</v>
      </c>
      <c r="E63" s="168">
        <f t="shared" si="1"/>
        <v>90500</v>
      </c>
      <c r="F63" s="168">
        <f t="shared" si="1"/>
        <v>90500</v>
      </c>
      <c r="G63" s="2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x14ac:dyDescent="0.2">
      <c r="A64" s="8"/>
      <c r="B64" s="161" t="s">
        <v>10</v>
      </c>
      <c r="C64" s="12">
        <f>SUM(C65:C69)</f>
        <v>89678</v>
      </c>
      <c r="D64" s="12">
        <f t="shared" ref="D64:F64" si="2">SUM(D65:D69)</f>
        <v>90500</v>
      </c>
      <c r="E64" s="12">
        <f t="shared" si="2"/>
        <v>90500</v>
      </c>
      <c r="F64" s="12">
        <f t="shared" si="2"/>
        <v>90500</v>
      </c>
      <c r="G64" s="2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x14ac:dyDescent="0.2">
      <c r="A65" s="8"/>
      <c r="B65" s="8" t="s">
        <v>734</v>
      </c>
      <c r="C65" s="12">
        <f>'1.Bev-kiad.'!C68</f>
        <v>36308</v>
      </c>
      <c r="D65" s="12">
        <v>36900</v>
      </c>
      <c r="E65" s="12">
        <v>36900</v>
      </c>
      <c r="F65" s="12">
        <v>36900</v>
      </c>
      <c r="G65" s="2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x14ac:dyDescent="0.2">
      <c r="A66" s="8"/>
      <c r="B66" s="8" t="s">
        <v>735</v>
      </c>
      <c r="C66" s="12">
        <f>'1.Bev-kiad.'!C69</f>
        <v>4536</v>
      </c>
      <c r="D66" s="12">
        <v>4500</v>
      </c>
      <c r="E66" s="12">
        <v>4500</v>
      </c>
      <c r="F66" s="12">
        <v>4500</v>
      </c>
      <c r="G66" s="2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x14ac:dyDescent="0.2">
      <c r="A67" s="8"/>
      <c r="B67" s="8" t="s">
        <v>736</v>
      </c>
      <c r="C67" s="12">
        <f>'1.Bev-kiad.'!C70</f>
        <v>37734</v>
      </c>
      <c r="D67" s="12">
        <v>38000</v>
      </c>
      <c r="E67" s="12">
        <v>38000</v>
      </c>
      <c r="F67" s="12">
        <v>38000</v>
      </c>
      <c r="G67" s="2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x14ac:dyDescent="0.2">
      <c r="A68" s="8"/>
      <c r="B68" s="8" t="s">
        <v>737</v>
      </c>
      <c r="C68" s="12">
        <f>'1.Bev-kiad.'!C71</f>
        <v>1500</v>
      </c>
      <c r="D68" s="12">
        <v>1500</v>
      </c>
      <c r="E68" s="12">
        <v>1500</v>
      </c>
      <c r="F68" s="12">
        <v>1500</v>
      </c>
      <c r="G68" s="2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3.5" customHeight="1" x14ac:dyDescent="0.2">
      <c r="A69" s="8"/>
      <c r="B69" s="8" t="s">
        <v>738</v>
      </c>
      <c r="C69" s="12">
        <f>'1.Bev-kiad.'!C72</f>
        <v>9600</v>
      </c>
      <c r="D69" s="12">
        <v>9600</v>
      </c>
      <c r="E69" s="12">
        <v>9600</v>
      </c>
      <c r="F69" s="12">
        <v>9600</v>
      </c>
      <c r="G69" s="2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8" customHeight="1" x14ac:dyDescent="0.25">
      <c r="A70" s="13" t="s">
        <v>192</v>
      </c>
      <c r="B70" s="160" t="s">
        <v>214</v>
      </c>
      <c r="C70" s="270">
        <f>SUM(C71:C73)</f>
        <v>984</v>
      </c>
      <c r="D70" s="14">
        <f>SUM(D71:D73)</f>
        <v>0</v>
      </c>
      <c r="E70" s="14">
        <f>SUM(E71:E73)</f>
        <v>500</v>
      </c>
      <c r="F70" s="14">
        <f>SUM(F71:F73)</f>
        <v>500</v>
      </c>
      <c r="G70" s="2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s="46" customFormat="1" ht="13.5" customHeight="1" x14ac:dyDescent="0.2">
      <c r="A71" s="8"/>
      <c r="B71" s="162" t="s">
        <v>313</v>
      </c>
      <c r="C71" s="12">
        <f>SUM('3.felh'!C41)</f>
        <v>984</v>
      </c>
      <c r="D71" s="12">
        <v>0</v>
      </c>
      <c r="E71" s="12">
        <v>500</v>
      </c>
      <c r="F71" s="12">
        <v>500</v>
      </c>
      <c r="G71" s="2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s="46" customFormat="1" ht="13.5" customHeight="1" x14ac:dyDescent="0.2">
      <c r="A72" s="8"/>
      <c r="B72" s="162" t="s">
        <v>314</v>
      </c>
      <c r="C72" s="12">
        <f>SUM('3.felh'!C55)</f>
        <v>0</v>
      </c>
      <c r="D72" s="12">
        <v>0</v>
      </c>
      <c r="E72" s="12">
        <v>0</v>
      </c>
      <c r="F72" s="12">
        <v>0</v>
      </c>
      <c r="G72" s="2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s="46" customFormat="1" ht="13.5" customHeight="1" x14ac:dyDescent="0.2">
      <c r="A73" s="8"/>
      <c r="B73" s="162" t="s">
        <v>315</v>
      </c>
      <c r="C73" s="12">
        <f>SUM(C74:C75)</f>
        <v>0</v>
      </c>
      <c r="D73" s="12">
        <f>SUM(D74:D75)</f>
        <v>0</v>
      </c>
      <c r="E73" s="12">
        <v>0</v>
      </c>
      <c r="F73" s="12">
        <f>SUM(F74:F75)</f>
        <v>0</v>
      </c>
      <c r="G73" s="2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s="46" customFormat="1" ht="13.5" hidden="1" customHeight="1" x14ac:dyDescent="0.2">
      <c r="A74" s="8"/>
      <c r="B74" s="162" t="s">
        <v>368</v>
      </c>
      <c r="C74" s="12">
        <f>SUM('3.felh'!C64)</f>
        <v>0</v>
      </c>
      <c r="D74" s="12">
        <f>SUM('3.felh'!H64)</f>
        <v>0</v>
      </c>
      <c r="E74" s="12">
        <v>0</v>
      </c>
      <c r="F74" s="12">
        <f>SUM('3.felh'!M64)</f>
        <v>0</v>
      </c>
      <c r="G74" s="2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s="46" customFormat="1" ht="13.5" hidden="1" customHeight="1" x14ac:dyDescent="0.2">
      <c r="A75" s="8"/>
      <c r="B75" s="162" t="s">
        <v>514</v>
      </c>
      <c r="C75" s="12">
        <f>'3.felh'!C65</f>
        <v>0</v>
      </c>
      <c r="D75" s="12">
        <f>'3.felh'!D66+'3.felh'!D68</f>
        <v>0</v>
      </c>
      <c r="E75" s="12">
        <f>'3.felh'!E66+'3.felh'!E68</f>
        <v>0</v>
      </c>
      <c r="F75" s="12">
        <f>'3.felh'!F66+'3.felh'!F68</f>
        <v>0</v>
      </c>
      <c r="G75" s="2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21.75" customHeight="1" x14ac:dyDescent="0.25">
      <c r="A76" s="13" t="s">
        <v>193</v>
      </c>
      <c r="B76" s="210" t="s">
        <v>366</v>
      </c>
      <c r="C76" s="205">
        <f>SUM(C77)</f>
        <v>933</v>
      </c>
      <c r="D76" s="41">
        <f>SUM(D77)</f>
        <v>0</v>
      </c>
      <c r="E76" s="215">
        <v>0</v>
      </c>
      <c r="F76" s="215">
        <v>0</v>
      </c>
      <c r="G76" s="2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3.5" thickBot="1" x14ac:dyDescent="0.25">
      <c r="A77" s="261"/>
      <c r="B77" s="199" t="s">
        <v>383</v>
      </c>
      <c r="C77" s="31">
        <f>SUM('2.működés'!C114)</f>
        <v>933</v>
      </c>
      <c r="D77" s="31">
        <v>0</v>
      </c>
      <c r="E77" s="31">
        <v>0</v>
      </c>
      <c r="F77" s="31">
        <v>0</v>
      </c>
      <c r="G77" s="2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24" customHeight="1" thickBot="1" x14ac:dyDescent="0.4">
      <c r="A78" s="262"/>
      <c r="B78" s="264" t="s">
        <v>8</v>
      </c>
      <c r="C78" s="273">
        <f>SUM(C62+C76)</f>
        <v>91595</v>
      </c>
      <c r="D78" s="273">
        <f>SUM(D62+D76)</f>
        <v>90500</v>
      </c>
      <c r="E78" s="218">
        <f>SUM(E62+E76)</f>
        <v>91000</v>
      </c>
      <c r="F78" s="44">
        <f>SUM(F62+F76)</f>
        <v>91000</v>
      </c>
      <c r="G78" s="2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5.75" customHeight="1" x14ac:dyDescent="0.2">
      <c r="D79" s="7"/>
      <c r="E79" s="7"/>
      <c r="F79" s="7"/>
      <c r="G79" s="2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5.75" customHeight="1" x14ac:dyDescent="0.2">
      <c r="C80" s="2"/>
      <c r="D80" s="2"/>
      <c r="E80" s="2"/>
      <c r="F80" s="2"/>
      <c r="G80" s="2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2:47" ht="15.75" customHeight="1" x14ac:dyDescent="0.2">
      <c r="C81" s="2"/>
      <c r="D81" s="2"/>
      <c r="E81" s="2"/>
      <c r="F81" s="2"/>
      <c r="G81" s="2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2:47" ht="15.75" customHeight="1" x14ac:dyDescent="0.2">
      <c r="C82" s="2"/>
      <c r="D82" s="2"/>
      <c r="E82" s="2"/>
      <c r="F82" s="2"/>
      <c r="G82" s="2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2:47" ht="15.75" customHeight="1" x14ac:dyDescent="0.2">
      <c r="C83" s="2"/>
      <c r="D83" s="2"/>
      <c r="E83" s="2"/>
      <c r="F83" s="2"/>
      <c r="G83" s="2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2:47" ht="15.75" customHeight="1" x14ac:dyDescent="0.2">
      <c r="C84" s="2"/>
      <c r="D84" s="2"/>
      <c r="E84" s="2"/>
      <c r="F84" s="2"/>
      <c r="G84" s="2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2:47" ht="15.75" customHeight="1" x14ac:dyDescent="0.2">
      <c r="B85" s="2"/>
      <c r="C85" s="2"/>
      <c r="D85" s="2"/>
      <c r="E85" s="2"/>
      <c r="F85" s="2"/>
      <c r="G85" s="2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2:47" ht="15.75" customHeight="1" x14ac:dyDescent="0.2">
      <c r="B86" s="2"/>
      <c r="C86" s="2"/>
      <c r="D86" s="2"/>
      <c r="E86" s="2"/>
      <c r="F86" s="2"/>
      <c r="G86" s="2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2:47" ht="15.75" customHeight="1" x14ac:dyDescent="0.2">
      <c r="B87" s="2"/>
      <c r="C87" s="2"/>
      <c r="D87" s="2"/>
      <c r="E87" s="2"/>
      <c r="F87" s="2"/>
      <c r="G87" s="2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2:47" ht="15.75" customHeight="1" x14ac:dyDescent="0.2">
      <c r="B88" s="2"/>
      <c r="C88" s="2"/>
      <c r="D88" s="2"/>
      <c r="E88" s="2"/>
      <c r="F88" s="2"/>
      <c r="G88" s="2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2:47" ht="15.75" customHeight="1" x14ac:dyDescent="0.2">
      <c r="B89" s="2"/>
      <c r="C89" s="2"/>
      <c r="D89" s="2"/>
      <c r="E89" s="2"/>
      <c r="F89" s="2"/>
      <c r="G89" s="2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2:47" ht="15.75" customHeight="1" x14ac:dyDescent="0.2">
      <c r="B90" s="2"/>
      <c r="C90" s="2"/>
      <c r="D90" s="2"/>
      <c r="E90" s="2"/>
      <c r="F90" s="2"/>
      <c r="G90" s="2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2:47" ht="15.75" customHeight="1" x14ac:dyDescent="0.2">
      <c r="B91" s="2"/>
      <c r="C91" s="2"/>
      <c r="D91" s="2"/>
      <c r="E91" s="2"/>
      <c r="F91" s="2"/>
      <c r="G91" s="2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2:47" ht="15.75" customHeight="1" x14ac:dyDescent="0.2">
      <c r="B92" s="2"/>
      <c r="C92" s="2"/>
      <c r="D92" s="2"/>
      <c r="E92" s="2"/>
      <c r="F92" s="2"/>
      <c r="G92" s="2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2:47" ht="15.75" customHeight="1" x14ac:dyDescent="0.2">
      <c r="B93" s="2"/>
      <c r="C93" s="2"/>
      <c r="D93" s="2"/>
      <c r="E93" s="2"/>
      <c r="F93" s="2"/>
      <c r="G93" s="2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2:47" ht="15.75" customHeight="1" x14ac:dyDescent="0.2">
      <c r="B94" s="2"/>
      <c r="C94" s="2"/>
      <c r="D94" s="2"/>
      <c r="E94" s="2"/>
      <c r="F94" s="2"/>
      <c r="G94" s="2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2:47" ht="15.75" customHeight="1" x14ac:dyDescent="0.2">
      <c r="B95" s="2"/>
      <c r="C95" s="2"/>
      <c r="D95" s="2"/>
      <c r="E95" s="2"/>
      <c r="F95" s="2"/>
      <c r="G95" s="2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2:47" ht="15.75" customHeight="1" x14ac:dyDescent="0.2">
      <c r="B96" s="2"/>
      <c r="C96" s="2"/>
      <c r="D96" s="2"/>
      <c r="E96" s="2"/>
      <c r="F96" s="2"/>
      <c r="G96" s="2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2:47" ht="15.75" customHeight="1" x14ac:dyDescent="0.2">
      <c r="B97" s="2"/>
      <c r="C97" s="2"/>
      <c r="D97" s="2"/>
      <c r="E97" s="2"/>
      <c r="F97" s="2"/>
      <c r="G97" s="2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2:47" ht="15.75" customHeight="1" x14ac:dyDescent="0.2">
      <c r="B98" s="2"/>
      <c r="C98" s="2"/>
      <c r="D98" s="2"/>
      <c r="E98" s="2"/>
      <c r="F98" s="2"/>
      <c r="G98" s="2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2:47" ht="15.75" customHeight="1" x14ac:dyDescent="0.2">
      <c r="B99" s="2"/>
      <c r="C99" s="2"/>
      <c r="D99" s="2"/>
      <c r="E99" s="2"/>
      <c r="F99" s="2"/>
      <c r="G99" s="2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2:47" ht="15.75" customHeight="1" x14ac:dyDescent="0.2">
      <c r="B100" s="2"/>
      <c r="C100" s="2"/>
      <c r="D100" s="2"/>
      <c r="E100" s="2"/>
      <c r="F100" s="2"/>
      <c r="G100" s="2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2:47" ht="15.75" customHeight="1" x14ac:dyDescent="0.2">
      <c r="B101" s="2"/>
      <c r="C101" s="2"/>
      <c r="D101" s="2"/>
      <c r="E101" s="2"/>
      <c r="F101" s="2"/>
      <c r="G101" s="2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2:47" ht="15.75" customHeight="1" x14ac:dyDescent="0.2">
      <c r="B102" s="2"/>
      <c r="C102" s="2"/>
      <c r="D102" s="2"/>
      <c r="E102" s="2"/>
      <c r="F102" s="2"/>
      <c r="G102" s="2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2:47" ht="15.75" customHeight="1" x14ac:dyDescent="0.2">
      <c r="B103" s="2"/>
      <c r="C103" s="2"/>
      <c r="D103" s="2"/>
      <c r="E103" s="2"/>
      <c r="F103" s="2"/>
      <c r="G103" s="2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2:47" ht="15.75" customHeight="1" x14ac:dyDescent="0.2">
      <c r="B104" s="2"/>
      <c r="C104" s="2"/>
      <c r="D104" s="2"/>
      <c r="E104" s="2"/>
      <c r="F104" s="2"/>
      <c r="G104" s="2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2:47" ht="15.75" customHeight="1" x14ac:dyDescent="0.2">
      <c r="B105" s="2"/>
      <c r="C105" s="2"/>
      <c r="D105" s="2"/>
      <c r="E105" s="2"/>
      <c r="F105" s="2"/>
      <c r="G105" s="2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2:47" ht="15.75" customHeight="1" x14ac:dyDescent="0.2">
      <c r="B106" s="2"/>
      <c r="C106" s="2"/>
      <c r="D106" s="2"/>
      <c r="E106" s="2"/>
      <c r="F106" s="2"/>
      <c r="G106" s="2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2:47" ht="15.75" customHeight="1" x14ac:dyDescent="0.2">
      <c r="B107" s="2"/>
      <c r="C107" s="2"/>
      <c r="D107" s="2"/>
      <c r="E107" s="2"/>
      <c r="F107" s="2"/>
      <c r="G107" s="2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2:47" ht="15.75" customHeight="1" x14ac:dyDescent="0.2">
      <c r="B108" s="2"/>
      <c r="C108" s="2"/>
      <c r="D108" s="2"/>
      <c r="E108" s="2"/>
      <c r="F108" s="2"/>
      <c r="G108" s="2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2:47" ht="15.75" customHeight="1" x14ac:dyDescent="0.2">
      <c r="B109" s="2"/>
      <c r="C109" s="2"/>
      <c r="D109" s="2"/>
      <c r="E109" s="2"/>
      <c r="F109" s="2"/>
      <c r="G109" s="2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2:47" ht="15.75" customHeight="1" x14ac:dyDescent="0.2">
      <c r="B110" s="2"/>
      <c r="C110" s="2"/>
      <c r="D110" s="2"/>
      <c r="E110" s="2"/>
      <c r="F110" s="2"/>
      <c r="G110" s="2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2:47" ht="15.75" customHeight="1" x14ac:dyDescent="0.2">
      <c r="B111" s="2"/>
      <c r="C111" s="2"/>
      <c r="D111" s="2"/>
      <c r="E111" s="2"/>
      <c r="F111" s="2"/>
      <c r="G111" s="2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2:47" ht="15.75" customHeight="1" x14ac:dyDescent="0.2">
      <c r="B112" s="2"/>
      <c r="C112" s="2"/>
      <c r="D112" s="2"/>
      <c r="E112" s="2"/>
      <c r="F112" s="2"/>
      <c r="G112" s="2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2:47" ht="15.75" customHeight="1" x14ac:dyDescent="0.2">
      <c r="B113" s="2"/>
      <c r="C113" s="2"/>
      <c r="D113" s="2"/>
      <c r="E113" s="2"/>
      <c r="F113" s="2"/>
      <c r="G113" s="2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2:47" ht="15.75" customHeight="1" x14ac:dyDescent="0.2">
      <c r="B114" s="2"/>
      <c r="C114" s="2"/>
      <c r="D114" s="2"/>
      <c r="E114" s="2"/>
      <c r="F114" s="2"/>
      <c r="G114" s="2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2:47" ht="15.75" customHeight="1" x14ac:dyDescent="0.2">
      <c r="B115" s="2"/>
      <c r="C115" s="2"/>
      <c r="D115" s="2"/>
      <c r="E115" s="2"/>
      <c r="F115" s="2"/>
      <c r="G115" s="2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2:47" ht="15.75" customHeight="1" x14ac:dyDescent="0.2">
      <c r="B116" s="2"/>
      <c r="C116" s="2"/>
      <c r="D116" s="2"/>
      <c r="E116" s="2"/>
      <c r="F116" s="2"/>
      <c r="G116" s="2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2:47" ht="15.75" customHeight="1" x14ac:dyDescent="0.2">
      <c r="B117" s="2"/>
      <c r="C117" s="2"/>
      <c r="D117" s="2"/>
      <c r="E117" s="2"/>
      <c r="F117" s="2"/>
      <c r="G117" s="2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2:47" ht="15.75" customHeight="1" x14ac:dyDescent="0.2">
      <c r="B118" s="2"/>
      <c r="C118" s="2"/>
      <c r="D118" s="2"/>
      <c r="E118" s="2"/>
      <c r="F118" s="2"/>
      <c r="G118" s="2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2:47" ht="15.75" customHeight="1" x14ac:dyDescent="0.2">
      <c r="B119" s="2"/>
      <c r="C119" s="2"/>
      <c r="D119" s="2"/>
      <c r="E119" s="2"/>
      <c r="F119" s="2"/>
      <c r="G119" s="2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2:47" ht="15.75" customHeight="1" x14ac:dyDescent="0.2">
      <c r="B120" s="2"/>
      <c r="C120" s="2"/>
      <c r="D120" s="2"/>
      <c r="E120" s="2"/>
      <c r="F120" s="2"/>
      <c r="G120" s="2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2:47" ht="15.75" customHeight="1" x14ac:dyDescent="0.2">
      <c r="B121" s="2"/>
      <c r="C121" s="2"/>
      <c r="D121" s="2"/>
      <c r="E121" s="2"/>
      <c r="F121" s="2"/>
      <c r="G121" s="2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2:47" ht="15.75" customHeight="1" x14ac:dyDescent="0.2">
      <c r="B122" s="2"/>
      <c r="C122" s="2"/>
      <c r="D122" s="2"/>
      <c r="E122" s="2"/>
      <c r="F122" s="2"/>
      <c r="G122" s="2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2:47" ht="15.75" customHeight="1" x14ac:dyDescent="0.2">
      <c r="B123" s="2"/>
      <c r="C123" s="2"/>
      <c r="D123" s="2"/>
      <c r="E123" s="2"/>
      <c r="F123" s="2"/>
      <c r="G123" s="2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2:47" ht="15.75" customHeight="1" x14ac:dyDescent="0.2">
      <c r="B124" s="2"/>
      <c r="C124" s="2"/>
      <c r="D124" s="2"/>
      <c r="E124" s="2"/>
      <c r="F124" s="2"/>
      <c r="G124" s="2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2:47" ht="15.75" customHeight="1" x14ac:dyDescent="0.2">
      <c r="B125" s="2"/>
      <c r="C125" s="2"/>
      <c r="D125" s="2"/>
      <c r="E125" s="2"/>
      <c r="F125" s="2"/>
      <c r="G125" s="2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2:47" ht="15.75" customHeight="1" x14ac:dyDescent="0.2">
      <c r="B126" s="2"/>
      <c r="C126" s="2"/>
      <c r="D126" s="2"/>
      <c r="E126" s="2"/>
      <c r="F126" s="2"/>
      <c r="G126" s="2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2:47" ht="15.75" customHeight="1" x14ac:dyDescent="0.2">
      <c r="B127" s="2"/>
      <c r="C127" s="2"/>
      <c r="D127" s="2"/>
      <c r="E127" s="2"/>
      <c r="F127" s="2"/>
      <c r="G127" s="2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2:47" ht="15.75" customHeight="1" x14ac:dyDescent="0.2">
      <c r="B128" s="2"/>
      <c r="C128" s="2"/>
      <c r="D128" s="2"/>
      <c r="E128" s="2"/>
      <c r="F128" s="2"/>
      <c r="G128" s="2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2:47" ht="15.75" customHeight="1" x14ac:dyDescent="0.2">
      <c r="B129" s="2"/>
      <c r="C129" s="2"/>
      <c r="D129" s="2"/>
      <c r="E129" s="2"/>
      <c r="F129" s="2"/>
      <c r="G129" s="2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2:47" ht="15.75" customHeight="1" x14ac:dyDescent="0.2">
      <c r="B130" s="2"/>
      <c r="C130" s="2"/>
      <c r="D130" s="2"/>
      <c r="E130" s="2"/>
      <c r="F130" s="2"/>
      <c r="G130" s="2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2:47" ht="15.75" customHeight="1" x14ac:dyDescent="0.2">
      <c r="B131" s="2"/>
      <c r="C131" s="2"/>
      <c r="D131" s="2"/>
      <c r="E131" s="2"/>
      <c r="F131" s="2"/>
      <c r="G131" s="2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2:47" ht="15.75" customHeight="1" x14ac:dyDescent="0.2">
      <c r="B132" s="2"/>
      <c r="C132" s="2"/>
      <c r="D132" s="2"/>
      <c r="E132" s="2"/>
      <c r="F132" s="2"/>
      <c r="G132" s="2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2:47" ht="15.75" customHeight="1" x14ac:dyDescent="0.2">
      <c r="B133" s="2"/>
      <c r="C133" s="2"/>
      <c r="D133" s="2"/>
      <c r="E133" s="2"/>
      <c r="F133" s="2"/>
      <c r="G133" s="2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2:47" ht="15.75" customHeight="1" x14ac:dyDescent="0.2">
      <c r="B134" s="2"/>
      <c r="C134" s="2"/>
      <c r="D134" s="2"/>
      <c r="E134" s="2"/>
      <c r="F134" s="2"/>
      <c r="G134" s="2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2:47" ht="15.75" customHeight="1" x14ac:dyDescent="0.2">
      <c r="B135" s="2"/>
      <c r="C135" s="2"/>
      <c r="D135" s="2"/>
      <c r="E135" s="2"/>
      <c r="F135" s="2"/>
      <c r="G135" s="2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2:47" ht="15.75" customHeight="1" x14ac:dyDescent="0.2">
      <c r="B136" s="2"/>
      <c r="C136" s="2"/>
      <c r="D136" s="2"/>
      <c r="E136" s="2"/>
      <c r="F136" s="2"/>
      <c r="G136" s="2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2:47" ht="15.75" customHeight="1" x14ac:dyDescent="0.2">
      <c r="B137" s="2"/>
      <c r="C137" s="2"/>
      <c r="D137" s="2"/>
      <c r="E137" s="2"/>
      <c r="F137" s="2"/>
      <c r="G137" s="2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2:47" ht="15.75" customHeight="1" x14ac:dyDescent="0.2">
      <c r="B138" s="2"/>
      <c r="C138" s="2"/>
      <c r="D138" s="2"/>
      <c r="E138" s="2"/>
      <c r="F138" s="2"/>
      <c r="G138" s="2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2:47" ht="15.75" customHeight="1" x14ac:dyDescent="0.2">
      <c r="B139" s="2"/>
      <c r="C139" s="2"/>
      <c r="D139" s="2"/>
      <c r="E139" s="2"/>
      <c r="F139" s="2"/>
      <c r="G139" s="2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2:47" ht="15.75" customHeight="1" x14ac:dyDescent="0.2">
      <c r="B140" s="2"/>
      <c r="C140" s="2"/>
      <c r="D140" s="2"/>
      <c r="E140" s="2"/>
      <c r="F140" s="2"/>
      <c r="G140" s="2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2:47" ht="15.75" customHeight="1" x14ac:dyDescent="0.2">
      <c r="B141" s="2"/>
      <c r="C141" s="2"/>
      <c r="D141" s="2"/>
      <c r="E141" s="2"/>
      <c r="F141" s="2"/>
      <c r="G141" s="2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2:47" ht="15.75" customHeight="1" x14ac:dyDescent="0.2">
      <c r="B142" s="2"/>
      <c r="C142" s="2"/>
      <c r="D142" s="2"/>
      <c r="E142" s="2"/>
      <c r="F142" s="2"/>
      <c r="G142" s="2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2:47" ht="15.75" customHeight="1" x14ac:dyDescent="0.2">
      <c r="B143" s="2"/>
      <c r="C143" s="2"/>
      <c r="D143" s="2"/>
      <c r="E143" s="2"/>
      <c r="F143" s="2"/>
      <c r="G143" s="2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2:47" ht="15.75" customHeight="1" x14ac:dyDescent="0.2">
      <c r="B144" s="2"/>
      <c r="C144" s="2"/>
      <c r="D144" s="2"/>
      <c r="E144" s="2"/>
      <c r="F144" s="2"/>
      <c r="G144" s="2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2:47" ht="15.75" customHeight="1" x14ac:dyDescent="0.2">
      <c r="B145" s="2"/>
      <c r="C145" s="2"/>
      <c r="D145" s="2"/>
      <c r="E145" s="2"/>
      <c r="F145" s="2"/>
      <c r="G145" s="2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2:47" ht="15.75" customHeight="1" x14ac:dyDescent="0.2">
      <c r="B146" s="2"/>
      <c r="C146" s="2"/>
      <c r="D146" s="2"/>
      <c r="E146" s="2"/>
      <c r="F146" s="2"/>
      <c r="G146" s="2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2:47" ht="15.75" customHeight="1" x14ac:dyDescent="0.2">
      <c r="B147" s="2"/>
      <c r="C147" s="2"/>
      <c r="D147" s="2"/>
      <c r="E147" s="2"/>
      <c r="F147" s="2"/>
      <c r="G147" s="2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2:47" ht="15.75" customHeight="1" x14ac:dyDescent="0.2">
      <c r="B148" s="2"/>
      <c r="C148" s="2"/>
      <c r="D148" s="2"/>
      <c r="E148" s="2"/>
      <c r="F148" s="2"/>
      <c r="G148" s="2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2:47" ht="15.75" customHeight="1" x14ac:dyDescent="0.2">
      <c r="B149" s="2"/>
      <c r="C149" s="2"/>
      <c r="D149" s="2"/>
      <c r="E149" s="2"/>
      <c r="F149" s="2"/>
      <c r="G149" s="2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2:47" ht="15.75" customHeight="1" x14ac:dyDescent="0.2">
      <c r="B150" s="2"/>
      <c r="C150" s="2"/>
      <c r="D150" s="2"/>
      <c r="E150" s="2"/>
      <c r="F150" s="2"/>
      <c r="G150" s="2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2:47" ht="15.75" customHeight="1" x14ac:dyDescent="0.2">
      <c r="B151" s="2"/>
      <c r="C151" s="2"/>
      <c r="D151" s="2"/>
      <c r="E151" s="2"/>
      <c r="F151" s="2"/>
      <c r="G151" s="2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2:47" ht="15.75" customHeight="1" x14ac:dyDescent="0.2">
      <c r="B152" s="2"/>
      <c r="C152" s="2"/>
      <c r="D152" s="2"/>
      <c r="E152" s="2"/>
      <c r="F152" s="2"/>
      <c r="G152" s="2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2:47" ht="15.75" customHeight="1" x14ac:dyDescent="0.2">
      <c r="B153" s="2"/>
      <c r="C153" s="2"/>
      <c r="D153" s="2"/>
      <c r="E153" s="2"/>
      <c r="F153" s="2"/>
      <c r="G153" s="2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2:47" ht="15.75" customHeight="1" x14ac:dyDescent="0.2">
      <c r="B154" s="2"/>
      <c r="C154" s="2"/>
      <c r="D154" s="2"/>
      <c r="E154" s="2"/>
      <c r="F154" s="2"/>
      <c r="G154" s="2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2:47" ht="15.75" customHeight="1" x14ac:dyDescent="0.2">
      <c r="B155" s="2"/>
      <c r="C155" s="2"/>
      <c r="D155" s="2"/>
      <c r="E155" s="2"/>
      <c r="F155" s="2"/>
      <c r="G155" s="2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2:47" ht="15.75" customHeight="1" x14ac:dyDescent="0.2">
      <c r="B156" s="2"/>
      <c r="C156" s="2"/>
      <c r="D156" s="2"/>
      <c r="E156" s="2"/>
      <c r="F156" s="2"/>
      <c r="G156" s="2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2:47" ht="15.75" customHeight="1" x14ac:dyDescent="0.2">
      <c r="B157" s="2"/>
      <c r="C157" s="2"/>
      <c r="D157" s="2"/>
      <c r="E157" s="2"/>
      <c r="F157" s="2"/>
      <c r="G157" s="2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2:47" ht="15.75" customHeight="1" x14ac:dyDescent="0.2">
      <c r="B158" s="2"/>
      <c r="C158" s="2"/>
      <c r="D158" s="2"/>
      <c r="E158" s="2"/>
      <c r="F158" s="2"/>
      <c r="G158" s="2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2:47" ht="15.75" customHeight="1" x14ac:dyDescent="0.2">
      <c r="B159" s="2"/>
      <c r="C159" s="2"/>
      <c r="D159" s="2"/>
      <c r="E159" s="2"/>
      <c r="F159" s="2"/>
      <c r="G159" s="2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2:47" ht="15.75" customHeight="1" x14ac:dyDescent="0.2">
      <c r="B160" s="2"/>
      <c r="C160" s="2"/>
      <c r="D160" s="2"/>
      <c r="E160" s="2"/>
      <c r="F160" s="2"/>
      <c r="G160" s="2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2:47" ht="15.75" customHeight="1" x14ac:dyDescent="0.2">
      <c r="B161" s="2"/>
      <c r="C161" s="2"/>
      <c r="D161" s="2"/>
      <c r="E161" s="2"/>
      <c r="F161" s="2"/>
      <c r="G161" s="2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2:47" ht="15.75" customHeight="1" x14ac:dyDescent="0.2">
      <c r="B162" s="2"/>
      <c r="C162" s="2"/>
      <c r="D162" s="2"/>
      <c r="E162" s="2"/>
      <c r="F162" s="2"/>
      <c r="G162" s="2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2:47" ht="15.75" customHeight="1" x14ac:dyDescent="0.2">
      <c r="B163" s="2"/>
      <c r="C163" s="2"/>
      <c r="D163" s="2"/>
      <c r="E163" s="2"/>
      <c r="F163" s="2"/>
      <c r="G163" s="2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2:47" ht="15.75" customHeight="1" x14ac:dyDescent="0.2">
      <c r="B164" s="2"/>
      <c r="C164" s="28"/>
      <c r="D164" s="28"/>
      <c r="E164" s="28"/>
      <c r="F164" s="28"/>
      <c r="G164" s="2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2:47" ht="15.75" customHeight="1" x14ac:dyDescent="0.2">
      <c r="B165" s="2"/>
      <c r="C165" s="28"/>
      <c r="D165" s="28"/>
      <c r="E165" s="28"/>
      <c r="F165" s="28"/>
      <c r="G165" s="2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2:47" ht="15.75" customHeight="1" x14ac:dyDescent="0.2">
      <c r="B166" s="2"/>
      <c r="C166" s="28"/>
      <c r="D166" s="28"/>
      <c r="E166" s="28"/>
      <c r="F166" s="28"/>
      <c r="G166" s="2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2:47" ht="15.75" customHeight="1" x14ac:dyDescent="0.2">
      <c r="B167" s="2"/>
      <c r="C167" s="28"/>
      <c r="D167" s="28"/>
      <c r="E167" s="28"/>
      <c r="F167" s="28"/>
      <c r="G167" s="2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2:47" ht="15.75" customHeight="1" x14ac:dyDescent="0.2">
      <c r="B168" s="2"/>
      <c r="C168" s="28"/>
      <c r="D168" s="28"/>
      <c r="E168" s="28"/>
      <c r="F168" s="28"/>
      <c r="G168" s="2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2:47" ht="15.75" customHeight="1" x14ac:dyDescent="0.2">
      <c r="B169" s="2"/>
      <c r="C169" s="28"/>
      <c r="D169" s="28"/>
      <c r="E169" s="28"/>
      <c r="F169" s="28"/>
      <c r="G169" s="2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2:47" ht="15.75" customHeight="1" x14ac:dyDescent="0.2">
      <c r="B170" s="2"/>
      <c r="C170" s="28"/>
      <c r="D170" s="28"/>
      <c r="E170" s="28"/>
      <c r="F170" s="28"/>
      <c r="G170" s="2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2:47" ht="15.75" customHeight="1" x14ac:dyDescent="0.2">
      <c r="B171" s="2"/>
      <c r="C171" s="28"/>
      <c r="D171" s="28"/>
      <c r="E171" s="28"/>
      <c r="F171" s="28"/>
      <c r="G171" s="2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2:47" ht="15.75" customHeight="1" x14ac:dyDescent="0.2">
      <c r="B172" s="2"/>
      <c r="C172" s="28"/>
      <c r="D172" s="28"/>
      <c r="E172" s="28"/>
      <c r="F172" s="28"/>
      <c r="G172" s="2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2:47" ht="15.75" customHeight="1" x14ac:dyDescent="0.2">
      <c r="B173" s="2"/>
      <c r="C173" s="28"/>
      <c r="D173" s="28"/>
      <c r="E173" s="28"/>
      <c r="F173" s="28"/>
      <c r="G173" s="2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2:47" ht="15.75" customHeight="1" x14ac:dyDescent="0.2">
      <c r="B174" s="2"/>
      <c r="C174" s="28"/>
      <c r="D174" s="28"/>
      <c r="E174" s="28"/>
      <c r="F174" s="28"/>
      <c r="G174" s="2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2:47" ht="15.75" customHeight="1" x14ac:dyDescent="0.2">
      <c r="B175" s="2"/>
      <c r="C175" s="28"/>
      <c r="D175" s="28"/>
      <c r="E175" s="28"/>
      <c r="F175" s="28"/>
      <c r="G175" s="2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2:47" ht="15.75" customHeight="1" x14ac:dyDescent="0.2">
      <c r="B176" s="2"/>
      <c r="C176" s="28"/>
      <c r="D176" s="28"/>
      <c r="E176" s="28"/>
      <c r="F176" s="28"/>
      <c r="G176" s="2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2:47" ht="15.75" customHeight="1" x14ac:dyDescent="0.2">
      <c r="B177" s="2"/>
      <c r="C177" s="28"/>
      <c r="D177" s="28"/>
      <c r="E177" s="28"/>
      <c r="F177" s="28"/>
      <c r="G177" s="2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2:47" ht="15.75" customHeight="1" x14ac:dyDescent="0.2">
      <c r="B178" s="2"/>
      <c r="C178" s="28"/>
      <c r="D178" s="28"/>
      <c r="E178" s="28"/>
      <c r="F178" s="28"/>
      <c r="G178" s="2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2:47" ht="15.75" customHeight="1" x14ac:dyDescent="0.2">
      <c r="B179" s="2"/>
      <c r="C179" s="28"/>
      <c r="D179" s="28"/>
      <c r="E179" s="28"/>
      <c r="F179" s="28"/>
      <c r="G179" s="2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2:47" ht="15.75" customHeight="1" x14ac:dyDescent="0.2">
      <c r="B180" s="2"/>
      <c r="C180" s="28"/>
      <c r="D180" s="28"/>
      <c r="E180" s="28"/>
      <c r="F180" s="28"/>
      <c r="G180" s="2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2:47" ht="15.75" customHeight="1" x14ac:dyDescent="0.2">
      <c r="B181" s="2"/>
      <c r="C181" s="28"/>
      <c r="D181" s="28"/>
      <c r="E181" s="28"/>
      <c r="F181" s="28"/>
      <c r="G181" s="2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2:47" ht="15.75" customHeight="1" x14ac:dyDescent="0.2">
      <c r="B182" s="2"/>
      <c r="C182" s="28"/>
      <c r="D182" s="28"/>
      <c r="E182" s="28"/>
      <c r="F182" s="28"/>
      <c r="G182" s="2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2:47" ht="15.75" customHeight="1" x14ac:dyDescent="0.2">
      <c r="B183" s="2"/>
      <c r="C183" s="28"/>
      <c r="D183" s="28"/>
      <c r="E183" s="28"/>
      <c r="F183" s="28"/>
      <c r="G183" s="2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2:47" ht="15.75" customHeight="1" x14ac:dyDescent="0.2">
      <c r="B184" s="2"/>
      <c r="C184" s="28"/>
      <c r="D184" s="28"/>
      <c r="E184" s="28"/>
      <c r="F184" s="28"/>
      <c r="G184" s="2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2:47" ht="15.75" customHeight="1" x14ac:dyDescent="0.2">
      <c r="B185" s="2"/>
      <c r="C185" s="28"/>
      <c r="D185" s="28"/>
      <c r="E185" s="28"/>
      <c r="F185" s="28"/>
      <c r="G185" s="2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2:47" ht="15.75" customHeight="1" x14ac:dyDescent="0.2">
      <c r="B186" s="2"/>
      <c r="C186" s="28"/>
      <c r="D186" s="28"/>
      <c r="E186" s="28"/>
      <c r="F186" s="28"/>
      <c r="G186" s="2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2:47" ht="15.75" customHeight="1" x14ac:dyDescent="0.2">
      <c r="B187" s="2"/>
      <c r="C187" s="28"/>
      <c r="D187" s="28"/>
      <c r="E187" s="28"/>
      <c r="F187" s="28"/>
      <c r="G187" s="2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2:47" ht="15.75" customHeight="1" x14ac:dyDescent="0.2">
      <c r="B188" s="2"/>
      <c r="C188" s="28"/>
      <c r="D188" s="28"/>
      <c r="E188" s="28"/>
      <c r="F188" s="28"/>
      <c r="G188" s="2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2:47" ht="15.75" customHeight="1" x14ac:dyDescent="0.2">
      <c r="B189" s="2"/>
      <c r="C189" s="28"/>
      <c r="D189" s="28"/>
      <c r="E189" s="28"/>
      <c r="F189" s="28"/>
      <c r="G189" s="2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2:47" ht="15.75" customHeight="1" x14ac:dyDescent="0.2">
      <c r="B190" s="2"/>
      <c r="C190" s="28"/>
      <c r="D190" s="28"/>
      <c r="E190" s="28"/>
      <c r="F190" s="28"/>
      <c r="G190" s="2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2:47" ht="15.75" customHeight="1" x14ac:dyDescent="0.2">
      <c r="B191" s="2"/>
      <c r="C191" s="28"/>
      <c r="D191" s="28"/>
      <c r="E191" s="28"/>
      <c r="F191" s="28"/>
      <c r="G191" s="2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2:47" ht="15.75" customHeight="1" x14ac:dyDescent="0.2">
      <c r="B192" s="2"/>
      <c r="C192" s="28"/>
      <c r="D192" s="28"/>
      <c r="E192" s="28"/>
      <c r="F192" s="28"/>
      <c r="G192" s="2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2:47" ht="15.75" customHeight="1" x14ac:dyDescent="0.2">
      <c r="B193" s="2"/>
      <c r="C193" s="28"/>
      <c r="D193" s="28"/>
      <c r="E193" s="28"/>
      <c r="F193" s="28"/>
      <c r="G193" s="2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2:47" ht="15.75" customHeight="1" x14ac:dyDescent="0.2">
      <c r="B194" s="2"/>
      <c r="C194" s="28"/>
      <c r="D194" s="28"/>
      <c r="E194" s="28"/>
      <c r="F194" s="28"/>
      <c r="G194" s="2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2:47" ht="15.75" customHeight="1" x14ac:dyDescent="0.2">
      <c r="B195" s="2"/>
      <c r="C195" s="28"/>
      <c r="D195" s="28"/>
      <c r="E195" s="28"/>
      <c r="F195" s="28"/>
      <c r="G195" s="2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2:47" ht="15.75" customHeight="1" x14ac:dyDescent="0.2">
      <c r="B196" s="2"/>
      <c r="C196" s="28"/>
      <c r="D196" s="28"/>
      <c r="E196" s="28"/>
      <c r="F196" s="28"/>
      <c r="G196" s="2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2:47" ht="15.75" customHeight="1" x14ac:dyDescent="0.2">
      <c r="B197" s="2"/>
      <c r="C197" s="28"/>
      <c r="D197" s="28"/>
      <c r="E197" s="28"/>
      <c r="F197" s="28"/>
      <c r="G197" s="2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2:47" ht="15.75" customHeight="1" x14ac:dyDescent="0.2">
      <c r="B198" s="2"/>
      <c r="C198" s="28"/>
      <c r="D198" s="28"/>
      <c r="E198" s="28"/>
      <c r="F198" s="28"/>
      <c r="G198" s="2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2:47" ht="15.75" customHeight="1" x14ac:dyDescent="0.2">
      <c r="B199" s="2"/>
      <c r="C199" s="28"/>
      <c r="D199" s="28"/>
      <c r="E199" s="28"/>
      <c r="F199" s="28"/>
      <c r="G199" s="2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2:47" ht="15.75" customHeight="1" x14ac:dyDescent="0.2">
      <c r="B200" s="2"/>
      <c r="C200" s="28"/>
      <c r="D200" s="28"/>
      <c r="E200" s="28"/>
      <c r="F200" s="28"/>
      <c r="G200" s="2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2:47" ht="15.75" customHeight="1" x14ac:dyDescent="0.2">
      <c r="B201" s="2"/>
      <c r="C201" s="28"/>
      <c r="D201" s="28"/>
      <c r="E201" s="28"/>
      <c r="F201" s="28"/>
      <c r="G201" s="2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2:47" ht="15.75" customHeight="1" x14ac:dyDescent="0.2">
      <c r="B202" s="2"/>
      <c r="C202" s="28"/>
      <c r="D202" s="28"/>
      <c r="E202" s="28"/>
      <c r="F202" s="28"/>
      <c r="G202" s="2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2:47" ht="15.75" customHeight="1" x14ac:dyDescent="0.2">
      <c r="B203" s="2"/>
      <c r="C203" s="28"/>
      <c r="D203" s="28"/>
      <c r="E203" s="28"/>
      <c r="F203" s="28"/>
      <c r="G203" s="2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2:47" ht="15.75" customHeight="1" x14ac:dyDescent="0.2">
      <c r="B204" s="2"/>
      <c r="C204" s="28"/>
      <c r="D204" s="28"/>
      <c r="E204" s="28"/>
      <c r="F204" s="28"/>
      <c r="G204" s="2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2:47" ht="15.75" customHeight="1" x14ac:dyDescent="0.2">
      <c r="B205" s="2"/>
      <c r="C205" s="28"/>
      <c r="D205" s="28"/>
      <c r="E205" s="28"/>
      <c r="F205" s="28"/>
      <c r="G205" s="2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2:47" ht="15.75" customHeight="1" x14ac:dyDescent="0.2">
      <c r="B206" s="2"/>
      <c r="C206" s="28"/>
      <c r="D206" s="28"/>
      <c r="E206" s="28"/>
      <c r="F206" s="28"/>
      <c r="G206" s="2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2:47" ht="15.75" customHeight="1" x14ac:dyDescent="0.2">
      <c r="B207" s="2"/>
      <c r="C207" s="28"/>
      <c r="D207" s="28"/>
      <c r="E207" s="28"/>
      <c r="F207" s="28"/>
      <c r="G207" s="2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2:47" ht="15.75" customHeight="1" x14ac:dyDescent="0.2">
      <c r="B208" s="2"/>
      <c r="C208" s="28"/>
      <c r="D208" s="28"/>
      <c r="E208" s="28"/>
      <c r="F208" s="28"/>
      <c r="G208" s="2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2:47" ht="15.75" customHeight="1" x14ac:dyDescent="0.2">
      <c r="B209" s="2"/>
      <c r="C209" s="28"/>
      <c r="D209" s="28"/>
      <c r="E209" s="28"/>
      <c r="F209" s="28"/>
      <c r="G209" s="2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2:47" ht="15.75" customHeight="1" x14ac:dyDescent="0.2">
      <c r="B210" s="2"/>
      <c r="C210" s="28"/>
      <c r="D210" s="28"/>
      <c r="E210" s="28"/>
      <c r="F210" s="28"/>
      <c r="G210" s="2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2:47" ht="15.75" customHeight="1" x14ac:dyDescent="0.2">
      <c r="B211" s="2"/>
      <c r="C211" s="28"/>
      <c r="D211" s="28"/>
      <c r="E211" s="28"/>
      <c r="F211" s="28"/>
      <c r="G211" s="2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2:47" ht="15.75" customHeight="1" x14ac:dyDescent="0.2">
      <c r="B212" s="2"/>
      <c r="C212" s="28"/>
      <c r="D212" s="28"/>
      <c r="E212" s="28"/>
      <c r="F212" s="28"/>
      <c r="G212" s="2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2:47" ht="15.75" customHeight="1" x14ac:dyDescent="0.2">
      <c r="B213" s="2"/>
      <c r="C213" s="28"/>
      <c r="D213" s="28"/>
      <c r="E213" s="28"/>
      <c r="F213" s="28"/>
      <c r="G213" s="2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2:47" ht="15.75" customHeight="1" x14ac:dyDescent="0.2">
      <c r="B214" s="2"/>
      <c r="C214" s="28"/>
      <c r="D214" s="28"/>
      <c r="E214" s="28"/>
      <c r="F214" s="28"/>
      <c r="G214" s="2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2:47" ht="15.75" customHeight="1" x14ac:dyDescent="0.2">
      <c r="B215" s="2"/>
      <c r="C215" s="28"/>
      <c r="D215" s="28"/>
      <c r="E215" s="28"/>
      <c r="F215" s="28"/>
      <c r="G215" s="2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2:47" ht="15.75" customHeight="1" x14ac:dyDescent="0.2">
      <c r="B216" s="2"/>
      <c r="C216" s="28"/>
      <c r="D216" s="28"/>
      <c r="E216" s="28"/>
      <c r="F216" s="28"/>
      <c r="G216" s="2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2:47" ht="15.75" customHeight="1" x14ac:dyDescent="0.2">
      <c r="B217" s="2"/>
      <c r="C217" s="28"/>
      <c r="D217" s="28"/>
      <c r="E217" s="28"/>
      <c r="F217" s="28"/>
      <c r="G217" s="2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2:47" ht="15.75" customHeight="1" x14ac:dyDescent="0.2">
      <c r="B218" s="2"/>
      <c r="C218" s="28"/>
      <c r="D218" s="28"/>
      <c r="E218" s="28"/>
      <c r="F218" s="28"/>
      <c r="G218" s="2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2:47" ht="15.75" customHeight="1" x14ac:dyDescent="0.2">
      <c r="B219" s="2"/>
      <c r="C219" s="28"/>
      <c r="D219" s="28"/>
      <c r="E219" s="28"/>
      <c r="F219" s="28"/>
      <c r="G219" s="2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2:47" ht="15.75" customHeight="1" x14ac:dyDescent="0.2">
      <c r="B220" s="2"/>
      <c r="C220" s="28"/>
      <c r="D220" s="28"/>
      <c r="E220" s="28"/>
      <c r="F220" s="28"/>
      <c r="G220" s="2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2:47" ht="15.75" customHeight="1" x14ac:dyDescent="0.2">
      <c r="B221" s="2"/>
      <c r="C221" s="28"/>
      <c r="D221" s="28"/>
      <c r="E221" s="28"/>
      <c r="F221" s="28"/>
      <c r="G221" s="2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2:47" ht="15.75" customHeight="1" x14ac:dyDescent="0.2">
      <c r="B222" s="2"/>
      <c r="C222" s="28"/>
      <c r="D222" s="28"/>
      <c r="E222" s="28"/>
      <c r="F222" s="28"/>
      <c r="G222" s="2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2:47" ht="15.75" customHeight="1" x14ac:dyDescent="0.2">
      <c r="B223" s="2"/>
      <c r="C223" s="28"/>
      <c r="D223" s="28"/>
      <c r="E223" s="28"/>
      <c r="F223" s="28"/>
      <c r="G223" s="2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2:47" ht="15.75" customHeight="1" x14ac:dyDescent="0.2">
      <c r="B224" s="2"/>
      <c r="C224" s="28"/>
      <c r="D224" s="28"/>
      <c r="E224" s="28"/>
      <c r="F224" s="28"/>
      <c r="G224" s="2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2:47" ht="15.75" customHeight="1" x14ac:dyDescent="0.2">
      <c r="B225" s="2"/>
      <c r="C225" s="28"/>
      <c r="D225" s="28"/>
      <c r="E225" s="28"/>
      <c r="F225" s="28"/>
      <c r="G225" s="2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2:47" ht="15.75" customHeight="1" x14ac:dyDescent="0.2">
      <c r="B226" s="2"/>
      <c r="C226" s="28"/>
      <c r="D226" s="28"/>
      <c r="E226" s="28"/>
      <c r="F226" s="28"/>
      <c r="G226" s="2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2:47" ht="15.75" customHeight="1" x14ac:dyDescent="0.2">
      <c r="B227" s="2"/>
      <c r="C227" s="28"/>
      <c r="D227" s="28"/>
      <c r="E227" s="28"/>
      <c r="F227" s="28"/>
      <c r="G227" s="2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2:47" ht="15.75" customHeight="1" x14ac:dyDescent="0.2">
      <c r="B228" s="2"/>
      <c r="C228" s="28"/>
      <c r="D228" s="28"/>
      <c r="E228" s="28"/>
      <c r="F228" s="28"/>
      <c r="G228" s="2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2:47" ht="15.75" customHeight="1" x14ac:dyDescent="0.2">
      <c r="B229" s="2"/>
      <c r="C229" s="28"/>
      <c r="D229" s="28"/>
      <c r="E229" s="28"/>
      <c r="F229" s="28"/>
      <c r="G229" s="2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2:47" ht="15.75" customHeight="1" x14ac:dyDescent="0.2">
      <c r="B230" s="2"/>
      <c r="C230" s="28"/>
      <c r="D230" s="28"/>
      <c r="E230" s="28"/>
      <c r="F230" s="28"/>
      <c r="G230" s="2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2:47" ht="15.75" customHeight="1" x14ac:dyDescent="0.2">
      <c r="B231" s="2"/>
      <c r="C231" s="28"/>
      <c r="D231" s="28"/>
      <c r="E231" s="28"/>
      <c r="F231" s="28"/>
      <c r="G231" s="2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2:47" ht="15.75" customHeight="1" x14ac:dyDescent="0.2">
      <c r="B232" s="2"/>
      <c r="C232" s="28"/>
      <c r="D232" s="28"/>
      <c r="E232" s="28"/>
      <c r="F232" s="28"/>
      <c r="G232" s="2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2:47" ht="15.75" customHeight="1" x14ac:dyDescent="0.2">
      <c r="B233" s="2"/>
      <c r="C233" s="28"/>
      <c r="D233" s="28"/>
      <c r="E233" s="28"/>
      <c r="F233" s="28"/>
      <c r="G233" s="2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2:47" ht="15.75" customHeight="1" x14ac:dyDescent="0.2">
      <c r="B234" s="2"/>
      <c r="C234" s="28"/>
      <c r="D234" s="28"/>
      <c r="E234" s="28"/>
      <c r="F234" s="28"/>
      <c r="G234" s="2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2:47" ht="15.75" customHeight="1" x14ac:dyDescent="0.2">
      <c r="B235" s="2"/>
      <c r="C235" s="28"/>
      <c r="D235" s="28"/>
      <c r="E235" s="28"/>
      <c r="F235" s="28"/>
      <c r="G235" s="2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2:47" ht="15.75" customHeight="1" x14ac:dyDescent="0.2">
      <c r="B236" s="2"/>
      <c r="C236" s="28"/>
      <c r="D236" s="28"/>
      <c r="E236" s="28"/>
      <c r="F236" s="28"/>
      <c r="G236" s="2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2:47" ht="15.75" customHeight="1" x14ac:dyDescent="0.2">
      <c r="B237" s="2"/>
      <c r="C237" s="28"/>
      <c r="D237" s="28"/>
      <c r="E237" s="28"/>
      <c r="F237" s="28"/>
      <c r="G237" s="2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2:47" ht="15.75" customHeight="1" x14ac:dyDescent="0.2">
      <c r="B238" s="2"/>
      <c r="C238" s="28"/>
      <c r="D238" s="28"/>
      <c r="E238" s="28"/>
      <c r="F238" s="28"/>
      <c r="G238" s="2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2:47" ht="15.75" customHeight="1" x14ac:dyDescent="0.2">
      <c r="B239" s="2"/>
      <c r="C239" s="28"/>
      <c r="D239" s="28"/>
      <c r="E239" s="28"/>
      <c r="F239" s="28"/>
      <c r="G239" s="2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2:47" ht="15.75" customHeight="1" x14ac:dyDescent="0.2">
      <c r="B240" s="2"/>
      <c r="C240" s="28"/>
      <c r="D240" s="28"/>
      <c r="E240" s="28"/>
      <c r="F240" s="28"/>
      <c r="G240" s="2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2:47" ht="15.75" customHeight="1" x14ac:dyDescent="0.2">
      <c r="B241" s="2"/>
      <c r="C241" s="28"/>
      <c r="D241" s="28"/>
      <c r="E241" s="28"/>
      <c r="F241" s="28"/>
      <c r="G241" s="2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2:47" ht="15.75" customHeight="1" x14ac:dyDescent="0.2">
      <c r="B242" s="2"/>
      <c r="C242" s="28"/>
      <c r="D242" s="28"/>
      <c r="E242" s="28"/>
      <c r="F242" s="28"/>
      <c r="G242" s="2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2:47" ht="15.75" customHeight="1" x14ac:dyDescent="0.2">
      <c r="B243" s="2"/>
      <c r="C243" s="28"/>
      <c r="D243" s="28"/>
      <c r="E243" s="28"/>
      <c r="F243" s="28"/>
      <c r="G243" s="2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2:47" ht="15.75" customHeight="1" x14ac:dyDescent="0.2">
      <c r="B244" s="2"/>
      <c r="C244" s="28"/>
      <c r="D244" s="28"/>
      <c r="E244" s="28"/>
      <c r="F244" s="28"/>
      <c r="G244" s="2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2:47" ht="15.75" customHeight="1" x14ac:dyDescent="0.2">
      <c r="B245" s="2"/>
      <c r="C245" s="28"/>
      <c r="D245" s="28"/>
      <c r="E245" s="28"/>
      <c r="F245" s="28"/>
      <c r="G245" s="2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2:47" ht="15.75" customHeight="1" x14ac:dyDescent="0.2">
      <c r="B246" s="2"/>
      <c r="C246" s="28"/>
      <c r="D246" s="28"/>
      <c r="E246" s="28"/>
      <c r="F246" s="28"/>
      <c r="G246" s="2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2:47" ht="15.75" customHeight="1" x14ac:dyDescent="0.2">
      <c r="B247" s="2"/>
      <c r="C247" s="28"/>
      <c r="D247" s="28"/>
      <c r="E247" s="28"/>
      <c r="F247" s="28"/>
      <c r="G247" s="2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2:47" ht="15.75" customHeight="1" x14ac:dyDescent="0.2">
      <c r="B248" s="2"/>
      <c r="C248" s="28"/>
      <c r="D248" s="28"/>
      <c r="E248" s="28"/>
      <c r="F248" s="28"/>
      <c r="G248" s="2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2:47" ht="15.75" customHeight="1" x14ac:dyDescent="0.2">
      <c r="B249" s="2"/>
      <c r="C249" s="28"/>
      <c r="D249" s="28"/>
      <c r="E249" s="28"/>
      <c r="F249" s="28"/>
      <c r="G249" s="2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2:47" ht="15.75" customHeight="1" x14ac:dyDescent="0.2">
      <c r="B250" s="2"/>
      <c r="C250" s="28"/>
      <c r="D250" s="28"/>
      <c r="E250" s="28"/>
      <c r="F250" s="28"/>
      <c r="G250" s="2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2:47" ht="15.75" customHeight="1" x14ac:dyDescent="0.2">
      <c r="B251" s="2"/>
      <c r="C251" s="28"/>
      <c r="D251" s="28"/>
      <c r="E251" s="28"/>
      <c r="F251" s="28"/>
      <c r="G251" s="2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2:47" ht="15.75" customHeight="1" x14ac:dyDescent="0.2">
      <c r="B252" s="2"/>
      <c r="C252" s="28"/>
      <c r="D252" s="28"/>
      <c r="E252" s="28"/>
      <c r="F252" s="28"/>
      <c r="G252" s="2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2:47" ht="15.75" customHeight="1" x14ac:dyDescent="0.2">
      <c r="B253" s="2"/>
      <c r="C253" s="28"/>
      <c r="D253" s="28"/>
      <c r="E253" s="28"/>
      <c r="F253" s="28"/>
      <c r="G253" s="2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2:47" ht="15.75" customHeight="1" x14ac:dyDescent="0.2">
      <c r="B254" s="2"/>
      <c r="C254" s="28"/>
      <c r="D254" s="28"/>
      <c r="E254" s="28"/>
      <c r="F254" s="28"/>
      <c r="G254" s="2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2:47" ht="15.75" customHeight="1" x14ac:dyDescent="0.2">
      <c r="B255" s="2"/>
      <c r="C255" s="28"/>
      <c r="D255" s="28"/>
      <c r="E255" s="28"/>
      <c r="F255" s="28"/>
      <c r="G255" s="2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2:47" ht="15.75" customHeight="1" x14ac:dyDescent="0.2">
      <c r="B256" s="2"/>
      <c r="C256" s="28"/>
      <c r="D256" s="28"/>
      <c r="E256" s="28"/>
      <c r="F256" s="28"/>
      <c r="G256" s="2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2:47" ht="15.75" customHeight="1" x14ac:dyDescent="0.2">
      <c r="B257" s="2"/>
      <c r="C257" s="28"/>
      <c r="D257" s="28"/>
      <c r="E257" s="28"/>
      <c r="F257" s="28"/>
      <c r="G257" s="2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2:47" ht="15.75" customHeight="1" x14ac:dyDescent="0.2">
      <c r="B258" s="2"/>
      <c r="C258" s="28"/>
      <c r="D258" s="28"/>
      <c r="E258" s="28"/>
      <c r="F258" s="28"/>
      <c r="G258" s="2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2:47" ht="15.75" customHeight="1" x14ac:dyDescent="0.2">
      <c r="B259" s="2"/>
      <c r="C259" s="28"/>
      <c r="D259" s="28"/>
      <c r="E259" s="28"/>
      <c r="F259" s="28"/>
      <c r="G259" s="2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2:47" ht="15.75" customHeight="1" x14ac:dyDescent="0.2">
      <c r="B260" s="2"/>
      <c r="C260" s="28"/>
      <c r="D260" s="28"/>
      <c r="E260" s="28"/>
      <c r="F260" s="28"/>
      <c r="G260" s="2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2:47" ht="15.75" customHeight="1" x14ac:dyDescent="0.2">
      <c r="B261" s="2"/>
      <c r="C261" s="28"/>
      <c r="D261" s="28"/>
      <c r="E261" s="28"/>
      <c r="F261" s="28"/>
      <c r="G261" s="2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2:47" ht="15.75" customHeight="1" x14ac:dyDescent="0.2">
      <c r="B262" s="2"/>
      <c r="C262" s="28"/>
      <c r="D262" s="28"/>
      <c r="E262" s="28"/>
      <c r="F262" s="28"/>
      <c r="G262" s="2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2:47" ht="15.75" customHeight="1" x14ac:dyDescent="0.2">
      <c r="B263" s="2"/>
      <c r="C263" s="28"/>
      <c r="D263" s="28"/>
      <c r="E263" s="28"/>
      <c r="F263" s="28"/>
      <c r="G263" s="2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2:47" ht="15.75" customHeight="1" x14ac:dyDescent="0.2">
      <c r="B264" s="2"/>
      <c r="C264" s="28"/>
      <c r="D264" s="28"/>
      <c r="E264" s="28"/>
      <c r="F264" s="28"/>
      <c r="G264" s="2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2:47" ht="15.75" customHeight="1" x14ac:dyDescent="0.2">
      <c r="B265" s="2"/>
      <c r="C265" s="28"/>
      <c r="D265" s="28"/>
      <c r="E265" s="28"/>
      <c r="F265" s="28"/>
      <c r="G265" s="2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2:47" ht="15.75" customHeight="1" x14ac:dyDescent="0.2">
      <c r="B266" s="2"/>
      <c r="C266" s="28"/>
      <c r="D266" s="28"/>
      <c r="E266" s="28"/>
      <c r="F266" s="28"/>
      <c r="G266" s="2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2:47" ht="15.75" customHeight="1" x14ac:dyDescent="0.2">
      <c r="B267" s="2"/>
      <c r="C267" s="28"/>
      <c r="D267" s="28"/>
      <c r="E267" s="28"/>
      <c r="F267" s="28"/>
      <c r="G267" s="2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2:47" ht="15.75" customHeight="1" x14ac:dyDescent="0.2">
      <c r="B268" s="2"/>
      <c r="C268" s="28"/>
      <c r="D268" s="28"/>
      <c r="E268" s="28"/>
      <c r="F268" s="28"/>
      <c r="G268" s="2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2:47" ht="15.75" customHeight="1" x14ac:dyDescent="0.2">
      <c r="B269" s="2"/>
      <c r="C269" s="28"/>
      <c r="D269" s="28"/>
      <c r="E269" s="28"/>
      <c r="F269" s="28"/>
      <c r="G269" s="2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2:47" ht="15.75" customHeight="1" x14ac:dyDescent="0.2">
      <c r="B270" s="2"/>
      <c r="C270" s="28"/>
      <c r="D270" s="28"/>
      <c r="E270" s="28"/>
      <c r="F270" s="28"/>
      <c r="G270" s="2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2:47" ht="15.75" customHeight="1" x14ac:dyDescent="0.2">
      <c r="B271" s="2"/>
      <c r="C271" s="28"/>
      <c r="D271" s="28"/>
      <c r="E271" s="28"/>
      <c r="F271" s="28"/>
      <c r="G271" s="2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2:47" ht="15.75" customHeight="1" x14ac:dyDescent="0.2">
      <c r="B272" s="2"/>
      <c r="C272" s="28"/>
      <c r="D272" s="28"/>
      <c r="E272" s="28"/>
      <c r="F272" s="28"/>
      <c r="G272" s="2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2:47" ht="15.75" customHeight="1" x14ac:dyDescent="0.2">
      <c r="B273" s="2"/>
      <c r="C273" s="28"/>
      <c r="D273" s="28"/>
      <c r="E273" s="28"/>
      <c r="F273" s="28"/>
      <c r="G273" s="2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2:47" ht="15.75" customHeight="1" x14ac:dyDescent="0.2">
      <c r="B274" s="2"/>
      <c r="C274" s="28"/>
      <c r="D274" s="28"/>
      <c r="E274" s="28"/>
      <c r="F274" s="28"/>
      <c r="G274" s="2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2:47" ht="15.75" customHeight="1" x14ac:dyDescent="0.2">
      <c r="B275" s="2"/>
      <c r="C275" s="28"/>
      <c r="D275" s="28"/>
      <c r="E275" s="28"/>
      <c r="F275" s="28"/>
      <c r="G275" s="2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2:47" ht="15.75" customHeight="1" x14ac:dyDescent="0.2">
      <c r="B276" s="2"/>
      <c r="C276" s="28"/>
      <c r="D276" s="28"/>
      <c r="E276" s="28"/>
      <c r="F276" s="28"/>
      <c r="G276" s="2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2:47" ht="15.75" customHeight="1" x14ac:dyDescent="0.2">
      <c r="B277" s="2"/>
      <c r="C277" s="28"/>
      <c r="D277" s="28"/>
      <c r="E277" s="28"/>
      <c r="F277" s="28"/>
      <c r="G277" s="2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2:47" ht="15.75" customHeight="1" x14ac:dyDescent="0.2">
      <c r="B278" s="2"/>
      <c r="C278" s="28"/>
      <c r="D278" s="28"/>
      <c r="E278" s="28"/>
      <c r="F278" s="28"/>
      <c r="G278" s="2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2:47" ht="15.75" customHeight="1" x14ac:dyDescent="0.2">
      <c r="B279" s="2"/>
      <c r="C279" s="28"/>
      <c r="D279" s="28"/>
      <c r="E279" s="28"/>
      <c r="F279" s="28"/>
      <c r="G279" s="2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2:47" ht="15.75" customHeight="1" x14ac:dyDescent="0.2">
      <c r="B280" s="2"/>
      <c r="C280" s="28"/>
      <c r="D280" s="28"/>
      <c r="E280" s="28"/>
      <c r="F280" s="28"/>
      <c r="G280" s="2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2:47" ht="15.75" customHeight="1" x14ac:dyDescent="0.2">
      <c r="B281" s="2"/>
      <c r="C281" s="28"/>
      <c r="D281" s="28"/>
      <c r="E281" s="28"/>
      <c r="F281" s="28"/>
      <c r="G281" s="2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2:47" ht="15.75" customHeight="1" x14ac:dyDescent="0.2">
      <c r="B282" s="2"/>
      <c r="C282" s="28"/>
      <c r="D282" s="28"/>
      <c r="E282" s="28"/>
      <c r="F282" s="28"/>
      <c r="G282" s="2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2:47" ht="15.75" customHeight="1" x14ac:dyDescent="0.2">
      <c r="B283" s="2"/>
      <c r="C283" s="28"/>
      <c r="D283" s="28"/>
      <c r="E283" s="28"/>
      <c r="F283" s="28"/>
      <c r="G283" s="2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2:47" ht="15.75" customHeight="1" x14ac:dyDescent="0.2">
      <c r="B284" s="2"/>
      <c r="C284" s="28"/>
      <c r="D284" s="28"/>
      <c r="E284" s="28"/>
      <c r="F284" s="28"/>
      <c r="G284" s="2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2:47" ht="15.75" customHeight="1" x14ac:dyDescent="0.2">
      <c r="B285" s="2"/>
      <c r="C285" s="28"/>
      <c r="D285" s="28"/>
      <c r="E285" s="28"/>
      <c r="F285" s="28"/>
      <c r="G285" s="2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2:47" ht="15.75" customHeight="1" x14ac:dyDescent="0.2">
      <c r="B286" s="2"/>
      <c r="C286" s="28"/>
      <c r="D286" s="28"/>
      <c r="E286" s="28"/>
      <c r="F286" s="28"/>
      <c r="G286" s="2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2:47" ht="15.75" customHeight="1" x14ac:dyDescent="0.2">
      <c r="B287" s="2"/>
      <c r="C287" s="28"/>
      <c r="D287" s="28"/>
      <c r="E287" s="28"/>
      <c r="F287" s="28"/>
      <c r="G287" s="2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2:47" ht="15.75" customHeight="1" x14ac:dyDescent="0.2">
      <c r="B288" s="2"/>
      <c r="C288" s="28"/>
      <c r="D288" s="28"/>
      <c r="E288" s="28"/>
      <c r="F288" s="28"/>
      <c r="G288" s="2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2:47" ht="15.75" customHeight="1" x14ac:dyDescent="0.2">
      <c r="B289" s="2"/>
      <c r="C289" s="28"/>
      <c r="D289" s="28"/>
      <c r="E289" s="28"/>
      <c r="F289" s="28"/>
      <c r="G289" s="2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2:47" ht="15.75" customHeight="1" x14ac:dyDescent="0.2">
      <c r="B290" s="2"/>
      <c r="C290" s="28"/>
      <c r="D290" s="28"/>
      <c r="E290" s="28"/>
      <c r="F290" s="28"/>
      <c r="G290" s="2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2:47" ht="15.75" customHeight="1" x14ac:dyDescent="0.2">
      <c r="B291" s="2"/>
      <c r="C291" s="28"/>
      <c r="D291" s="28"/>
      <c r="E291" s="28"/>
      <c r="F291" s="28"/>
      <c r="G291" s="2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2:47" ht="15.75" customHeight="1" x14ac:dyDescent="0.2">
      <c r="B292" s="2"/>
      <c r="C292" s="28"/>
      <c r="D292" s="28"/>
      <c r="E292" s="28"/>
      <c r="F292" s="28"/>
      <c r="G292" s="2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2:47" ht="15.75" customHeight="1" x14ac:dyDescent="0.2">
      <c r="B293" s="2"/>
      <c r="C293" s="28"/>
      <c r="D293" s="28"/>
      <c r="E293" s="28"/>
      <c r="F293" s="28"/>
      <c r="G293" s="2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2:47" ht="15.75" customHeight="1" x14ac:dyDescent="0.2">
      <c r="B294" s="2"/>
      <c r="C294" s="28"/>
      <c r="D294" s="28"/>
      <c r="E294" s="28"/>
      <c r="F294" s="28"/>
      <c r="G294" s="2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2:47" ht="15.75" customHeight="1" x14ac:dyDescent="0.2">
      <c r="B295" s="2"/>
      <c r="C295" s="28"/>
      <c r="D295" s="28"/>
      <c r="E295" s="28"/>
      <c r="F295" s="28"/>
      <c r="G295" s="2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2:47" ht="15.75" customHeight="1" x14ac:dyDescent="0.2">
      <c r="B296" s="2"/>
      <c r="C296" s="28"/>
      <c r="D296" s="28"/>
      <c r="E296" s="28"/>
      <c r="F296" s="28"/>
      <c r="G296" s="2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2:47" ht="15.75" customHeight="1" x14ac:dyDescent="0.2">
      <c r="B297" s="2"/>
      <c r="C297" s="28"/>
      <c r="D297" s="28"/>
      <c r="E297" s="28"/>
      <c r="F297" s="28"/>
      <c r="G297" s="2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2:47" ht="15.75" customHeight="1" x14ac:dyDescent="0.2">
      <c r="B298" s="2"/>
      <c r="C298" s="28"/>
      <c r="D298" s="28"/>
      <c r="E298" s="28"/>
      <c r="F298" s="28"/>
      <c r="G298" s="2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2:47" ht="15.75" customHeight="1" x14ac:dyDescent="0.2">
      <c r="B299" s="2"/>
      <c r="C299" s="28"/>
      <c r="D299" s="28"/>
      <c r="E299" s="28"/>
      <c r="F299" s="28"/>
      <c r="G299" s="2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2:47" ht="15.75" customHeight="1" x14ac:dyDescent="0.2">
      <c r="B300" s="2"/>
      <c r="C300" s="28"/>
      <c r="D300" s="28"/>
      <c r="E300" s="28"/>
      <c r="F300" s="28"/>
      <c r="G300" s="2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2:47" ht="15.75" customHeight="1" x14ac:dyDescent="0.2">
      <c r="B301" s="2"/>
      <c r="C301" s="28"/>
      <c r="D301" s="28"/>
      <c r="E301" s="28"/>
      <c r="F301" s="28"/>
      <c r="G301" s="2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2:47" ht="15.75" customHeight="1" x14ac:dyDescent="0.2">
      <c r="B302" s="2"/>
      <c r="C302" s="28"/>
      <c r="D302" s="28"/>
      <c r="E302" s="28"/>
      <c r="F302" s="28"/>
      <c r="G302" s="2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2:47" ht="15.75" customHeight="1" x14ac:dyDescent="0.2">
      <c r="B303" s="2"/>
      <c r="C303" s="28"/>
      <c r="D303" s="28"/>
      <c r="E303" s="28"/>
      <c r="F303" s="28"/>
      <c r="G303" s="2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2:47" ht="15.75" customHeight="1" x14ac:dyDescent="0.2">
      <c r="B304" s="2"/>
      <c r="C304" s="28"/>
      <c r="D304" s="28"/>
      <c r="E304" s="28"/>
      <c r="F304" s="28"/>
      <c r="G304" s="2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2:47" ht="15.75" customHeight="1" x14ac:dyDescent="0.2">
      <c r="B305" s="2"/>
      <c r="C305" s="28"/>
      <c r="D305" s="28"/>
      <c r="E305" s="28"/>
      <c r="F305" s="28"/>
      <c r="G305" s="2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2:47" ht="15.75" customHeight="1" x14ac:dyDescent="0.2">
      <c r="B306" s="2"/>
      <c r="C306" s="28"/>
      <c r="D306" s="28"/>
      <c r="E306" s="28"/>
      <c r="F306" s="28"/>
      <c r="G306" s="2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2:47" ht="15.75" customHeight="1" x14ac:dyDescent="0.2">
      <c r="B307" s="2"/>
      <c r="C307" s="28"/>
      <c r="D307" s="28"/>
      <c r="E307" s="28"/>
      <c r="F307" s="28"/>
      <c r="G307" s="2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2:47" ht="15.75" customHeight="1" x14ac:dyDescent="0.2">
      <c r="B308" s="2"/>
      <c r="C308" s="28"/>
      <c r="D308" s="28"/>
      <c r="E308" s="28"/>
      <c r="F308" s="28"/>
      <c r="G308" s="2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2:47" ht="15.75" customHeight="1" x14ac:dyDescent="0.2">
      <c r="B309" s="2"/>
      <c r="C309" s="28"/>
      <c r="D309" s="28"/>
      <c r="E309" s="28"/>
      <c r="F309" s="28"/>
      <c r="G309" s="2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2:47" ht="15.75" customHeight="1" x14ac:dyDescent="0.2">
      <c r="B310" s="2"/>
      <c r="C310" s="28"/>
      <c r="D310" s="28"/>
      <c r="E310" s="28"/>
      <c r="F310" s="28"/>
      <c r="G310" s="2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2:47" ht="15.75" customHeight="1" x14ac:dyDescent="0.2">
      <c r="B311" s="2"/>
      <c r="C311" s="28"/>
      <c r="D311" s="28"/>
      <c r="E311" s="28"/>
      <c r="F311" s="28"/>
      <c r="G311" s="2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2:47" ht="15.75" customHeight="1" x14ac:dyDescent="0.2">
      <c r="B312" s="2"/>
      <c r="C312" s="28"/>
      <c r="D312" s="28"/>
      <c r="E312" s="28"/>
      <c r="F312" s="28"/>
      <c r="G312" s="2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2:47" ht="15.75" customHeight="1" x14ac:dyDescent="0.2">
      <c r="B313" s="2"/>
      <c r="C313" s="28"/>
      <c r="D313" s="28"/>
      <c r="E313" s="28"/>
      <c r="F313" s="28"/>
      <c r="G313" s="2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2:47" ht="15.75" customHeight="1" x14ac:dyDescent="0.2">
      <c r="B314" s="2"/>
      <c r="C314" s="28"/>
      <c r="D314" s="28"/>
      <c r="E314" s="28"/>
      <c r="F314" s="28"/>
      <c r="G314" s="2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2:47" ht="15.75" customHeight="1" x14ac:dyDescent="0.2">
      <c r="B315" s="2"/>
      <c r="C315" s="28"/>
      <c r="D315" s="28"/>
      <c r="E315" s="28"/>
      <c r="F315" s="28"/>
      <c r="G315" s="2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2:47" ht="15.75" customHeight="1" x14ac:dyDescent="0.2">
      <c r="B316" s="2"/>
      <c r="C316" s="28"/>
      <c r="D316" s="28"/>
      <c r="E316" s="28"/>
      <c r="F316" s="28"/>
      <c r="G316" s="2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2:47" ht="15.75" customHeight="1" x14ac:dyDescent="0.2">
      <c r="B317" s="2"/>
      <c r="C317" s="28"/>
      <c r="D317" s="28"/>
      <c r="E317" s="28"/>
      <c r="F317" s="28"/>
      <c r="G317" s="2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2:47" ht="15.75" customHeight="1" x14ac:dyDescent="0.2">
      <c r="B318" s="2"/>
      <c r="C318" s="28"/>
      <c r="D318" s="28"/>
      <c r="E318" s="28"/>
      <c r="F318" s="28"/>
      <c r="G318" s="2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2:47" ht="15.75" customHeight="1" x14ac:dyDescent="0.2">
      <c r="B319" s="2"/>
      <c r="C319" s="28"/>
      <c r="D319" s="28"/>
      <c r="E319" s="28"/>
      <c r="F319" s="28"/>
      <c r="G319" s="2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2:47" ht="15.75" customHeight="1" x14ac:dyDescent="0.2">
      <c r="B320" s="2"/>
      <c r="C320" s="28"/>
      <c r="D320" s="28"/>
      <c r="E320" s="28"/>
      <c r="F320" s="28"/>
      <c r="G320" s="2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2:47" ht="15.75" customHeight="1" x14ac:dyDescent="0.2">
      <c r="B321" s="2"/>
      <c r="C321" s="28"/>
      <c r="D321" s="28"/>
      <c r="E321" s="28"/>
      <c r="F321" s="28"/>
      <c r="G321" s="2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2:47" ht="15.75" customHeight="1" x14ac:dyDescent="0.2">
      <c r="B322" s="2"/>
      <c r="C322" s="28"/>
      <c r="D322" s="28"/>
      <c r="E322" s="28"/>
      <c r="F322" s="28"/>
      <c r="G322" s="2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2:47" ht="15.75" customHeight="1" x14ac:dyDescent="0.2">
      <c r="B323" s="2"/>
      <c r="C323" s="28"/>
      <c r="D323" s="28"/>
      <c r="E323" s="28"/>
      <c r="F323" s="28"/>
      <c r="G323" s="2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2:47" ht="15.75" customHeight="1" x14ac:dyDescent="0.2">
      <c r="B324" s="2"/>
      <c r="C324" s="28"/>
      <c r="D324" s="28"/>
      <c r="E324" s="28"/>
      <c r="F324" s="28"/>
      <c r="G324" s="2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2:47" ht="15.75" customHeight="1" x14ac:dyDescent="0.2">
      <c r="B325" s="2"/>
      <c r="C325" s="28"/>
      <c r="D325" s="28"/>
      <c r="E325" s="28"/>
      <c r="F325" s="28"/>
      <c r="G325" s="2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2:47" ht="15.75" customHeight="1" x14ac:dyDescent="0.2">
      <c r="B326" s="2"/>
      <c r="C326" s="28"/>
      <c r="D326" s="28"/>
      <c r="E326" s="28"/>
      <c r="F326" s="28"/>
      <c r="G326" s="2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2:47" ht="15.75" customHeight="1" x14ac:dyDescent="0.2">
      <c r="B327" s="2"/>
      <c r="C327" s="28"/>
      <c r="D327" s="28"/>
      <c r="E327" s="28"/>
      <c r="F327" s="28"/>
      <c r="G327" s="2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2:47" ht="15.75" customHeight="1" x14ac:dyDescent="0.2">
      <c r="B328" s="2"/>
      <c r="C328" s="28"/>
      <c r="D328" s="28"/>
      <c r="E328" s="28"/>
      <c r="F328" s="28"/>
      <c r="G328" s="2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2:47" ht="15.75" customHeight="1" x14ac:dyDescent="0.2">
      <c r="B329" s="2"/>
      <c r="C329" s="28"/>
      <c r="D329" s="28"/>
      <c r="E329" s="28"/>
      <c r="F329" s="28"/>
      <c r="G329" s="2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2:47" ht="15.75" customHeight="1" x14ac:dyDescent="0.2">
      <c r="B330" s="2"/>
      <c r="C330" s="28"/>
      <c r="D330" s="28"/>
      <c r="E330" s="28"/>
      <c r="F330" s="28"/>
      <c r="G330" s="2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2:47" ht="15.75" customHeight="1" x14ac:dyDescent="0.2">
      <c r="B331" s="2"/>
      <c r="C331" s="28"/>
      <c r="D331" s="28"/>
      <c r="E331" s="28"/>
      <c r="F331" s="28"/>
      <c r="G331" s="2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2:47" ht="15.75" customHeight="1" x14ac:dyDescent="0.2">
      <c r="B332" s="2"/>
      <c r="C332" s="28"/>
      <c r="D332" s="28"/>
      <c r="E332" s="28"/>
      <c r="F332" s="28"/>
      <c r="G332" s="2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2:47" ht="15.75" customHeight="1" x14ac:dyDescent="0.2">
      <c r="B333" s="2"/>
      <c r="C333" s="28"/>
      <c r="D333" s="28"/>
      <c r="E333" s="28"/>
      <c r="F333" s="28"/>
      <c r="G333" s="2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2:47" ht="15.75" customHeight="1" x14ac:dyDescent="0.2">
      <c r="B334" s="2"/>
      <c r="C334" s="28"/>
      <c r="D334" s="28"/>
      <c r="E334" s="28"/>
      <c r="F334" s="28"/>
      <c r="G334" s="2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2:47" ht="15.75" customHeight="1" x14ac:dyDescent="0.2">
      <c r="B335" s="2"/>
      <c r="C335" s="28"/>
      <c r="D335" s="28"/>
      <c r="E335" s="28"/>
      <c r="F335" s="28"/>
      <c r="G335" s="2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2:47" ht="15.75" customHeight="1" x14ac:dyDescent="0.2">
      <c r="B336" s="2"/>
      <c r="C336" s="28"/>
      <c r="D336" s="28"/>
      <c r="E336" s="28"/>
      <c r="F336" s="28"/>
      <c r="G336" s="2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2:47" ht="15.75" customHeight="1" x14ac:dyDescent="0.2">
      <c r="B337" s="2"/>
      <c r="C337" s="28"/>
      <c r="D337" s="28"/>
      <c r="E337" s="28"/>
      <c r="F337" s="28"/>
      <c r="G337" s="2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2:47" ht="15.75" customHeight="1" x14ac:dyDescent="0.2">
      <c r="B338" s="2"/>
      <c r="C338" s="28"/>
      <c r="D338" s="28"/>
      <c r="E338" s="28"/>
      <c r="F338" s="28"/>
      <c r="G338" s="2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2:47" ht="15.75" customHeight="1" x14ac:dyDescent="0.2">
      <c r="B339" s="2"/>
      <c r="C339" s="28"/>
      <c r="D339" s="28"/>
      <c r="E339" s="28"/>
      <c r="F339" s="28"/>
      <c r="G339" s="2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2:47" ht="15.75" customHeight="1" x14ac:dyDescent="0.2">
      <c r="B340" s="2"/>
      <c r="C340" s="28"/>
      <c r="D340" s="28"/>
      <c r="E340" s="28"/>
      <c r="F340" s="28"/>
      <c r="G340" s="2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2:47" ht="15.75" customHeight="1" x14ac:dyDescent="0.2">
      <c r="B341" s="2"/>
      <c r="C341" s="28"/>
      <c r="D341" s="28"/>
      <c r="E341" s="28"/>
      <c r="F341" s="28"/>
      <c r="G341" s="2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2:47" ht="15.75" customHeight="1" x14ac:dyDescent="0.2">
      <c r="B342" s="2"/>
      <c r="C342" s="28"/>
      <c r="D342" s="28"/>
      <c r="E342" s="28"/>
      <c r="F342" s="28"/>
      <c r="G342" s="2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2:47" ht="15.75" customHeight="1" x14ac:dyDescent="0.2">
      <c r="B343" s="2"/>
      <c r="C343" s="28"/>
      <c r="D343" s="28"/>
      <c r="E343" s="28"/>
      <c r="F343" s="28"/>
      <c r="G343" s="2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2:47" ht="15.75" customHeight="1" x14ac:dyDescent="0.2">
      <c r="B344" s="2"/>
      <c r="C344" s="28"/>
      <c r="D344" s="28"/>
      <c r="E344" s="28"/>
      <c r="F344" s="28"/>
      <c r="G344" s="2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2:47" ht="15.75" customHeight="1" x14ac:dyDescent="0.2">
      <c r="B345" s="2"/>
      <c r="C345" s="28"/>
      <c r="D345" s="28"/>
      <c r="E345" s="28"/>
      <c r="F345" s="28"/>
      <c r="G345" s="2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2:47" ht="15.75" customHeight="1" x14ac:dyDescent="0.2">
      <c r="B346" s="2"/>
      <c r="C346" s="28"/>
      <c r="D346" s="28"/>
      <c r="E346" s="28"/>
      <c r="F346" s="28"/>
      <c r="G346" s="2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2:47" ht="15.75" customHeight="1" x14ac:dyDescent="0.2">
      <c r="B347" s="2"/>
      <c r="C347" s="28"/>
      <c r="D347" s="28"/>
      <c r="E347" s="28"/>
      <c r="F347" s="28"/>
      <c r="G347" s="2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2:47" ht="15.75" customHeight="1" x14ac:dyDescent="0.2">
      <c r="B348" s="2"/>
      <c r="C348" s="28"/>
      <c r="D348" s="28"/>
      <c r="E348" s="28"/>
      <c r="F348" s="28"/>
      <c r="G348" s="2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2:47" ht="15.75" customHeight="1" x14ac:dyDescent="0.2">
      <c r="B349" s="2"/>
      <c r="C349" s="28"/>
      <c r="D349" s="28"/>
      <c r="E349" s="28"/>
      <c r="F349" s="28"/>
      <c r="G349" s="2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2:47" ht="15.75" customHeight="1" x14ac:dyDescent="0.2">
      <c r="B350" s="2"/>
      <c r="C350" s="28"/>
      <c r="D350" s="28"/>
      <c r="E350" s="28"/>
      <c r="F350" s="28"/>
      <c r="G350" s="2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2:47" ht="15.75" customHeight="1" x14ac:dyDescent="0.2">
      <c r="B351" s="2"/>
      <c r="C351" s="28"/>
      <c r="D351" s="28"/>
      <c r="E351" s="28"/>
      <c r="F351" s="28"/>
      <c r="G351" s="2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2:47" ht="15.75" customHeight="1" x14ac:dyDescent="0.2">
      <c r="B352" s="2"/>
      <c r="C352" s="28"/>
      <c r="D352" s="28"/>
      <c r="E352" s="28"/>
      <c r="F352" s="28"/>
      <c r="G352" s="2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2:47" ht="15.75" customHeight="1" x14ac:dyDescent="0.2">
      <c r="B353" s="2"/>
      <c r="C353" s="28"/>
      <c r="D353" s="28"/>
      <c r="E353" s="28"/>
      <c r="F353" s="28"/>
      <c r="G353" s="2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2:47" ht="15.75" customHeight="1" x14ac:dyDescent="0.2">
      <c r="B354" s="2"/>
      <c r="C354" s="28"/>
      <c r="D354" s="28"/>
      <c r="E354" s="28"/>
      <c r="F354" s="28"/>
      <c r="G354" s="2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2:47" ht="15.75" customHeight="1" x14ac:dyDescent="0.2">
      <c r="B355" s="2"/>
      <c r="C355" s="28"/>
      <c r="D355" s="28"/>
      <c r="E355" s="28"/>
      <c r="F355" s="28"/>
      <c r="G355" s="2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2:47" ht="15.75" customHeight="1" x14ac:dyDescent="0.2">
      <c r="B356" s="2"/>
      <c r="C356" s="28"/>
      <c r="D356" s="28"/>
      <c r="E356" s="28"/>
      <c r="F356" s="28"/>
      <c r="G356" s="2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2:47" ht="15.75" customHeight="1" x14ac:dyDescent="0.2">
      <c r="B357" s="2"/>
      <c r="C357" s="28"/>
      <c r="D357" s="28"/>
      <c r="E357" s="28"/>
      <c r="F357" s="28"/>
      <c r="G357" s="2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2:47" ht="15.75" customHeight="1" x14ac:dyDescent="0.2">
      <c r="B358" s="2"/>
      <c r="C358" s="28"/>
      <c r="D358" s="28"/>
      <c r="E358" s="28"/>
      <c r="F358" s="28"/>
      <c r="G358" s="2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2:47" ht="15.75" customHeight="1" x14ac:dyDescent="0.2">
      <c r="B359" s="2"/>
      <c r="C359" s="28"/>
      <c r="D359" s="28"/>
      <c r="E359" s="28"/>
      <c r="F359" s="28"/>
      <c r="G359" s="2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2:47" ht="15.75" customHeight="1" x14ac:dyDescent="0.2">
      <c r="B360" s="2"/>
      <c r="C360" s="28"/>
      <c r="D360" s="28"/>
      <c r="E360" s="28"/>
      <c r="F360" s="28"/>
      <c r="G360" s="2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2:47" ht="15.75" customHeight="1" x14ac:dyDescent="0.2">
      <c r="B361" s="2"/>
      <c r="C361" s="28"/>
      <c r="D361" s="28"/>
      <c r="E361" s="28"/>
      <c r="F361" s="28"/>
      <c r="G361" s="2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2:47" ht="15.75" customHeight="1" x14ac:dyDescent="0.2">
      <c r="B362" s="2"/>
      <c r="C362" s="28"/>
      <c r="D362" s="28"/>
      <c r="E362" s="28"/>
      <c r="F362" s="28"/>
      <c r="G362" s="2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2:47" ht="15.75" customHeight="1" x14ac:dyDescent="0.2">
      <c r="B363" s="2"/>
      <c r="C363" s="28"/>
      <c r="D363" s="28"/>
      <c r="E363" s="28"/>
      <c r="F363" s="28"/>
      <c r="G363" s="2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2:47" ht="15.75" customHeight="1" x14ac:dyDescent="0.2">
      <c r="B364" s="2"/>
      <c r="C364" s="28"/>
      <c r="D364" s="28"/>
      <c r="E364" s="28"/>
      <c r="F364" s="28"/>
      <c r="G364" s="2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2:47" ht="15.75" customHeight="1" x14ac:dyDescent="0.2">
      <c r="B365" s="2"/>
      <c r="C365" s="28"/>
      <c r="D365" s="28"/>
      <c r="E365" s="28"/>
      <c r="F365" s="28"/>
      <c r="G365" s="2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2:47" ht="15.75" customHeight="1" x14ac:dyDescent="0.2">
      <c r="B366" s="2"/>
      <c r="C366" s="28"/>
      <c r="D366" s="28"/>
      <c r="E366" s="28"/>
      <c r="F366" s="28"/>
      <c r="G366" s="2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2:47" ht="15.75" customHeight="1" x14ac:dyDescent="0.2">
      <c r="B367" s="2"/>
      <c r="C367" s="28"/>
      <c r="D367" s="28"/>
      <c r="E367" s="28"/>
      <c r="F367" s="28"/>
      <c r="G367" s="2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2:47" ht="15.75" customHeight="1" x14ac:dyDescent="0.2">
      <c r="B368" s="2"/>
      <c r="C368" s="28"/>
      <c r="D368" s="28"/>
      <c r="E368" s="28"/>
      <c r="F368" s="28"/>
      <c r="G368" s="2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2:47" ht="15.75" customHeight="1" x14ac:dyDescent="0.2">
      <c r="B369" s="2"/>
      <c r="C369" s="28"/>
      <c r="D369" s="28"/>
      <c r="E369" s="28"/>
      <c r="F369" s="28"/>
      <c r="G369" s="2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2:47" ht="15.75" customHeight="1" x14ac:dyDescent="0.2">
      <c r="B370" s="2"/>
      <c r="C370" s="28"/>
      <c r="D370" s="28"/>
      <c r="E370" s="28"/>
      <c r="F370" s="28"/>
      <c r="G370" s="2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2:47" ht="15.75" customHeight="1" x14ac:dyDescent="0.2">
      <c r="B371" s="2"/>
      <c r="C371" s="28"/>
      <c r="D371" s="28"/>
      <c r="E371" s="28"/>
      <c r="F371" s="28"/>
      <c r="G371" s="2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2:47" ht="15.75" customHeight="1" x14ac:dyDescent="0.2">
      <c r="B372" s="2"/>
      <c r="C372" s="28"/>
      <c r="D372" s="28"/>
      <c r="E372" s="28"/>
      <c r="F372" s="28"/>
      <c r="G372" s="2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2:47" ht="15.75" customHeight="1" x14ac:dyDescent="0.2">
      <c r="B373" s="2"/>
      <c r="C373" s="28"/>
      <c r="D373" s="28"/>
      <c r="E373" s="28"/>
      <c r="F373" s="28"/>
      <c r="G373" s="2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2:47" ht="15.75" customHeight="1" x14ac:dyDescent="0.2">
      <c r="B374" s="2"/>
      <c r="C374" s="28"/>
      <c r="D374" s="28"/>
      <c r="E374" s="28"/>
      <c r="F374" s="28"/>
      <c r="G374" s="2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2:47" ht="15.75" customHeight="1" x14ac:dyDescent="0.2">
      <c r="B375" s="2"/>
      <c r="C375" s="28"/>
      <c r="D375" s="28"/>
      <c r="E375" s="28"/>
      <c r="F375" s="28"/>
      <c r="G375" s="2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2:47" ht="15.75" customHeight="1" x14ac:dyDescent="0.2">
      <c r="B376" s="2"/>
      <c r="C376" s="28"/>
      <c r="D376" s="28"/>
      <c r="E376" s="28"/>
      <c r="F376" s="28"/>
      <c r="G376" s="2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2:47" ht="15.75" customHeight="1" x14ac:dyDescent="0.2">
      <c r="B377" s="2"/>
      <c r="C377" s="28"/>
      <c r="D377" s="28"/>
      <c r="E377" s="28"/>
      <c r="F377" s="28"/>
      <c r="G377" s="2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2:47" ht="15.75" customHeight="1" x14ac:dyDescent="0.2">
      <c r="B378" s="2"/>
      <c r="C378" s="28"/>
      <c r="D378" s="28"/>
      <c r="E378" s="28"/>
      <c r="F378" s="28"/>
      <c r="G378" s="2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2:47" ht="15.75" customHeight="1" x14ac:dyDescent="0.2">
      <c r="B379" s="2"/>
      <c r="C379" s="28"/>
      <c r="D379" s="28"/>
      <c r="E379" s="28"/>
      <c r="F379" s="28"/>
      <c r="G379" s="2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2:47" ht="15.75" customHeight="1" x14ac:dyDescent="0.2">
      <c r="B380" s="2"/>
      <c r="C380" s="28"/>
      <c r="D380" s="28"/>
      <c r="E380" s="28"/>
      <c r="F380" s="28"/>
      <c r="G380" s="2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2:47" ht="15.75" customHeight="1" x14ac:dyDescent="0.2">
      <c r="B381" s="2"/>
      <c r="C381" s="28"/>
      <c r="D381" s="28"/>
      <c r="E381" s="28"/>
      <c r="F381" s="28"/>
      <c r="G381" s="2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2:47" ht="15.75" customHeight="1" x14ac:dyDescent="0.2">
      <c r="B382" s="2"/>
      <c r="C382" s="28"/>
      <c r="D382" s="28"/>
      <c r="E382" s="28"/>
      <c r="F382" s="28"/>
      <c r="G382" s="2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2:47" ht="15.75" customHeight="1" x14ac:dyDescent="0.2">
      <c r="B383" s="2"/>
      <c r="C383" s="28"/>
      <c r="D383" s="28"/>
      <c r="E383" s="28"/>
      <c r="F383" s="28"/>
      <c r="G383" s="2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2:47" ht="15.75" customHeight="1" x14ac:dyDescent="0.2">
      <c r="B384" s="2"/>
      <c r="C384" s="28"/>
      <c r="D384" s="28"/>
      <c r="E384" s="28"/>
      <c r="F384" s="28"/>
      <c r="G384" s="2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2:47" ht="15.75" customHeight="1" x14ac:dyDescent="0.2">
      <c r="B385" s="2"/>
      <c r="C385" s="28"/>
      <c r="D385" s="28"/>
      <c r="E385" s="28"/>
      <c r="F385" s="28"/>
      <c r="G385" s="2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2:47" ht="15.75" customHeight="1" x14ac:dyDescent="0.2">
      <c r="B386" s="2"/>
      <c r="C386" s="28"/>
      <c r="D386" s="28"/>
      <c r="E386" s="28"/>
      <c r="F386" s="28"/>
      <c r="G386" s="2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2:47" ht="15.75" customHeight="1" x14ac:dyDescent="0.2">
      <c r="B387" s="2"/>
      <c r="C387" s="28"/>
      <c r="D387" s="28"/>
      <c r="E387" s="28"/>
      <c r="F387" s="28"/>
      <c r="G387" s="2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2:47" ht="15.75" customHeight="1" x14ac:dyDescent="0.2">
      <c r="B388" s="2"/>
      <c r="C388" s="28"/>
      <c r="D388" s="28"/>
      <c r="E388" s="28"/>
      <c r="F388" s="28"/>
      <c r="G388" s="2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2:47" ht="15.75" customHeight="1" x14ac:dyDescent="0.2">
      <c r="B389" s="2"/>
      <c r="C389" s="28"/>
      <c r="D389" s="28"/>
      <c r="E389" s="28"/>
      <c r="F389" s="28"/>
      <c r="G389" s="2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2:47" ht="15.75" customHeight="1" x14ac:dyDescent="0.2">
      <c r="B390" s="2"/>
      <c r="C390" s="28"/>
      <c r="D390" s="28"/>
      <c r="E390" s="28"/>
      <c r="F390" s="28"/>
      <c r="G390" s="2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2:47" ht="15.75" customHeight="1" x14ac:dyDescent="0.2">
      <c r="B391" s="2"/>
      <c r="C391" s="28"/>
      <c r="D391" s="28"/>
      <c r="E391" s="28"/>
      <c r="F391" s="28"/>
      <c r="G391" s="2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2:47" ht="15.75" customHeight="1" x14ac:dyDescent="0.2">
      <c r="B392" s="2"/>
      <c r="C392" s="28"/>
      <c r="D392" s="28"/>
      <c r="E392" s="28"/>
      <c r="F392" s="28"/>
      <c r="G392" s="2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2:47" ht="15.75" customHeight="1" x14ac:dyDescent="0.2">
      <c r="B393" s="2"/>
      <c r="C393" s="28"/>
      <c r="D393" s="28"/>
      <c r="E393" s="28"/>
      <c r="F393" s="28"/>
      <c r="G393" s="2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2:47" ht="15.75" customHeight="1" x14ac:dyDescent="0.2">
      <c r="B394" s="2"/>
      <c r="C394" s="28"/>
      <c r="D394" s="28"/>
      <c r="E394" s="28"/>
      <c r="F394" s="28"/>
      <c r="G394" s="2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2:47" ht="15.75" customHeight="1" x14ac:dyDescent="0.2">
      <c r="B395" s="2"/>
      <c r="C395" s="28"/>
      <c r="D395" s="28"/>
      <c r="E395" s="28"/>
      <c r="F395" s="28"/>
      <c r="G395" s="2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2:47" ht="15.75" customHeight="1" x14ac:dyDescent="0.2">
      <c r="B396" s="2"/>
      <c r="C396" s="28"/>
      <c r="D396" s="28"/>
      <c r="E396" s="28"/>
      <c r="F396" s="28"/>
      <c r="G396" s="2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2:47" ht="15.75" customHeight="1" x14ac:dyDescent="0.2">
      <c r="B397" s="2"/>
      <c r="C397" s="28"/>
      <c r="D397" s="28"/>
      <c r="E397" s="28"/>
      <c r="F397" s="28"/>
      <c r="G397" s="2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2:47" ht="15.75" customHeight="1" x14ac:dyDescent="0.2">
      <c r="B398" s="2"/>
      <c r="C398" s="28"/>
      <c r="D398" s="28"/>
      <c r="E398" s="28"/>
      <c r="F398" s="28"/>
      <c r="G398" s="2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2:47" ht="15.75" customHeight="1" x14ac:dyDescent="0.2">
      <c r="B399" s="2"/>
      <c r="C399" s="28"/>
      <c r="D399" s="28"/>
      <c r="E399" s="28"/>
      <c r="F399" s="28"/>
      <c r="G399" s="2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2:47" ht="15.75" customHeight="1" x14ac:dyDescent="0.2">
      <c r="B400" s="2"/>
      <c r="C400" s="28"/>
      <c r="D400" s="28"/>
      <c r="E400" s="28"/>
      <c r="F400" s="28"/>
      <c r="G400" s="2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2:47" ht="15.75" customHeight="1" x14ac:dyDescent="0.2">
      <c r="B401" s="2"/>
      <c r="C401" s="28"/>
      <c r="D401" s="28"/>
      <c r="E401" s="28"/>
      <c r="F401" s="28"/>
      <c r="G401" s="2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2:47" ht="15.75" customHeight="1" x14ac:dyDescent="0.2">
      <c r="B402" s="2"/>
      <c r="C402" s="28"/>
      <c r="D402" s="28"/>
      <c r="E402" s="28"/>
      <c r="F402" s="28"/>
      <c r="G402" s="2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2:47" ht="15.75" customHeight="1" x14ac:dyDescent="0.2">
      <c r="B403" s="2"/>
      <c r="C403" s="28"/>
      <c r="D403" s="28"/>
      <c r="E403" s="28"/>
      <c r="F403" s="28"/>
      <c r="G403" s="2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2:47" ht="15.75" customHeight="1" x14ac:dyDescent="0.2">
      <c r="B404" s="2"/>
      <c r="C404" s="28"/>
      <c r="D404" s="28"/>
      <c r="E404" s="28"/>
      <c r="F404" s="28"/>
      <c r="G404" s="2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2:47" ht="15.75" customHeight="1" x14ac:dyDescent="0.2">
      <c r="B405" s="2"/>
      <c r="C405" s="28"/>
      <c r="D405" s="28"/>
      <c r="E405" s="28"/>
      <c r="F405" s="28"/>
      <c r="G405" s="2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2:47" ht="15.75" customHeight="1" x14ac:dyDescent="0.2">
      <c r="B406" s="2"/>
      <c r="C406" s="28"/>
      <c r="D406" s="28"/>
      <c r="E406" s="28"/>
      <c r="F406" s="28"/>
      <c r="G406" s="2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2:47" ht="15.75" customHeight="1" x14ac:dyDescent="0.2">
      <c r="B407" s="2"/>
      <c r="C407" s="28"/>
      <c r="D407" s="28"/>
      <c r="E407" s="28"/>
      <c r="F407" s="28"/>
      <c r="G407" s="2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2:47" ht="15.75" customHeight="1" x14ac:dyDescent="0.2">
      <c r="B408" s="2"/>
      <c r="C408" s="28"/>
      <c r="D408" s="28"/>
      <c r="E408" s="28"/>
      <c r="F408" s="28"/>
      <c r="G408" s="2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2:47" ht="15.75" customHeight="1" x14ac:dyDescent="0.2">
      <c r="B409" s="2"/>
      <c r="C409" s="28"/>
      <c r="D409" s="28"/>
      <c r="E409" s="28"/>
      <c r="F409" s="28"/>
      <c r="G409" s="2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2:47" ht="15.75" customHeight="1" x14ac:dyDescent="0.2">
      <c r="B410" s="2"/>
      <c r="C410" s="28"/>
      <c r="D410" s="28"/>
      <c r="E410" s="28"/>
      <c r="F410" s="28"/>
      <c r="G410" s="2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2:47" ht="15.75" customHeight="1" x14ac:dyDescent="0.2">
      <c r="B411" s="2"/>
      <c r="C411" s="28"/>
      <c r="D411" s="28"/>
      <c r="E411" s="28"/>
      <c r="F411" s="28"/>
      <c r="G411" s="2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2:47" ht="15.75" customHeight="1" x14ac:dyDescent="0.2">
      <c r="B412" s="2"/>
      <c r="C412" s="28"/>
      <c r="D412" s="28"/>
      <c r="E412" s="28"/>
      <c r="F412" s="28"/>
      <c r="G412" s="2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2:47" ht="15.75" customHeight="1" x14ac:dyDescent="0.2">
      <c r="B413" s="2"/>
      <c r="C413" s="28"/>
      <c r="D413" s="28"/>
      <c r="E413" s="28"/>
      <c r="F413" s="28"/>
      <c r="G413" s="2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2:47" ht="15.75" customHeight="1" x14ac:dyDescent="0.2">
      <c r="B414" s="2"/>
      <c r="C414" s="28"/>
      <c r="D414" s="28"/>
      <c r="E414" s="28"/>
      <c r="F414" s="28"/>
      <c r="G414" s="2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2:47" ht="15.75" customHeight="1" x14ac:dyDescent="0.2">
      <c r="B415" s="2"/>
      <c r="C415" s="28"/>
      <c r="D415" s="28"/>
      <c r="E415" s="28"/>
      <c r="F415" s="28"/>
      <c r="G415" s="2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2:47" ht="15.75" customHeight="1" x14ac:dyDescent="0.2">
      <c r="B416" s="2"/>
      <c r="C416" s="28"/>
      <c r="D416" s="28"/>
      <c r="E416" s="28"/>
      <c r="F416" s="28"/>
      <c r="G416" s="2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2:47" ht="15.75" customHeight="1" x14ac:dyDescent="0.2">
      <c r="B417" s="2"/>
      <c r="C417" s="28"/>
      <c r="D417" s="28"/>
      <c r="E417" s="28"/>
      <c r="F417" s="28"/>
      <c r="G417" s="2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2:47" ht="15.75" customHeight="1" x14ac:dyDescent="0.2">
      <c r="B418" s="2"/>
      <c r="C418" s="28"/>
      <c r="D418" s="28"/>
      <c r="E418" s="28"/>
      <c r="F418" s="28"/>
      <c r="G418" s="2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2:47" ht="15.75" customHeight="1" x14ac:dyDescent="0.2">
      <c r="B419" s="2"/>
      <c r="C419" s="28"/>
      <c r="D419" s="28"/>
      <c r="E419" s="28"/>
      <c r="F419" s="28"/>
      <c r="G419" s="2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2:47" ht="15.75" customHeight="1" x14ac:dyDescent="0.2">
      <c r="B420" s="2"/>
      <c r="C420" s="28"/>
      <c r="D420" s="28"/>
      <c r="E420" s="28"/>
      <c r="F420" s="28"/>
      <c r="G420" s="2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2:47" ht="15.75" customHeight="1" x14ac:dyDescent="0.2">
      <c r="B421" s="2"/>
      <c r="C421" s="28"/>
      <c r="D421" s="28"/>
      <c r="E421" s="28"/>
      <c r="F421" s="28"/>
      <c r="G421" s="2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2:47" ht="15.75" customHeight="1" x14ac:dyDescent="0.2">
      <c r="B422" s="2"/>
      <c r="C422" s="28"/>
      <c r="D422" s="28"/>
      <c r="E422" s="28"/>
      <c r="F422" s="28"/>
      <c r="G422" s="2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2:47" ht="15.75" customHeight="1" x14ac:dyDescent="0.2">
      <c r="B423" s="2"/>
      <c r="C423" s="28"/>
      <c r="D423" s="28"/>
      <c r="E423" s="28"/>
      <c r="F423" s="28"/>
      <c r="G423" s="2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2:47" ht="15.75" customHeight="1" x14ac:dyDescent="0.2">
      <c r="B424" s="2"/>
      <c r="C424" s="28"/>
      <c r="D424" s="28"/>
      <c r="E424" s="28"/>
      <c r="F424" s="28"/>
      <c r="G424" s="2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2:47" ht="15.75" customHeight="1" x14ac:dyDescent="0.2">
      <c r="B425" s="2"/>
      <c r="C425" s="28"/>
      <c r="D425" s="28"/>
      <c r="E425" s="28"/>
      <c r="F425" s="28"/>
      <c r="G425" s="2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2:47" ht="15.75" customHeight="1" x14ac:dyDescent="0.2">
      <c r="B426" s="2"/>
      <c r="C426" s="28"/>
      <c r="D426" s="28"/>
      <c r="E426" s="28"/>
      <c r="F426" s="28"/>
      <c r="G426" s="2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2:47" ht="15.75" customHeight="1" x14ac:dyDescent="0.2">
      <c r="B427" s="2"/>
      <c r="C427" s="28"/>
      <c r="D427" s="28"/>
      <c r="E427" s="28"/>
      <c r="F427" s="28"/>
      <c r="G427" s="2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2:47" ht="15.75" customHeight="1" x14ac:dyDescent="0.2">
      <c r="B428" s="2"/>
      <c r="C428" s="28"/>
      <c r="D428" s="28"/>
      <c r="E428" s="28"/>
      <c r="F428" s="28"/>
      <c r="G428" s="2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2:47" ht="15.75" customHeight="1" x14ac:dyDescent="0.2">
      <c r="B429" s="2"/>
      <c r="C429" s="28"/>
      <c r="D429" s="28"/>
      <c r="E429" s="28"/>
      <c r="F429" s="28"/>
      <c r="G429" s="2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2:47" ht="15.75" customHeight="1" x14ac:dyDescent="0.2">
      <c r="B430" s="2"/>
      <c r="C430" s="28"/>
      <c r="D430" s="28"/>
      <c r="E430" s="28"/>
      <c r="F430" s="28"/>
      <c r="G430" s="2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2:47" ht="15.75" customHeight="1" x14ac:dyDescent="0.2">
      <c r="B431" s="2"/>
      <c r="C431" s="28"/>
      <c r="D431" s="28"/>
      <c r="E431" s="28"/>
      <c r="F431" s="28"/>
      <c r="G431" s="2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2:47" ht="15.75" customHeight="1" x14ac:dyDescent="0.2">
      <c r="B432" s="2"/>
      <c r="C432" s="28"/>
      <c r="D432" s="28"/>
      <c r="E432" s="28"/>
      <c r="F432" s="28"/>
      <c r="G432" s="2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2:47" ht="15.75" customHeight="1" x14ac:dyDescent="0.2">
      <c r="B433" s="2"/>
      <c r="C433" s="28"/>
      <c r="D433" s="28"/>
      <c r="E433" s="28"/>
      <c r="F433" s="28"/>
      <c r="G433" s="2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2:47" ht="15.75" customHeight="1" x14ac:dyDescent="0.2">
      <c r="B434" s="2"/>
      <c r="C434" s="28"/>
      <c r="D434" s="28"/>
      <c r="E434" s="28"/>
      <c r="F434" s="28"/>
      <c r="G434" s="2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2:47" ht="15.75" customHeight="1" x14ac:dyDescent="0.2">
      <c r="B435" s="2"/>
      <c r="C435" s="28"/>
      <c r="D435" s="28"/>
      <c r="E435" s="28"/>
      <c r="F435" s="28"/>
      <c r="G435" s="2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2:47" ht="15.75" customHeight="1" x14ac:dyDescent="0.2">
      <c r="B436" s="2"/>
      <c r="C436" s="28"/>
      <c r="D436" s="28"/>
      <c r="E436" s="28"/>
      <c r="F436" s="28"/>
      <c r="G436" s="2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2:47" ht="15.75" customHeight="1" x14ac:dyDescent="0.2">
      <c r="B437" s="2"/>
      <c r="C437" s="28"/>
      <c r="D437" s="28"/>
      <c r="E437" s="28"/>
      <c r="F437" s="28"/>
      <c r="G437" s="2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2:47" ht="15.75" customHeight="1" x14ac:dyDescent="0.2">
      <c r="B438" s="2"/>
      <c r="C438" s="28"/>
      <c r="D438" s="28"/>
      <c r="E438" s="28"/>
      <c r="F438" s="28"/>
      <c r="G438" s="2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2:47" ht="15.75" customHeight="1" x14ac:dyDescent="0.2">
      <c r="B439" s="2"/>
      <c r="C439" s="28"/>
      <c r="D439" s="28"/>
      <c r="E439" s="28"/>
      <c r="F439" s="28"/>
      <c r="G439" s="2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2:47" ht="15.75" customHeight="1" x14ac:dyDescent="0.2">
      <c r="B440" s="2"/>
      <c r="C440" s="28"/>
      <c r="D440" s="28"/>
      <c r="E440" s="28"/>
      <c r="F440" s="28"/>
      <c r="G440" s="2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2:47" ht="15.75" customHeight="1" x14ac:dyDescent="0.2">
      <c r="B441" s="2"/>
      <c r="C441" s="28"/>
      <c r="D441" s="28"/>
      <c r="E441" s="28"/>
      <c r="F441" s="28"/>
      <c r="G441" s="2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2:47" ht="15.75" customHeight="1" x14ac:dyDescent="0.2">
      <c r="B442" s="2"/>
      <c r="C442" s="28"/>
      <c r="D442" s="28"/>
      <c r="E442" s="28"/>
      <c r="F442" s="28"/>
      <c r="G442" s="2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2:47" ht="15.75" customHeight="1" x14ac:dyDescent="0.2">
      <c r="B443" s="2"/>
      <c r="C443" s="28"/>
      <c r="D443" s="28"/>
      <c r="E443" s="28"/>
      <c r="F443" s="28"/>
      <c r="G443" s="2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2:47" ht="15.75" customHeight="1" x14ac:dyDescent="0.2">
      <c r="B444" s="2"/>
      <c r="C444" s="28"/>
      <c r="D444" s="28"/>
      <c r="E444" s="28"/>
      <c r="F444" s="28"/>
      <c r="G444" s="2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2:47" ht="15.75" customHeight="1" x14ac:dyDescent="0.2">
      <c r="B445" s="2"/>
      <c r="C445" s="28"/>
      <c r="D445" s="28"/>
      <c r="E445" s="28"/>
      <c r="F445" s="28"/>
      <c r="G445" s="2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2:47" ht="15.75" customHeight="1" x14ac:dyDescent="0.2">
      <c r="B446" s="2"/>
      <c r="C446" s="28"/>
      <c r="D446" s="28"/>
      <c r="E446" s="28"/>
      <c r="F446" s="28"/>
      <c r="G446" s="2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2:47" ht="15.75" customHeight="1" x14ac:dyDescent="0.2">
      <c r="B447" s="2"/>
      <c r="C447" s="28"/>
      <c r="D447" s="28"/>
      <c r="E447" s="28"/>
      <c r="F447" s="28"/>
      <c r="G447" s="2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2:47" ht="15.75" customHeight="1" x14ac:dyDescent="0.2">
      <c r="B448" s="2"/>
      <c r="C448" s="28"/>
      <c r="D448" s="28"/>
      <c r="E448" s="28"/>
      <c r="F448" s="28"/>
      <c r="G448" s="2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2:47" ht="15.75" customHeight="1" x14ac:dyDescent="0.2">
      <c r="B449" s="2"/>
      <c r="C449" s="28"/>
      <c r="D449" s="28"/>
      <c r="E449" s="28"/>
      <c r="F449" s="28"/>
      <c r="G449" s="2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2:47" ht="15.75" customHeight="1" x14ac:dyDescent="0.2">
      <c r="B450" s="2"/>
      <c r="C450" s="28"/>
      <c r="D450" s="28"/>
      <c r="E450" s="28"/>
      <c r="F450" s="28"/>
      <c r="G450" s="2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2:47" ht="15.75" customHeight="1" x14ac:dyDescent="0.2">
      <c r="B451" s="2"/>
      <c r="C451" s="28"/>
      <c r="D451" s="28"/>
      <c r="E451" s="28"/>
      <c r="F451" s="28"/>
      <c r="G451" s="2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2:47" ht="15.75" customHeight="1" x14ac:dyDescent="0.2">
      <c r="B452" s="2"/>
      <c r="C452" s="28"/>
      <c r="D452" s="28"/>
      <c r="E452" s="28"/>
      <c r="F452" s="28"/>
      <c r="G452" s="2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2:47" ht="15.75" customHeight="1" x14ac:dyDescent="0.2">
      <c r="B453" s="2"/>
      <c r="C453" s="28"/>
      <c r="D453" s="28"/>
      <c r="E453" s="28"/>
      <c r="F453" s="28"/>
      <c r="G453" s="2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2:47" ht="15.75" customHeight="1" x14ac:dyDescent="0.2">
      <c r="B454" s="2"/>
      <c r="C454" s="28"/>
      <c r="D454" s="28"/>
      <c r="E454" s="28"/>
      <c r="F454" s="28"/>
      <c r="G454" s="2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2:47" ht="15.75" customHeight="1" x14ac:dyDescent="0.2">
      <c r="B455" s="2"/>
      <c r="C455" s="28"/>
      <c r="D455" s="28"/>
      <c r="E455" s="28"/>
      <c r="F455" s="28"/>
      <c r="G455" s="2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2:47" ht="15.75" customHeight="1" x14ac:dyDescent="0.2">
      <c r="B456" s="2"/>
      <c r="C456" s="28"/>
      <c r="D456" s="28"/>
      <c r="E456" s="28"/>
      <c r="F456" s="28"/>
      <c r="G456" s="2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2:47" ht="15.75" customHeight="1" x14ac:dyDescent="0.2">
      <c r="B457" s="2"/>
      <c r="C457" s="28"/>
      <c r="D457" s="28"/>
      <c r="E457" s="28"/>
      <c r="F457" s="28"/>
      <c r="G457" s="2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2:47" ht="15.75" customHeight="1" x14ac:dyDescent="0.2">
      <c r="B458" s="2"/>
      <c r="C458" s="28"/>
      <c r="D458" s="28"/>
      <c r="E458" s="28"/>
      <c r="F458" s="28"/>
      <c r="G458" s="2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2:47" ht="15.75" customHeight="1" x14ac:dyDescent="0.2">
      <c r="B459" s="2"/>
      <c r="C459" s="28"/>
      <c r="D459" s="28"/>
      <c r="E459" s="28"/>
      <c r="F459" s="28"/>
      <c r="G459" s="2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2:47" ht="15.75" customHeight="1" x14ac:dyDescent="0.2">
      <c r="B460" s="2"/>
      <c r="C460" s="28"/>
      <c r="D460" s="28"/>
      <c r="E460" s="28"/>
      <c r="F460" s="28"/>
      <c r="G460" s="2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2:47" ht="15.75" customHeight="1" x14ac:dyDescent="0.2">
      <c r="B461" s="2"/>
      <c r="C461" s="28"/>
      <c r="D461" s="28"/>
      <c r="E461" s="28"/>
      <c r="F461" s="28"/>
      <c r="G461" s="2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2:47" ht="15.75" customHeight="1" x14ac:dyDescent="0.2">
      <c r="B462" s="2"/>
      <c r="C462" s="28"/>
      <c r="D462" s="28"/>
      <c r="E462" s="28"/>
      <c r="F462" s="28"/>
      <c r="G462" s="2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2:47" ht="15.75" customHeight="1" x14ac:dyDescent="0.2">
      <c r="B463" s="2"/>
      <c r="C463" s="28"/>
      <c r="D463" s="28"/>
      <c r="E463" s="28"/>
      <c r="F463" s="28"/>
      <c r="G463" s="2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2:47" ht="15.75" customHeight="1" x14ac:dyDescent="0.2">
      <c r="B464" s="2"/>
      <c r="C464" s="28"/>
      <c r="D464" s="28"/>
      <c r="E464" s="28"/>
      <c r="F464" s="28"/>
      <c r="G464" s="2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2:47" ht="15.75" customHeight="1" x14ac:dyDescent="0.2">
      <c r="B465" s="2"/>
      <c r="C465" s="28"/>
      <c r="D465" s="28"/>
      <c r="E465" s="28"/>
      <c r="F465" s="28"/>
      <c r="G465" s="2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2:47" ht="15.75" customHeight="1" x14ac:dyDescent="0.2">
      <c r="B466" s="2"/>
      <c r="C466" s="28"/>
      <c r="D466" s="28"/>
      <c r="E466" s="28"/>
      <c r="F466" s="28"/>
      <c r="G466" s="2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2:47" ht="15.75" customHeight="1" x14ac:dyDescent="0.2">
      <c r="B467" s="2"/>
      <c r="C467" s="28"/>
      <c r="D467" s="28"/>
      <c r="E467" s="28"/>
      <c r="F467" s="28"/>
      <c r="G467" s="2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2:47" ht="15.75" customHeight="1" x14ac:dyDescent="0.2">
      <c r="B468" s="2"/>
      <c r="C468" s="28"/>
      <c r="D468" s="28"/>
      <c r="E468" s="28"/>
      <c r="F468" s="28"/>
      <c r="G468" s="2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2:47" ht="15.75" customHeight="1" x14ac:dyDescent="0.2">
      <c r="B469" s="2"/>
      <c r="C469" s="28"/>
      <c r="D469" s="28"/>
      <c r="E469" s="28"/>
      <c r="F469" s="28"/>
      <c r="G469" s="2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2:47" ht="15.75" customHeight="1" x14ac:dyDescent="0.2">
      <c r="B470" s="2"/>
      <c r="C470" s="28"/>
      <c r="D470" s="28"/>
      <c r="E470" s="28"/>
      <c r="F470" s="28"/>
      <c r="G470" s="2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2:47" ht="15.75" customHeight="1" x14ac:dyDescent="0.2">
      <c r="B471" s="2"/>
      <c r="C471" s="28"/>
      <c r="D471" s="28"/>
      <c r="E471" s="28"/>
      <c r="F471" s="28"/>
      <c r="G471" s="2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2:47" ht="15.75" customHeight="1" x14ac:dyDescent="0.2">
      <c r="B472" s="2"/>
      <c r="C472" s="28"/>
      <c r="D472" s="28"/>
      <c r="E472" s="28"/>
      <c r="F472" s="28"/>
      <c r="G472" s="2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2:47" ht="15.75" customHeight="1" x14ac:dyDescent="0.2">
      <c r="B473" s="2"/>
      <c r="C473" s="28"/>
      <c r="D473" s="28"/>
      <c r="E473" s="28"/>
      <c r="F473" s="28"/>
      <c r="G473" s="2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2:47" ht="15.75" customHeight="1" x14ac:dyDescent="0.2">
      <c r="B474" s="2"/>
      <c r="C474" s="28"/>
      <c r="D474" s="28"/>
      <c r="E474" s="28"/>
      <c r="F474" s="28"/>
      <c r="G474" s="2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2:47" ht="15.75" customHeight="1" x14ac:dyDescent="0.2">
      <c r="B475" s="2"/>
      <c r="C475" s="28"/>
      <c r="D475" s="28"/>
      <c r="E475" s="28"/>
      <c r="F475" s="28"/>
      <c r="G475" s="2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2:47" ht="15.75" customHeight="1" x14ac:dyDescent="0.2">
      <c r="B476" s="2"/>
      <c r="C476" s="28"/>
      <c r="D476" s="28"/>
      <c r="E476" s="28"/>
      <c r="F476" s="28"/>
      <c r="G476" s="2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2:47" ht="15.75" customHeight="1" x14ac:dyDescent="0.2">
      <c r="B477" s="2"/>
      <c r="C477" s="28"/>
      <c r="D477" s="28"/>
      <c r="E477" s="28"/>
      <c r="F477" s="28"/>
      <c r="G477" s="2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2:47" ht="15.75" customHeight="1" x14ac:dyDescent="0.2">
      <c r="B478" s="2"/>
      <c r="C478" s="28"/>
      <c r="D478" s="28"/>
      <c r="E478" s="28"/>
      <c r="F478" s="28"/>
      <c r="G478" s="2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2:47" ht="15.75" customHeight="1" x14ac:dyDescent="0.2">
      <c r="B479" s="2"/>
      <c r="C479" s="28"/>
      <c r="D479" s="28"/>
      <c r="E479" s="28"/>
      <c r="F479" s="28"/>
      <c r="G479" s="2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2:47" ht="15.75" customHeight="1" x14ac:dyDescent="0.2">
      <c r="B480" s="2"/>
      <c r="C480" s="28"/>
      <c r="D480" s="28"/>
      <c r="E480" s="28"/>
      <c r="F480" s="28"/>
      <c r="G480" s="2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2:47" ht="15.75" customHeight="1" x14ac:dyDescent="0.2">
      <c r="B481" s="2"/>
      <c r="C481" s="28"/>
      <c r="D481" s="28"/>
      <c r="E481" s="28"/>
      <c r="F481" s="28"/>
      <c r="G481" s="2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2:47" ht="15.75" customHeight="1" x14ac:dyDescent="0.2">
      <c r="B482" s="2"/>
      <c r="C482" s="28"/>
      <c r="D482" s="28"/>
      <c r="E482" s="28"/>
      <c r="F482" s="28"/>
      <c r="G482" s="2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2:47" ht="15.75" customHeight="1" x14ac:dyDescent="0.2">
      <c r="B483" s="2"/>
      <c r="C483" s="28"/>
      <c r="D483" s="28"/>
      <c r="E483" s="28"/>
      <c r="F483" s="28"/>
      <c r="G483" s="2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2:47" ht="15.75" customHeight="1" x14ac:dyDescent="0.2">
      <c r="B484" s="2"/>
      <c r="C484" s="28"/>
      <c r="D484" s="28"/>
      <c r="E484" s="28"/>
      <c r="F484" s="28"/>
      <c r="G484" s="2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2:47" ht="15.75" customHeight="1" x14ac:dyDescent="0.2">
      <c r="B485" s="2"/>
      <c r="C485" s="28"/>
      <c r="D485" s="28"/>
      <c r="E485" s="28"/>
      <c r="F485" s="28"/>
      <c r="G485" s="2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2:47" ht="15.75" customHeight="1" x14ac:dyDescent="0.2">
      <c r="B486" s="2"/>
      <c r="C486" s="28"/>
      <c r="D486" s="28"/>
      <c r="E486" s="28"/>
      <c r="F486" s="28"/>
      <c r="G486" s="2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2:47" ht="15.75" customHeight="1" x14ac:dyDescent="0.2">
      <c r="B487" s="2"/>
      <c r="C487" s="28"/>
      <c r="D487" s="28"/>
      <c r="E487" s="28"/>
      <c r="F487" s="28"/>
      <c r="G487" s="2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2:47" ht="15.75" customHeight="1" x14ac:dyDescent="0.2">
      <c r="B488" s="2"/>
      <c r="C488" s="28"/>
      <c r="D488" s="28"/>
      <c r="E488" s="28"/>
      <c r="F488" s="28"/>
      <c r="G488" s="2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2:47" ht="15.75" customHeight="1" x14ac:dyDescent="0.2">
      <c r="B489" s="2"/>
      <c r="C489" s="28"/>
      <c r="D489" s="28"/>
      <c r="E489" s="28"/>
      <c r="F489" s="28"/>
      <c r="G489" s="2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2:47" ht="15.75" customHeight="1" x14ac:dyDescent="0.2">
      <c r="B490" s="2"/>
      <c r="C490" s="28"/>
      <c r="D490" s="28"/>
      <c r="E490" s="28"/>
      <c r="F490" s="28"/>
      <c r="G490" s="2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2:47" ht="15.75" customHeight="1" x14ac:dyDescent="0.2">
      <c r="B491" s="2"/>
      <c r="C491" s="28"/>
      <c r="D491" s="28"/>
      <c r="E491" s="28"/>
      <c r="F491" s="28"/>
      <c r="G491" s="2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2:47" ht="15.75" customHeight="1" x14ac:dyDescent="0.2">
      <c r="B492" s="2"/>
      <c r="C492" s="28"/>
      <c r="D492" s="28"/>
      <c r="E492" s="28"/>
      <c r="F492" s="28"/>
      <c r="G492" s="2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2:47" ht="15.75" customHeight="1" x14ac:dyDescent="0.2">
      <c r="B493" s="2"/>
      <c r="C493" s="28"/>
      <c r="D493" s="28"/>
      <c r="E493" s="28"/>
      <c r="F493" s="28"/>
      <c r="G493" s="2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2:47" ht="15.75" customHeight="1" x14ac:dyDescent="0.2">
      <c r="B494" s="2"/>
      <c r="C494" s="28"/>
      <c r="D494" s="28"/>
      <c r="E494" s="28"/>
      <c r="F494" s="28"/>
      <c r="G494" s="2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2:47" ht="15.75" customHeight="1" x14ac:dyDescent="0.2">
      <c r="B495" s="2"/>
      <c r="C495" s="28"/>
      <c r="D495" s="28"/>
      <c r="E495" s="28"/>
      <c r="F495" s="28"/>
      <c r="G495" s="2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2:47" ht="15.75" customHeight="1" x14ac:dyDescent="0.2">
      <c r="B496" s="2"/>
      <c r="C496" s="28"/>
      <c r="D496" s="28"/>
      <c r="E496" s="28"/>
      <c r="F496" s="28"/>
      <c r="G496" s="2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2:47" ht="15.75" customHeight="1" x14ac:dyDescent="0.2">
      <c r="B497" s="2"/>
      <c r="C497" s="28"/>
      <c r="D497" s="28"/>
      <c r="E497" s="28"/>
      <c r="F497" s="28"/>
      <c r="G497" s="2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2:47" ht="15.75" customHeight="1" x14ac:dyDescent="0.2">
      <c r="B498" s="2"/>
      <c r="C498" s="28"/>
      <c r="D498" s="28"/>
      <c r="E498" s="28"/>
      <c r="F498" s="28"/>
      <c r="G498" s="2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2:47" ht="15.75" customHeight="1" x14ac:dyDescent="0.2">
      <c r="B499" s="2"/>
      <c r="C499" s="28"/>
      <c r="D499" s="28"/>
      <c r="E499" s="28"/>
      <c r="F499" s="28"/>
      <c r="G499" s="2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2:47" ht="15.75" customHeight="1" x14ac:dyDescent="0.2">
      <c r="B500" s="2"/>
      <c r="C500" s="28"/>
      <c r="D500" s="28"/>
      <c r="E500" s="28"/>
      <c r="F500" s="28"/>
      <c r="G500" s="2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2:47" ht="15.75" customHeight="1" x14ac:dyDescent="0.2">
      <c r="B501" s="2"/>
      <c r="C501" s="28"/>
      <c r="D501" s="28"/>
      <c r="E501" s="28"/>
      <c r="F501" s="28"/>
      <c r="G501" s="2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2:47" ht="15.75" customHeight="1" x14ac:dyDescent="0.2">
      <c r="B502" s="2"/>
      <c r="C502" s="28"/>
      <c r="D502" s="28"/>
      <c r="E502" s="28"/>
      <c r="F502" s="28"/>
      <c r="G502" s="2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2:47" ht="15.75" customHeight="1" x14ac:dyDescent="0.2">
      <c r="B503" s="2"/>
      <c r="C503" s="28"/>
      <c r="D503" s="28"/>
      <c r="E503" s="28"/>
      <c r="F503" s="28"/>
      <c r="G503" s="2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2:47" ht="15.75" customHeight="1" x14ac:dyDescent="0.2">
      <c r="B504" s="2"/>
      <c r="C504" s="28"/>
      <c r="D504" s="28"/>
      <c r="E504" s="28"/>
      <c r="F504" s="28"/>
      <c r="G504" s="2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2:47" ht="15.75" customHeight="1" x14ac:dyDescent="0.2">
      <c r="B505" s="2"/>
      <c r="C505" s="28"/>
      <c r="D505" s="28"/>
      <c r="E505" s="28"/>
      <c r="F505" s="28"/>
      <c r="G505" s="2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2:47" ht="15.75" customHeight="1" x14ac:dyDescent="0.2">
      <c r="B506" s="2"/>
      <c r="C506" s="28"/>
      <c r="D506" s="28"/>
      <c r="E506" s="28"/>
      <c r="F506" s="28"/>
      <c r="G506" s="2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2:47" ht="15.75" customHeight="1" x14ac:dyDescent="0.2">
      <c r="B507" s="2"/>
      <c r="C507" s="28"/>
      <c r="D507" s="28"/>
      <c r="E507" s="28"/>
      <c r="F507" s="28"/>
      <c r="G507" s="2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2:47" ht="15.75" customHeight="1" x14ac:dyDescent="0.2">
      <c r="B508" s="2"/>
      <c r="C508" s="28"/>
      <c r="D508" s="28"/>
      <c r="E508" s="28"/>
      <c r="F508" s="28"/>
      <c r="G508" s="2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2:47" ht="15.75" customHeight="1" x14ac:dyDescent="0.2">
      <c r="B509" s="2"/>
      <c r="C509" s="28"/>
      <c r="D509" s="28"/>
      <c r="E509" s="28"/>
      <c r="F509" s="28"/>
      <c r="G509" s="2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2:47" ht="15.75" customHeight="1" x14ac:dyDescent="0.2">
      <c r="B510" s="2"/>
      <c r="C510" s="28"/>
      <c r="D510" s="28"/>
      <c r="E510" s="28"/>
      <c r="F510" s="28"/>
      <c r="G510" s="2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2:47" ht="15.75" customHeight="1" x14ac:dyDescent="0.2">
      <c r="B511" s="2"/>
      <c r="C511" s="28"/>
      <c r="D511" s="28"/>
      <c r="E511" s="28"/>
      <c r="F511" s="28"/>
      <c r="G511" s="2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2:47" ht="15.75" customHeight="1" x14ac:dyDescent="0.2">
      <c r="B512" s="2"/>
      <c r="C512" s="28"/>
      <c r="D512" s="28"/>
      <c r="E512" s="28"/>
      <c r="F512" s="28"/>
      <c r="G512" s="2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2:47" ht="15.75" customHeight="1" x14ac:dyDescent="0.2">
      <c r="B513" s="2"/>
      <c r="C513" s="28"/>
      <c r="D513" s="28"/>
      <c r="E513" s="28"/>
      <c r="F513" s="28"/>
      <c r="G513" s="2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2:47" ht="15.75" customHeight="1" x14ac:dyDescent="0.2">
      <c r="B514" s="2"/>
      <c r="C514" s="28"/>
      <c r="D514" s="28"/>
      <c r="E514" s="28"/>
      <c r="F514" s="28"/>
      <c r="G514" s="2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2:47" ht="15.75" customHeight="1" x14ac:dyDescent="0.2">
      <c r="B515" s="2"/>
      <c r="C515" s="28"/>
      <c r="D515" s="28"/>
      <c r="E515" s="28"/>
      <c r="F515" s="28"/>
      <c r="G515" s="2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2:47" ht="15.75" customHeight="1" x14ac:dyDescent="0.2">
      <c r="B516" s="2"/>
      <c r="C516" s="28"/>
      <c r="D516" s="28"/>
      <c r="E516" s="28"/>
      <c r="F516" s="28"/>
      <c r="G516" s="2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2:47" ht="15.75" customHeight="1" x14ac:dyDescent="0.2">
      <c r="B517" s="2"/>
      <c r="C517" s="28"/>
      <c r="D517" s="28"/>
      <c r="E517" s="28"/>
      <c r="F517" s="28"/>
      <c r="G517" s="2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2:47" ht="15.75" customHeight="1" x14ac:dyDescent="0.2">
      <c r="B518" s="2"/>
      <c r="C518" s="28"/>
      <c r="D518" s="28"/>
      <c r="E518" s="28"/>
      <c r="F518" s="28"/>
      <c r="G518" s="2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2:47" ht="15.75" customHeight="1" x14ac:dyDescent="0.2">
      <c r="B519" s="2"/>
      <c r="C519" s="28"/>
      <c r="D519" s="28"/>
      <c r="E519" s="28"/>
      <c r="F519" s="28"/>
      <c r="G519" s="2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2:47" ht="15.75" customHeight="1" x14ac:dyDescent="0.2">
      <c r="B520" s="2"/>
      <c r="C520" s="28"/>
      <c r="D520" s="28"/>
      <c r="E520" s="28"/>
      <c r="F520" s="28"/>
      <c r="G520" s="2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2:47" ht="15.75" customHeight="1" x14ac:dyDescent="0.2">
      <c r="B521" s="2"/>
      <c r="C521" s="28"/>
      <c r="D521" s="28"/>
      <c r="E521" s="28"/>
      <c r="F521" s="28"/>
      <c r="G521" s="2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2:47" ht="15.75" customHeight="1" x14ac:dyDescent="0.2">
      <c r="B522" s="2"/>
      <c r="C522" s="28"/>
      <c r="D522" s="28"/>
      <c r="E522" s="28"/>
      <c r="F522" s="28"/>
      <c r="G522" s="2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2:47" ht="15.75" customHeight="1" x14ac:dyDescent="0.2">
      <c r="B523" s="2"/>
      <c r="C523" s="28"/>
      <c r="D523" s="28"/>
      <c r="E523" s="28"/>
      <c r="F523" s="28"/>
      <c r="G523" s="2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2:47" ht="15.75" customHeight="1" x14ac:dyDescent="0.2">
      <c r="B524" s="2"/>
      <c r="C524" s="28"/>
      <c r="D524" s="28"/>
      <c r="E524" s="28"/>
      <c r="F524" s="28"/>
      <c r="G524" s="2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2:47" ht="15.75" customHeight="1" x14ac:dyDescent="0.2">
      <c r="B525" s="2"/>
      <c r="C525" s="28"/>
      <c r="D525" s="28"/>
      <c r="E525" s="28"/>
      <c r="F525" s="28"/>
      <c r="G525" s="2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2:47" ht="15.75" customHeight="1" x14ac:dyDescent="0.2">
      <c r="B526" s="2"/>
      <c r="C526" s="28"/>
      <c r="D526" s="28"/>
      <c r="E526" s="28"/>
      <c r="F526" s="28"/>
      <c r="G526" s="2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2:47" ht="15.75" customHeight="1" x14ac:dyDescent="0.2">
      <c r="B527" s="2"/>
      <c r="C527" s="28"/>
      <c r="D527" s="28"/>
      <c r="E527" s="28"/>
      <c r="F527" s="28"/>
      <c r="G527" s="2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2:47" ht="15.75" customHeight="1" x14ac:dyDescent="0.2">
      <c r="B528" s="2"/>
      <c r="C528" s="28"/>
      <c r="D528" s="28"/>
      <c r="E528" s="28"/>
      <c r="F528" s="28"/>
      <c r="G528" s="2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2:47" ht="15.75" customHeight="1" x14ac:dyDescent="0.2">
      <c r="B529" s="2"/>
      <c r="C529" s="28"/>
      <c r="D529" s="28"/>
      <c r="E529" s="28"/>
      <c r="F529" s="28"/>
      <c r="G529" s="2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2:47" ht="15.75" customHeight="1" x14ac:dyDescent="0.2">
      <c r="B530" s="2"/>
      <c r="C530" s="28"/>
      <c r="D530" s="28"/>
      <c r="E530" s="28"/>
      <c r="F530" s="28"/>
      <c r="G530" s="2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2:47" ht="15.75" customHeight="1" x14ac:dyDescent="0.2">
      <c r="B531" s="2"/>
      <c r="C531" s="28"/>
      <c r="D531" s="28"/>
      <c r="E531" s="28"/>
      <c r="F531" s="28"/>
      <c r="G531" s="2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2:47" ht="15.75" customHeight="1" x14ac:dyDescent="0.2">
      <c r="B532" s="2"/>
      <c r="C532" s="28"/>
      <c r="D532" s="28"/>
      <c r="E532" s="28"/>
      <c r="F532" s="28"/>
      <c r="G532" s="2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2:47" ht="15.75" customHeight="1" x14ac:dyDescent="0.2">
      <c r="B533" s="2"/>
      <c r="C533" s="28"/>
      <c r="D533" s="28"/>
      <c r="E533" s="28"/>
      <c r="F533" s="28"/>
      <c r="G533" s="2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2:47" ht="15.75" customHeight="1" x14ac:dyDescent="0.2">
      <c r="B534" s="2"/>
      <c r="C534" s="28"/>
      <c r="D534" s="28"/>
      <c r="E534" s="28"/>
      <c r="F534" s="28"/>
      <c r="G534" s="2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2:47" ht="15.75" customHeight="1" x14ac:dyDescent="0.2">
      <c r="B535" s="2"/>
      <c r="C535" s="28"/>
      <c r="D535" s="28"/>
      <c r="E535" s="28"/>
      <c r="F535" s="28"/>
      <c r="G535" s="2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2:47" ht="15.75" customHeight="1" x14ac:dyDescent="0.2">
      <c r="B536" s="2"/>
      <c r="C536" s="28"/>
      <c r="D536" s="28"/>
      <c r="E536" s="28"/>
      <c r="F536" s="28"/>
      <c r="G536" s="2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2:47" ht="15.75" customHeight="1" x14ac:dyDescent="0.2">
      <c r="B537" s="2"/>
      <c r="C537" s="28"/>
      <c r="D537" s="28"/>
      <c r="E537" s="28"/>
      <c r="F537" s="28"/>
      <c r="G537" s="2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2:47" ht="15.75" customHeight="1" x14ac:dyDescent="0.2">
      <c r="B538" s="2"/>
      <c r="C538" s="28"/>
      <c r="D538" s="28"/>
      <c r="E538" s="28"/>
      <c r="F538" s="28"/>
      <c r="G538" s="2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2:47" ht="15.75" customHeight="1" x14ac:dyDescent="0.2">
      <c r="B539" s="2"/>
      <c r="C539" s="28"/>
      <c r="D539" s="28"/>
      <c r="E539" s="28"/>
      <c r="F539" s="28"/>
      <c r="G539" s="2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2:47" ht="15.75" customHeight="1" x14ac:dyDescent="0.2">
      <c r="B540" s="2"/>
      <c r="C540" s="28"/>
      <c r="D540" s="28"/>
      <c r="E540" s="28"/>
      <c r="F540" s="28"/>
      <c r="G540" s="2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2:47" ht="15.75" customHeight="1" x14ac:dyDescent="0.2">
      <c r="B541" s="2"/>
      <c r="C541" s="28"/>
      <c r="D541" s="28"/>
      <c r="E541" s="28"/>
      <c r="F541" s="28"/>
      <c r="G541" s="2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2:47" ht="15.75" customHeight="1" x14ac:dyDescent="0.2">
      <c r="B542" s="2"/>
      <c r="C542" s="28"/>
      <c r="D542" s="28"/>
      <c r="E542" s="28"/>
      <c r="F542" s="28"/>
      <c r="G542" s="2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2:47" ht="15.75" customHeight="1" x14ac:dyDescent="0.2">
      <c r="B543" s="2"/>
      <c r="C543" s="28"/>
      <c r="D543" s="28"/>
      <c r="E543" s="28"/>
      <c r="F543" s="28"/>
      <c r="G543" s="2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2:47" ht="15.75" customHeight="1" x14ac:dyDescent="0.2">
      <c r="B544" s="2"/>
      <c r="C544" s="28"/>
      <c r="D544" s="28"/>
      <c r="E544" s="28"/>
      <c r="F544" s="28"/>
      <c r="G544" s="2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2:47" ht="15.75" customHeight="1" x14ac:dyDescent="0.2">
      <c r="B545" s="2"/>
      <c r="C545" s="28"/>
      <c r="D545" s="28"/>
      <c r="E545" s="28"/>
      <c r="F545" s="28"/>
      <c r="G545" s="2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2:47" ht="15.75" customHeight="1" x14ac:dyDescent="0.2">
      <c r="B546" s="2"/>
      <c r="C546" s="28"/>
      <c r="D546" s="28"/>
      <c r="E546" s="28"/>
      <c r="F546" s="28"/>
      <c r="G546" s="2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2:47" ht="15.75" customHeight="1" x14ac:dyDescent="0.2">
      <c r="B547" s="2"/>
      <c r="C547" s="28"/>
      <c r="D547" s="28"/>
      <c r="E547" s="28"/>
      <c r="F547" s="28"/>
      <c r="G547" s="2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2:47" ht="15.75" customHeight="1" x14ac:dyDescent="0.2">
      <c r="B548" s="2"/>
      <c r="C548" s="28"/>
      <c r="D548" s="28"/>
      <c r="E548" s="28"/>
      <c r="F548" s="28"/>
      <c r="G548" s="2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2:47" ht="15.75" customHeight="1" x14ac:dyDescent="0.2">
      <c r="B549" s="2"/>
      <c r="C549" s="28"/>
      <c r="D549" s="28"/>
      <c r="E549" s="28"/>
      <c r="F549" s="28"/>
      <c r="G549" s="2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2:47" ht="15.75" customHeight="1" x14ac:dyDescent="0.2">
      <c r="B550" s="2"/>
      <c r="C550" s="28"/>
      <c r="D550" s="28"/>
      <c r="E550" s="28"/>
      <c r="F550" s="28"/>
      <c r="G550" s="2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2:47" ht="15.75" customHeight="1" x14ac:dyDescent="0.2">
      <c r="B551" s="2"/>
      <c r="C551" s="28"/>
      <c r="D551" s="28"/>
      <c r="E551" s="28"/>
      <c r="F551" s="28"/>
      <c r="G551" s="2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2:47" ht="15.75" customHeight="1" x14ac:dyDescent="0.2">
      <c r="B552" s="2"/>
      <c r="C552" s="28"/>
      <c r="D552" s="28"/>
      <c r="E552" s="28"/>
      <c r="F552" s="28"/>
      <c r="G552" s="2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2:47" ht="15.75" customHeight="1" x14ac:dyDescent="0.2">
      <c r="B553" s="2"/>
      <c r="C553" s="28"/>
      <c r="D553" s="28"/>
      <c r="E553" s="28"/>
      <c r="F553" s="28"/>
      <c r="G553" s="2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2:47" ht="15.75" customHeight="1" x14ac:dyDescent="0.2">
      <c r="B554" s="2"/>
      <c r="C554" s="28"/>
      <c r="D554" s="28"/>
      <c r="E554" s="28"/>
      <c r="F554" s="28"/>
      <c r="G554" s="2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2:47" ht="15.75" customHeight="1" x14ac:dyDescent="0.2">
      <c r="B555" s="2"/>
      <c r="C555" s="28"/>
      <c r="D555" s="28"/>
      <c r="E555" s="28"/>
      <c r="F555" s="28"/>
      <c r="G555" s="2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2:47" ht="15.75" customHeight="1" x14ac:dyDescent="0.2">
      <c r="B556" s="2"/>
      <c r="C556" s="28"/>
      <c r="D556" s="28"/>
      <c r="E556" s="28"/>
      <c r="F556" s="28"/>
      <c r="G556" s="2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2:47" ht="15.75" customHeight="1" x14ac:dyDescent="0.2">
      <c r="B557" s="2"/>
      <c r="C557" s="28"/>
      <c r="D557" s="28"/>
      <c r="E557" s="28"/>
      <c r="F557" s="28"/>
      <c r="G557" s="2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2:47" ht="15.75" customHeight="1" x14ac:dyDescent="0.2">
      <c r="B558" s="2"/>
      <c r="C558" s="28"/>
      <c r="D558" s="28"/>
      <c r="E558" s="28"/>
      <c r="F558" s="28"/>
      <c r="G558" s="2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2:47" ht="15.75" customHeight="1" x14ac:dyDescent="0.2">
      <c r="B559" s="2"/>
      <c r="C559" s="28"/>
      <c r="D559" s="28"/>
      <c r="E559" s="28"/>
      <c r="F559" s="28"/>
      <c r="G559" s="2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2:47" ht="15.75" customHeight="1" x14ac:dyDescent="0.2">
      <c r="B560" s="2"/>
      <c r="C560" s="28"/>
      <c r="D560" s="28"/>
      <c r="E560" s="28"/>
      <c r="F560" s="28"/>
      <c r="G560" s="2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2:47" ht="15.75" customHeight="1" x14ac:dyDescent="0.2">
      <c r="B561" s="2"/>
      <c r="C561" s="28"/>
      <c r="D561" s="28"/>
      <c r="E561" s="28"/>
      <c r="F561" s="28"/>
      <c r="G561" s="2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2:47" ht="15.75" customHeight="1" x14ac:dyDescent="0.2">
      <c r="B562" s="2"/>
      <c r="C562" s="28"/>
      <c r="D562" s="28"/>
      <c r="E562" s="28"/>
      <c r="F562" s="28"/>
      <c r="G562" s="2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2:47" ht="15.75" customHeight="1" x14ac:dyDescent="0.2">
      <c r="B563" s="2"/>
      <c r="C563" s="28"/>
      <c r="D563" s="28"/>
      <c r="E563" s="28"/>
      <c r="F563" s="28"/>
      <c r="G563" s="2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2:47" ht="15.75" customHeight="1" x14ac:dyDescent="0.2">
      <c r="B564" s="2"/>
      <c r="C564" s="28"/>
      <c r="D564" s="28"/>
      <c r="E564" s="28"/>
      <c r="F564" s="28"/>
      <c r="G564" s="2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2:47" ht="15.75" customHeight="1" x14ac:dyDescent="0.2">
      <c r="B565" s="2"/>
      <c r="C565" s="28"/>
      <c r="D565" s="28"/>
      <c r="E565" s="28"/>
      <c r="F565" s="28"/>
      <c r="G565" s="2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2:47" ht="15.75" customHeight="1" x14ac:dyDescent="0.2">
      <c r="B566" s="2"/>
      <c r="C566" s="28"/>
      <c r="D566" s="28"/>
      <c r="E566" s="28"/>
      <c r="F566" s="28"/>
      <c r="G566" s="2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2:47" ht="15.75" customHeight="1" x14ac:dyDescent="0.2">
      <c r="B567" s="2"/>
      <c r="C567" s="28"/>
      <c r="D567" s="28"/>
      <c r="E567" s="28"/>
      <c r="F567" s="28"/>
      <c r="G567" s="2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2:47" ht="15.75" customHeight="1" x14ac:dyDescent="0.2">
      <c r="B568" s="2"/>
      <c r="C568" s="28"/>
      <c r="D568" s="28"/>
      <c r="E568" s="28"/>
      <c r="F568" s="28"/>
      <c r="G568" s="2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2:47" ht="15.75" customHeight="1" x14ac:dyDescent="0.2">
      <c r="B569" s="2"/>
      <c r="C569" s="28"/>
      <c r="D569" s="28"/>
      <c r="E569" s="28"/>
      <c r="F569" s="28"/>
      <c r="G569" s="2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2:47" ht="15.75" customHeight="1" x14ac:dyDescent="0.2">
      <c r="B570" s="2"/>
      <c r="C570" s="28"/>
      <c r="D570" s="28"/>
      <c r="E570" s="28"/>
      <c r="F570" s="28"/>
      <c r="G570" s="2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2:47" ht="15.75" customHeight="1" x14ac:dyDescent="0.2">
      <c r="B571" s="2"/>
      <c r="C571" s="28"/>
      <c r="D571" s="28"/>
      <c r="E571" s="28"/>
      <c r="F571" s="28"/>
      <c r="G571" s="2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2:47" ht="15.75" customHeight="1" x14ac:dyDescent="0.2">
      <c r="B572" s="2"/>
      <c r="C572" s="28"/>
      <c r="D572" s="28"/>
      <c r="E572" s="28"/>
      <c r="F572" s="28"/>
      <c r="G572" s="2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2:47" ht="15.75" customHeight="1" x14ac:dyDescent="0.2">
      <c r="B573" s="2"/>
      <c r="C573" s="28"/>
      <c r="D573" s="28"/>
      <c r="E573" s="28"/>
      <c r="F573" s="28"/>
      <c r="G573" s="2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2:47" ht="15.75" customHeight="1" x14ac:dyDescent="0.2">
      <c r="B574" s="2"/>
      <c r="C574" s="28"/>
      <c r="D574" s="28"/>
      <c r="E574" s="28"/>
      <c r="F574" s="28"/>
      <c r="G574" s="2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2:47" ht="15.75" customHeight="1" x14ac:dyDescent="0.2">
      <c r="B575" s="2"/>
      <c r="C575" s="28"/>
      <c r="D575" s="28"/>
      <c r="E575" s="28"/>
      <c r="F575" s="28"/>
      <c r="G575" s="2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2:47" ht="15.75" customHeight="1" x14ac:dyDescent="0.2">
      <c r="B576" s="2"/>
      <c r="C576" s="28"/>
      <c r="D576" s="28"/>
      <c r="E576" s="28"/>
      <c r="F576" s="28"/>
      <c r="G576" s="2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2:47" ht="15.75" customHeight="1" x14ac:dyDescent="0.2">
      <c r="B577" s="2"/>
      <c r="C577" s="28"/>
      <c r="D577" s="28"/>
      <c r="E577" s="28"/>
      <c r="F577" s="28"/>
      <c r="G577" s="2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2:47" ht="15.75" customHeight="1" x14ac:dyDescent="0.2">
      <c r="B578" s="2"/>
      <c r="C578" s="28"/>
      <c r="D578" s="28"/>
      <c r="E578" s="28"/>
      <c r="F578" s="28"/>
      <c r="G578" s="2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2:47" ht="15.75" customHeight="1" x14ac:dyDescent="0.2">
      <c r="B579" s="2"/>
      <c r="C579" s="28"/>
      <c r="D579" s="28"/>
      <c r="E579" s="28"/>
      <c r="F579" s="28"/>
      <c r="G579" s="2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2:47" ht="15.75" customHeight="1" x14ac:dyDescent="0.2">
      <c r="B580" s="2"/>
      <c r="C580" s="28"/>
      <c r="D580" s="28"/>
      <c r="E580" s="28"/>
      <c r="F580" s="28"/>
      <c r="G580" s="2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2:47" ht="15.75" customHeight="1" x14ac:dyDescent="0.2">
      <c r="B581" s="2"/>
      <c r="C581" s="28"/>
      <c r="D581" s="28"/>
      <c r="E581" s="28"/>
      <c r="F581" s="28"/>
      <c r="G581" s="2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2:47" ht="15.75" customHeight="1" x14ac:dyDescent="0.2">
      <c r="B582" s="2"/>
      <c r="C582" s="28"/>
      <c r="D582" s="28"/>
      <c r="E582" s="28"/>
      <c r="F582" s="28"/>
      <c r="G582" s="2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2:47" ht="15.75" customHeight="1" x14ac:dyDescent="0.2">
      <c r="B583" s="2"/>
      <c r="C583" s="28"/>
      <c r="D583" s="28"/>
      <c r="E583" s="28"/>
      <c r="F583" s="28"/>
      <c r="G583" s="2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2:47" ht="15.75" customHeight="1" x14ac:dyDescent="0.2">
      <c r="B584" s="2"/>
      <c r="C584" s="28"/>
      <c r="D584" s="28"/>
      <c r="E584" s="28"/>
      <c r="F584" s="28"/>
      <c r="G584" s="2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2:47" ht="15.75" customHeight="1" x14ac:dyDescent="0.2">
      <c r="B585" s="2"/>
      <c r="C585" s="28"/>
      <c r="D585" s="28"/>
      <c r="E585" s="28"/>
      <c r="F585" s="28"/>
      <c r="G585" s="2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2:47" ht="15.75" customHeight="1" x14ac:dyDescent="0.2">
      <c r="B586" s="2"/>
      <c r="C586" s="28"/>
      <c r="D586" s="28"/>
      <c r="E586" s="28"/>
      <c r="F586" s="28"/>
      <c r="G586" s="2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2:47" ht="15.75" customHeight="1" x14ac:dyDescent="0.2">
      <c r="B587" s="2"/>
      <c r="C587" s="28"/>
      <c r="D587" s="28"/>
      <c r="E587" s="28"/>
      <c r="F587" s="28"/>
      <c r="G587" s="2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2:47" ht="15.75" customHeight="1" x14ac:dyDescent="0.2">
      <c r="B588" s="2"/>
      <c r="C588" s="28"/>
      <c r="D588" s="28"/>
      <c r="E588" s="28"/>
      <c r="F588" s="28"/>
      <c r="G588" s="2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2:47" ht="15.75" customHeight="1" x14ac:dyDescent="0.2">
      <c r="B589" s="2"/>
      <c r="C589" s="28"/>
      <c r="D589" s="28"/>
      <c r="E589" s="28"/>
      <c r="F589" s="28"/>
      <c r="G589" s="2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2:47" ht="15.75" customHeight="1" x14ac:dyDescent="0.2">
      <c r="B590" s="2"/>
      <c r="C590" s="28"/>
      <c r="D590" s="28"/>
      <c r="E590" s="28"/>
      <c r="F590" s="28"/>
      <c r="G590" s="2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2:47" ht="15.75" customHeight="1" x14ac:dyDescent="0.2">
      <c r="B591" s="2"/>
      <c r="C591" s="28"/>
      <c r="D591" s="28"/>
      <c r="E591" s="28"/>
      <c r="F591" s="28"/>
      <c r="G591" s="2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2:47" ht="15.75" customHeight="1" x14ac:dyDescent="0.2">
      <c r="B592" s="2"/>
      <c r="C592" s="28"/>
      <c r="D592" s="28"/>
      <c r="E592" s="28"/>
      <c r="F592" s="28"/>
      <c r="G592" s="2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2:47" ht="15.75" customHeight="1" x14ac:dyDescent="0.2">
      <c r="B593" s="2"/>
      <c r="C593" s="28"/>
      <c r="D593" s="28"/>
      <c r="E593" s="28"/>
      <c r="F593" s="28"/>
      <c r="G593" s="2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2:47" ht="15.75" customHeight="1" x14ac:dyDescent="0.2">
      <c r="B594" s="2"/>
      <c r="C594" s="28"/>
      <c r="D594" s="28"/>
      <c r="E594" s="28"/>
      <c r="F594" s="28"/>
      <c r="G594" s="2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2:47" ht="15.75" customHeight="1" x14ac:dyDescent="0.2">
      <c r="B595" s="2"/>
      <c r="C595" s="28"/>
      <c r="D595" s="28"/>
      <c r="E595" s="28"/>
      <c r="F595" s="28"/>
      <c r="G595" s="2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2:47" ht="15.75" customHeight="1" x14ac:dyDescent="0.2">
      <c r="B596" s="2"/>
      <c r="C596" s="28"/>
      <c r="D596" s="28"/>
      <c r="E596" s="28"/>
      <c r="F596" s="28"/>
      <c r="G596" s="2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2:47" ht="15.75" customHeight="1" x14ac:dyDescent="0.2">
      <c r="B597" s="2"/>
      <c r="C597" s="28"/>
      <c r="D597" s="28"/>
      <c r="E597" s="28"/>
      <c r="F597" s="28"/>
      <c r="G597" s="2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2:47" ht="15.75" customHeight="1" x14ac:dyDescent="0.2">
      <c r="B598" s="2"/>
      <c r="C598" s="28"/>
      <c r="D598" s="28"/>
      <c r="E598" s="28"/>
      <c r="F598" s="28"/>
      <c r="G598" s="2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2:47" ht="15.75" customHeight="1" x14ac:dyDescent="0.2">
      <c r="B599" s="2"/>
      <c r="C599" s="28"/>
      <c r="D599" s="28"/>
      <c r="E599" s="28"/>
      <c r="F599" s="28"/>
      <c r="G599" s="2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2:47" ht="15.75" customHeight="1" x14ac:dyDescent="0.2">
      <c r="B600" s="2"/>
      <c r="C600" s="28"/>
      <c r="D600" s="28"/>
      <c r="E600" s="28"/>
      <c r="F600" s="28"/>
      <c r="G600" s="2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2:47" ht="15.75" customHeight="1" x14ac:dyDescent="0.2">
      <c r="B601" s="2"/>
      <c r="C601" s="28"/>
      <c r="D601" s="28"/>
      <c r="E601" s="28"/>
      <c r="F601" s="28"/>
      <c r="G601" s="2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2:47" ht="15.75" customHeight="1" x14ac:dyDescent="0.2">
      <c r="B602" s="2"/>
      <c r="C602" s="28"/>
      <c r="D602" s="28"/>
      <c r="E602" s="28"/>
      <c r="F602" s="28"/>
      <c r="G602" s="2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2:47" ht="15.75" customHeight="1" x14ac:dyDescent="0.2">
      <c r="B603" s="2"/>
      <c r="C603" s="28"/>
      <c r="D603" s="28"/>
      <c r="E603" s="28"/>
      <c r="F603" s="28"/>
      <c r="G603" s="2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2:47" ht="15.75" customHeight="1" x14ac:dyDescent="0.2">
      <c r="B604" s="2"/>
      <c r="C604" s="28"/>
      <c r="D604" s="28"/>
      <c r="E604" s="28"/>
      <c r="F604" s="28"/>
      <c r="G604" s="2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2:47" ht="15.75" customHeight="1" x14ac:dyDescent="0.2">
      <c r="B605" s="2"/>
      <c r="C605" s="28"/>
      <c r="D605" s="28"/>
      <c r="E605" s="28"/>
      <c r="F605" s="28"/>
      <c r="G605" s="2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2:47" ht="15.75" customHeight="1" x14ac:dyDescent="0.2">
      <c r="B606" s="2"/>
      <c r="C606" s="28"/>
      <c r="D606" s="28"/>
      <c r="E606" s="28"/>
      <c r="F606" s="28"/>
      <c r="G606" s="2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2:47" ht="15.75" customHeight="1" x14ac:dyDescent="0.2">
      <c r="B607" s="2"/>
      <c r="C607" s="28"/>
      <c r="D607" s="28"/>
      <c r="E607" s="28"/>
      <c r="F607" s="28"/>
      <c r="G607" s="2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2:47" ht="15.75" customHeight="1" x14ac:dyDescent="0.2">
      <c r="B608" s="2"/>
      <c r="C608" s="28"/>
      <c r="D608" s="28"/>
      <c r="E608" s="28"/>
      <c r="F608" s="28"/>
      <c r="G608" s="2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2:47" ht="15.75" customHeight="1" x14ac:dyDescent="0.2">
      <c r="B609" s="2"/>
      <c r="C609" s="28"/>
      <c r="D609" s="28"/>
      <c r="E609" s="28"/>
      <c r="F609" s="28"/>
      <c r="G609" s="2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2:47" ht="15.75" customHeight="1" x14ac:dyDescent="0.2">
      <c r="B610" s="2"/>
      <c r="C610" s="28"/>
      <c r="D610" s="28"/>
      <c r="E610" s="28"/>
      <c r="F610" s="28"/>
      <c r="G610" s="2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2:47" ht="15.75" customHeight="1" x14ac:dyDescent="0.2">
      <c r="B611" s="2"/>
      <c r="C611" s="28"/>
      <c r="D611" s="28"/>
      <c r="E611" s="28"/>
      <c r="F611" s="28"/>
      <c r="G611" s="2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2:47" ht="15.75" customHeight="1" x14ac:dyDescent="0.2">
      <c r="B612" s="2"/>
      <c r="C612" s="28"/>
      <c r="D612" s="28"/>
      <c r="E612" s="28"/>
      <c r="F612" s="28"/>
      <c r="G612" s="2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2:47" ht="15.75" customHeight="1" x14ac:dyDescent="0.2">
      <c r="B613" s="2"/>
      <c r="C613" s="28"/>
      <c r="D613" s="28"/>
      <c r="E613" s="28"/>
      <c r="F613" s="28"/>
      <c r="G613" s="2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2:47" ht="15.75" customHeight="1" x14ac:dyDescent="0.2">
      <c r="B614" s="2"/>
      <c r="C614" s="28"/>
      <c r="D614" s="28"/>
      <c r="E614" s="28"/>
      <c r="F614" s="28"/>
      <c r="G614" s="2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2:47" ht="15.75" customHeight="1" x14ac:dyDescent="0.2">
      <c r="B615" s="2"/>
      <c r="C615" s="28"/>
      <c r="D615" s="28"/>
      <c r="E615" s="28"/>
      <c r="F615" s="28"/>
      <c r="G615" s="2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2:47" ht="15.75" customHeight="1" x14ac:dyDescent="0.2">
      <c r="B616" s="2"/>
      <c r="C616" s="28"/>
      <c r="D616" s="28"/>
      <c r="E616" s="28"/>
      <c r="F616" s="28"/>
      <c r="G616" s="2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2:47" ht="15.75" customHeight="1" x14ac:dyDescent="0.2">
      <c r="B617" s="2"/>
      <c r="C617" s="28"/>
      <c r="D617" s="28"/>
      <c r="E617" s="28"/>
      <c r="F617" s="28"/>
      <c r="G617" s="2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2:47" ht="15.75" customHeight="1" x14ac:dyDescent="0.2">
      <c r="B618" s="2"/>
      <c r="C618" s="28"/>
      <c r="D618" s="28"/>
      <c r="E618" s="28"/>
      <c r="F618" s="28"/>
      <c r="G618" s="2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2:47" ht="15.75" customHeight="1" x14ac:dyDescent="0.2">
      <c r="B619" s="2"/>
      <c r="C619" s="28"/>
      <c r="D619" s="28"/>
      <c r="E619" s="28"/>
      <c r="F619" s="28"/>
      <c r="G619" s="2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2:47" ht="15.75" customHeight="1" x14ac:dyDescent="0.2">
      <c r="B620" s="2"/>
      <c r="C620" s="28"/>
      <c r="D620" s="28"/>
      <c r="E620" s="28"/>
      <c r="F620" s="28"/>
      <c r="G620" s="2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2:47" ht="15.75" customHeight="1" x14ac:dyDescent="0.2">
      <c r="B621" s="2"/>
      <c r="C621" s="28"/>
      <c r="D621" s="28"/>
      <c r="E621" s="28"/>
      <c r="F621" s="28"/>
      <c r="G621" s="2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2:47" ht="15.75" customHeight="1" x14ac:dyDescent="0.2">
      <c r="B622" s="2"/>
      <c r="C622" s="28"/>
      <c r="D622" s="28"/>
      <c r="E622" s="28"/>
      <c r="F622" s="28"/>
      <c r="G622" s="2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2:47" ht="15.75" customHeight="1" x14ac:dyDescent="0.2">
      <c r="B623" s="2"/>
      <c r="C623" s="28"/>
      <c r="D623" s="28"/>
      <c r="E623" s="28"/>
      <c r="F623" s="28"/>
      <c r="G623" s="2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2:47" ht="15.75" customHeight="1" x14ac:dyDescent="0.2">
      <c r="B624" s="2"/>
      <c r="C624" s="28"/>
      <c r="D624" s="28"/>
      <c r="E624" s="28"/>
      <c r="F624" s="28"/>
      <c r="G624" s="2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2:47" ht="15.75" customHeight="1" x14ac:dyDescent="0.2">
      <c r="B625" s="2"/>
      <c r="C625" s="28"/>
      <c r="D625" s="28"/>
      <c r="E625" s="28"/>
      <c r="F625" s="28"/>
      <c r="G625" s="2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2:47" ht="15.75" customHeight="1" x14ac:dyDescent="0.2">
      <c r="B626" s="2"/>
      <c r="C626" s="28"/>
      <c r="D626" s="28"/>
      <c r="E626" s="28"/>
      <c r="F626" s="28"/>
      <c r="G626" s="2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2:47" ht="15.75" customHeight="1" x14ac:dyDescent="0.2">
      <c r="B627" s="2"/>
      <c r="C627" s="28"/>
      <c r="D627" s="28"/>
      <c r="E627" s="28"/>
      <c r="F627" s="28"/>
      <c r="G627" s="2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2:47" ht="15.75" customHeight="1" x14ac:dyDescent="0.2">
      <c r="B628" s="2"/>
      <c r="C628" s="28"/>
      <c r="D628" s="28"/>
      <c r="E628" s="28"/>
      <c r="F628" s="28"/>
      <c r="G628" s="2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2:47" ht="15.75" customHeight="1" x14ac:dyDescent="0.2">
      <c r="B629" s="2"/>
      <c r="C629" s="28"/>
      <c r="D629" s="28"/>
      <c r="E629" s="28"/>
      <c r="F629" s="28"/>
      <c r="G629" s="2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2:47" ht="15.75" customHeight="1" x14ac:dyDescent="0.2">
      <c r="B630" s="2"/>
      <c r="C630" s="28"/>
      <c r="D630" s="28"/>
      <c r="E630" s="28"/>
      <c r="F630" s="28"/>
      <c r="G630" s="2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2:47" ht="15.75" customHeight="1" x14ac:dyDescent="0.2">
      <c r="B631" s="2"/>
      <c r="C631" s="28"/>
      <c r="D631" s="28"/>
      <c r="E631" s="28"/>
      <c r="F631" s="28"/>
      <c r="G631" s="2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2:47" ht="15.75" customHeight="1" x14ac:dyDescent="0.2">
      <c r="B632" s="2"/>
      <c r="C632" s="28"/>
      <c r="D632" s="28"/>
      <c r="E632" s="28"/>
      <c r="F632" s="28"/>
      <c r="G632" s="2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2:47" ht="15.75" customHeight="1" x14ac:dyDescent="0.2">
      <c r="B633" s="2"/>
      <c r="C633" s="28"/>
      <c r="D633" s="28"/>
      <c r="E633" s="28"/>
      <c r="F633" s="28"/>
      <c r="G633" s="2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2:47" ht="15.75" customHeight="1" x14ac:dyDescent="0.2">
      <c r="B634" s="2"/>
      <c r="C634" s="28"/>
      <c r="D634" s="28"/>
      <c r="E634" s="28"/>
      <c r="F634" s="28"/>
      <c r="G634" s="2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2:47" ht="15.75" customHeight="1" x14ac:dyDescent="0.2">
      <c r="B635" s="2"/>
      <c r="C635" s="28"/>
      <c r="D635" s="28"/>
      <c r="E635" s="28"/>
      <c r="F635" s="28"/>
      <c r="G635" s="2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2:47" ht="15.75" customHeight="1" x14ac:dyDescent="0.2">
      <c r="B636" s="2"/>
      <c r="C636" s="28"/>
      <c r="D636" s="28"/>
      <c r="E636" s="28"/>
      <c r="F636" s="28"/>
      <c r="G636" s="2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2:47" ht="15.75" customHeight="1" x14ac:dyDescent="0.2"/>
    <row r="638" spans="2:47" ht="15.75" customHeight="1" x14ac:dyDescent="0.2"/>
    <row r="639" spans="2:47" ht="15.75" customHeight="1" x14ac:dyDescent="0.2"/>
    <row r="640" spans="2:47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</sheetData>
  <mergeCells count="2">
    <mergeCell ref="A3:F3"/>
    <mergeCell ref="A4:F4"/>
  </mergeCells>
  <phoneticPr fontId="14" type="noConversion"/>
  <pageMargins left="0.46" right="0.15748031496062992" top="0.15748031496062992" bottom="0.15748031496062992" header="0.15748031496062992" footer="0.15748031496062992"/>
  <pageSetup paperSize="9" scale="7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5"/>
  <sheetViews>
    <sheetView zoomScale="90" zoomScaleNormal="90" workbookViewId="0">
      <selection activeCell="A6" sqref="A6"/>
    </sheetView>
  </sheetViews>
  <sheetFormatPr defaultRowHeight="15" x14ac:dyDescent="0.25"/>
  <cols>
    <col min="1" max="1" width="6.140625" style="416" customWidth="1"/>
    <col min="2" max="2" width="61.7109375" style="390" customWidth="1"/>
    <col min="3" max="3" width="12.7109375" style="390" customWidth="1"/>
    <col min="4" max="4" width="13.28515625" style="390" customWidth="1"/>
    <col min="5" max="5" width="12.5703125" style="390" customWidth="1"/>
    <col min="6" max="6" width="6.28515625" style="416" customWidth="1"/>
    <col min="7" max="7" width="49.140625" style="390" customWidth="1"/>
    <col min="8" max="8" width="13.42578125" style="390" customWidth="1"/>
    <col min="9" max="9" width="13.140625" style="390" customWidth="1"/>
    <col min="10" max="10" width="13" style="390" customWidth="1"/>
    <col min="11" max="16384" width="9.140625" style="390"/>
  </cols>
  <sheetData>
    <row r="1" spans="1:10" x14ac:dyDescent="0.25">
      <c r="A1" s="388"/>
      <c r="B1" s="389"/>
      <c r="C1" s="389"/>
      <c r="D1" s="389"/>
      <c r="E1" s="389"/>
      <c r="F1" s="388"/>
      <c r="G1" s="389"/>
      <c r="H1" s="389"/>
      <c r="I1" s="389"/>
      <c r="J1" s="88" t="s">
        <v>668</v>
      </c>
    </row>
    <row r="2" spans="1:10" x14ac:dyDescent="0.25">
      <c r="A2" s="388"/>
      <c r="B2" s="389"/>
      <c r="C2" s="389"/>
      <c r="D2" s="389"/>
      <c r="E2" s="389"/>
      <c r="F2" s="388"/>
      <c r="G2" s="389"/>
      <c r="H2" s="389"/>
      <c r="I2" s="389"/>
      <c r="J2" s="391" t="str">
        <f>'1.Bev-kiad.'!C2</f>
        <v>a 2/2025.(III.6.) önkormányzati rendelethez</v>
      </c>
    </row>
    <row r="3" spans="1:10" x14ac:dyDescent="0.25">
      <c r="A3" s="388"/>
      <c r="B3" s="389"/>
      <c r="C3" s="389"/>
      <c r="D3" s="389"/>
      <c r="E3" s="389"/>
      <c r="F3" s="388"/>
      <c r="G3" s="389"/>
      <c r="H3" s="389"/>
      <c r="I3" s="389"/>
    </row>
    <row r="4" spans="1:10" ht="35.25" customHeight="1" x14ac:dyDescent="0.25">
      <c r="A4" s="388"/>
      <c r="B4" s="518" t="s">
        <v>845</v>
      </c>
      <c r="C4" s="519"/>
      <c r="D4" s="519"/>
      <c r="E4" s="519"/>
      <c r="F4" s="519"/>
      <c r="G4" s="519"/>
      <c r="H4" s="519"/>
      <c r="I4" s="519"/>
      <c r="J4" s="391"/>
    </row>
    <row r="5" spans="1:10" x14ac:dyDescent="0.25">
      <c r="A5" s="388"/>
      <c r="B5" s="392"/>
      <c r="C5" s="392"/>
      <c r="D5" s="391"/>
      <c r="E5" s="391"/>
      <c r="F5" s="393"/>
      <c r="G5" s="394"/>
      <c r="H5" s="394"/>
      <c r="I5" s="394"/>
      <c r="J5" s="391" t="s">
        <v>0</v>
      </c>
    </row>
    <row r="6" spans="1:10" ht="38.25" x14ac:dyDescent="0.25">
      <c r="A6" s="395"/>
      <c r="B6" s="396" t="s">
        <v>669</v>
      </c>
      <c r="C6" s="396" t="s">
        <v>789</v>
      </c>
      <c r="D6" s="396" t="s">
        <v>800</v>
      </c>
      <c r="E6" s="396" t="s">
        <v>801</v>
      </c>
      <c r="F6" s="395"/>
      <c r="G6" s="396" t="s">
        <v>670</v>
      </c>
      <c r="H6" s="396" t="str">
        <f>C6</f>
        <v>2025. évi eredeti előirányzat</v>
      </c>
      <c r="I6" s="396" t="str">
        <f>D6</f>
        <v>2024. évi várható teljesítés</v>
      </c>
      <c r="J6" s="396" t="str">
        <f>E6</f>
        <v>2023. évi
 teljesítés</v>
      </c>
    </row>
    <row r="7" spans="1:10" x14ac:dyDescent="0.25">
      <c r="A7" s="397"/>
      <c r="B7" s="398" t="s">
        <v>671</v>
      </c>
      <c r="C7" s="399">
        <f>SUM(C8+C14)</f>
        <v>79600</v>
      </c>
      <c r="D7" s="399">
        <f>SUM(D8+D14)</f>
        <v>74690</v>
      </c>
      <c r="E7" s="399">
        <f>SUM(E8+E14)</f>
        <v>77609</v>
      </c>
      <c r="F7" s="397"/>
      <c r="G7" s="398" t="s">
        <v>672</v>
      </c>
      <c r="H7" s="399">
        <f>SUM(H8+H14)</f>
        <v>90662</v>
      </c>
      <c r="I7" s="399">
        <f>SUM(I8+I14)</f>
        <v>101304</v>
      </c>
      <c r="J7" s="399">
        <f>SUM(J8+J14)</f>
        <v>605501</v>
      </c>
    </row>
    <row r="8" spans="1:10" x14ac:dyDescent="0.25">
      <c r="A8" s="397"/>
      <c r="B8" s="400" t="s">
        <v>673</v>
      </c>
      <c r="C8" s="401">
        <f>SUM(C9:C12)</f>
        <v>79600</v>
      </c>
      <c r="D8" s="401">
        <f>SUM(D9:D12)</f>
        <v>68702</v>
      </c>
      <c r="E8" s="401">
        <f>SUM(E9:E12)</f>
        <v>77609</v>
      </c>
      <c r="F8" s="397"/>
      <c r="G8" s="400" t="s">
        <v>674</v>
      </c>
      <c r="H8" s="401">
        <f>SUM(H9:H13)</f>
        <v>89678</v>
      </c>
      <c r="I8" s="401">
        <f>SUM(I9:I13)</f>
        <v>82414</v>
      </c>
      <c r="J8" s="401">
        <f>SUM(J9:J13)</f>
        <v>102528</v>
      </c>
    </row>
    <row r="9" spans="1:10" x14ac:dyDescent="0.25">
      <c r="A9" s="397" t="s">
        <v>108</v>
      </c>
      <c r="B9" s="402" t="s">
        <v>675</v>
      </c>
      <c r="C9" s="403">
        <f>'1.Bev-kiad.'!C10</f>
        <v>36175</v>
      </c>
      <c r="D9" s="403">
        <v>29737</v>
      </c>
      <c r="E9" s="403">
        <v>32910</v>
      </c>
      <c r="F9" s="404" t="s">
        <v>203</v>
      </c>
      <c r="G9" s="402" t="s">
        <v>676</v>
      </c>
      <c r="H9" s="403">
        <f>'2.működés'!C103</f>
        <v>36308</v>
      </c>
      <c r="I9" s="403">
        <v>32617</v>
      </c>
      <c r="J9" s="403">
        <v>34843</v>
      </c>
    </row>
    <row r="10" spans="1:10" ht="25.5" x14ac:dyDescent="0.25">
      <c r="A10" s="397" t="s">
        <v>128</v>
      </c>
      <c r="B10" s="402" t="s">
        <v>677</v>
      </c>
      <c r="C10" s="403">
        <f>'1.Bev-kiad.'!C23</f>
        <v>33000</v>
      </c>
      <c r="D10" s="403">
        <v>30431</v>
      </c>
      <c r="E10" s="403">
        <v>37325</v>
      </c>
      <c r="F10" s="404" t="s">
        <v>204</v>
      </c>
      <c r="G10" s="405" t="s">
        <v>678</v>
      </c>
      <c r="H10" s="403">
        <f>'2.működés'!C104</f>
        <v>4536</v>
      </c>
      <c r="I10" s="406">
        <v>3709</v>
      </c>
      <c r="J10" s="406">
        <v>4170</v>
      </c>
    </row>
    <row r="11" spans="1:10" x14ac:dyDescent="0.25">
      <c r="A11" s="397" t="s">
        <v>139</v>
      </c>
      <c r="B11" s="402" t="s">
        <v>679</v>
      </c>
      <c r="C11" s="403">
        <f>'1.Bev-kiad.'!C30</f>
        <v>10425</v>
      </c>
      <c r="D11" s="403">
        <v>8534</v>
      </c>
      <c r="E11" s="403">
        <v>7210</v>
      </c>
      <c r="F11" s="404" t="s">
        <v>205</v>
      </c>
      <c r="G11" s="405" t="s">
        <v>680</v>
      </c>
      <c r="H11" s="403">
        <f>'2.működés'!C105</f>
        <v>37734</v>
      </c>
      <c r="I11" s="406">
        <v>32535</v>
      </c>
      <c r="J11" s="406">
        <v>51524</v>
      </c>
    </row>
    <row r="12" spans="1:10" x14ac:dyDescent="0.25">
      <c r="A12" s="397" t="s">
        <v>177</v>
      </c>
      <c r="B12" s="402" t="s">
        <v>681</v>
      </c>
      <c r="C12" s="403">
        <f>'1.Bev-kiad.'!C47</f>
        <v>0</v>
      </c>
      <c r="D12" s="403">
        <v>0</v>
      </c>
      <c r="E12" s="403">
        <v>164</v>
      </c>
      <c r="F12" s="404" t="s">
        <v>206</v>
      </c>
      <c r="G12" s="405" t="s">
        <v>682</v>
      </c>
      <c r="H12" s="403">
        <f>'2.működés'!C106</f>
        <v>1500</v>
      </c>
      <c r="I12" s="406">
        <v>3589</v>
      </c>
      <c r="J12" s="406">
        <v>3528</v>
      </c>
    </row>
    <row r="13" spans="1:10" x14ac:dyDescent="0.25">
      <c r="A13" s="397"/>
      <c r="B13" s="402"/>
      <c r="C13" s="407"/>
      <c r="D13" s="407"/>
      <c r="E13" s="407"/>
      <c r="F13" s="404" t="s">
        <v>207</v>
      </c>
      <c r="G13" s="405" t="s">
        <v>683</v>
      </c>
      <c r="H13" s="406">
        <f>'2.működés'!C107</f>
        <v>9600</v>
      </c>
      <c r="I13" s="406">
        <v>9964</v>
      </c>
      <c r="J13" s="406">
        <v>8463</v>
      </c>
    </row>
    <row r="14" spans="1:10" x14ac:dyDescent="0.25">
      <c r="A14" s="397"/>
      <c r="B14" s="400" t="s">
        <v>684</v>
      </c>
      <c r="C14" s="401">
        <f>SUM(C15:C17)</f>
        <v>0</v>
      </c>
      <c r="D14" s="401">
        <f>SUM(D15:D17)</f>
        <v>5988</v>
      </c>
      <c r="E14" s="401">
        <f>SUM(E15:E17)</f>
        <v>0</v>
      </c>
      <c r="F14" s="404"/>
      <c r="G14" s="400" t="s">
        <v>685</v>
      </c>
      <c r="H14" s="401">
        <f>SUM(H15:H17)</f>
        <v>984</v>
      </c>
      <c r="I14" s="401">
        <f>SUM(I15:I17)</f>
        <v>18890</v>
      </c>
      <c r="J14" s="401">
        <f>SUM(J15:J17)</f>
        <v>502973</v>
      </c>
    </row>
    <row r="15" spans="1:10" x14ac:dyDescent="0.25">
      <c r="A15" s="397" t="s">
        <v>119</v>
      </c>
      <c r="B15" s="402" t="s">
        <v>686</v>
      </c>
      <c r="C15" s="403">
        <f>'1.Bev-kiad.'!C17</f>
        <v>0</v>
      </c>
      <c r="D15" s="403">
        <v>5988</v>
      </c>
      <c r="E15" s="403">
        <v>0</v>
      </c>
      <c r="F15" s="404" t="s">
        <v>239</v>
      </c>
      <c r="G15" s="402" t="s">
        <v>50</v>
      </c>
      <c r="H15" s="403">
        <f>'1.Bev-kiad.'!C74</f>
        <v>984</v>
      </c>
      <c r="I15" s="403">
        <v>9224</v>
      </c>
      <c r="J15" s="403">
        <v>494636</v>
      </c>
    </row>
    <row r="16" spans="1:10" x14ac:dyDescent="0.25">
      <c r="A16" s="397" t="s">
        <v>166</v>
      </c>
      <c r="B16" s="402" t="s">
        <v>687</v>
      </c>
      <c r="C16" s="403">
        <f>'1.Bev-kiad.'!C41</f>
        <v>0</v>
      </c>
      <c r="D16" s="403">
        <v>0</v>
      </c>
      <c r="E16" s="403">
        <v>0</v>
      </c>
      <c r="F16" s="404" t="s">
        <v>495</v>
      </c>
      <c r="G16" s="402" t="s">
        <v>51</v>
      </c>
      <c r="H16" s="403">
        <f>'1.Bev-kiad.'!C75</f>
        <v>0</v>
      </c>
      <c r="I16" s="403">
        <v>1839</v>
      </c>
      <c r="J16" s="403">
        <v>4887</v>
      </c>
    </row>
    <row r="17" spans="1:10" x14ac:dyDescent="0.25">
      <c r="A17" s="397" t="s">
        <v>178</v>
      </c>
      <c r="B17" s="402" t="s">
        <v>688</v>
      </c>
      <c r="C17" s="403">
        <f>'1.Bev-kiad.'!C51</f>
        <v>0</v>
      </c>
      <c r="D17" s="403">
        <v>0</v>
      </c>
      <c r="E17" s="403">
        <v>0</v>
      </c>
      <c r="F17" s="404" t="s">
        <v>689</v>
      </c>
      <c r="G17" s="402" t="s">
        <v>690</v>
      </c>
      <c r="H17" s="403">
        <f>'1.Bev-kiad.'!C76</f>
        <v>0</v>
      </c>
      <c r="I17" s="403">
        <v>7827</v>
      </c>
      <c r="J17" s="403">
        <v>3450</v>
      </c>
    </row>
    <row r="18" spans="1:10" x14ac:dyDescent="0.25">
      <c r="A18" s="397" t="s">
        <v>347</v>
      </c>
      <c r="B18" s="408" t="s">
        <v>691</v>
      </c>
      <c r="C18" s="401">
        <f>SUM(C24+C19)</f>
        <v>11995</v>
      </c>
      <c r="D18" s="401">
        <f>SUM(D24+D19)</f>
        <v>39646</v>
      </c>
      <c r="E18" s="401">
        <f>SUM(E24+E19)</f>
        <v>567691</v>
      </c>
      <c r="F18" s="404" t="s">
        <v>193</v>
      </c>
      <c r="G18" s="408" t="s">
        <v>692</v>
      </c>
      <c r="H18" s="401">
        <f>SUM(H19)</f>
        <v>933</v>
      </c>
      <c r="I18" s="401">
        <f>SUM(I19)</f>
        <v>1037</v>
      </c>
      <c r="J18" s="401">
        <f>SUM(J19)</f>
        <v>1104</v>
      </c>
    </row>
    <row r="19" spans="1:10" x14ac:dyDescent="0.25">
      <c r="A19" s="397"/>
      <c r="B19" s="400" t="s">
        <v>693</v>
      </c>
      <c r="C19" s="401">
        <f>SUM(C20)</f>
        <v>11995</v>
      </c>
      <c r="D19" s="401">
        <f>SUM(D20+D23)</f>
        <v>39646</v>
      </c>
      <c r="E19" s="401">
        <f>SUM(E20)+E23</f>
        <v>567691</v>
      </c>
      <c r="F19" s="404"/>
      <c r="G19" s="400" t="s">
        <v>694</v>
      </c>
      <c r="H19" s="401">
        <f>SUM(H20:H21)</f>
        <v>933</v>
      </c>
      <c r="I19" s="401">
        <f>SUM(I20:I21)</f>
        <v>1037</v>
      </c>
      <c r="J19" s="401">
        <f>SUM(J20:J21)</f>
        <v>1104</v>
      </c>
    </row>
    <row r="20" spans="1:10" x14ac:dyDescent="0.25">
      <c r="A20" s="397"/>
      <c r="B20" s="402" t="s">
        <v>695</v>
      </c>
      <c r="C20" s="403">
        <f>SUM(C21:C22)</f>
        <v>11995</v>
      </c>
      <c r="D20" s="403">
        <f>SUM(D21:D22)</f>
        <v>38695</v>
      </c>
      <c r="E20" s="403">
        <f>SUM(E21:E22)</f>
        <v>566673</v>
      </c>
      <c r="F20" s="404" t="s">
        <v>382</v>
      </c>
      <c r="G20" s="409" t="s">
        <v>696</v>
      </c>
      <c r="H20" s="410">
        <f>'1.Bev-kiad.'!C81</f>
        <v>933</v>
      </c>
      <c r="I20" s="410">
        <v>1037</v>
      </c>
      <c r="J20" s="410">
        <v>1104</v>
      </c>
    </row>
    <row r="21" spans="1:10" x14ac:dyDescent="0.25">
      <c r="A21" s="397"/>
      <c r="B21" s="411" t="s">
        <v>697</v>
      </c>
      <c r="C21" s="403">
        <f>'1.Bev-kiad.'!C58</f>
        <v>11995</v>
      </c>
      <c r="D21" s="403">
        <v>25171</v>
      </c>
      <c r="E21" s="403">
        <v>23302</v>
      </c>
      <c r="F21" s="404"/>
      <c r="G21" s="412"/>
      <c r="H21" s="403"/>
      <c r="I21" s="403"/>
      <c r="J21" s="403"/>
    </row>
    <row r="22" spans="1:10" x14ac:dyDescent="0.25">
      <c r="A22" s="397"/>
      <c r="B22" s="411" t="s">
        <v>698</v>
      </c>
      <c r="C22" s="403">
        <f>'1.Bev-kiad.'!C59</f>
        <v>0</v>
      </c>
      <c r="D22" s="403">
        <v>13524</v>
      </c>
      <c r="E22" s="403">
        <v>543371</v>
      </c>
      <c r="F22" s="404"/>
      <c r="G22" s="400" t="s">
        <v>699</v>
      </c>
      <c r="H22" s="413">
        <v>0</v>
      </c>
      <c r="I22" s="401">
        <v>0</v>
      </c>
      <c r="J22" s="401">
        <v>0</v>
      </c>
    </row>
    <row r="23" spans="1:10" x14ac:dyDescent="0.25">
      <c r="A23" s="397"/>
      <c r="B23" s="407" t="s">
        <v>700</v>
      </c>
      <c r="C23" s="414" t="s">
        <v>52</v>
      </c>
      <c r="D23" s="415">
        <v>951</v>
      </c>
      <c r="E23" s="403">
        <v>1018</v>
      </c>
      <c r="F23" s="404"/>
      <c r="G23" s="400"/>
      <c r="H23" s="413"/>
      <c r="I23" s="401"/>
      <c r="J23" s="401"/>
    </row>
    <row r="24" spans="1:10" x14ac:dyDescent="0.25">
      <c r="A24" s="397"/>
      <c r="B24" s="400" t="s">
        <v>701</v>
      </c>
      <c r="C24" s="401">
        <v>0</v>
      </c>
      <c r="D24" s="401">
        <v>0</v>
      </c>
      <c r="E24" s="401">
        <v>0</v>
      </c>
      <c r="F24" s="404"/>
      <c r="G24" s="400"/>
      <c r="H24" s="413"/>
      <c r="I24" s="401"/>
      <c r="J24" s="401"/>
    </row>
    <row r="25" spans="1:10" x14ac:dyDescent="0.25">
      <c r="A25" s="397"/>
      <c r="B25" s="398" t="s">
        <v>702</v>
      </c>
      <c r="C25" s="399">
        <f>SUM(C7+C18)</f>
        <v>91595</v>
      </c>
      <c r="D25" s="399">
        <f>SUM(D7+D18)</f>
        <v>114336</v>
      </c>
      <c r="E25" s="399">
        <f>SUM(E7+E18)</f>
        <v>645300</v>
      </c>
      <c r="F25" s="397"/>
      <c r="G25" s="398" t="s">
        <v>703</v>
      </c>
      <c r="H25" s="399">
        <f>SUM(H7+H18)</f>
        <v>91595</v>
      </c>
      <c r="I25" s="399">
        <f>SUM(I7+I18)</f>
        <v>102341</v>
      </c>
      <c r="J25" s="399">
        <f>SUM(J7+J18)</f>
        <v>606605</v>
      </c>
    </row>
  </sheetData>
  <mergeCells count="1">
    <mergeCell ref="B4:I4"/>
  </mergeCells>
  <pageMargins left="0.7" right="0.7" top="0.75" bottom="0.75" header="0.3" footer="0.3"/>
  <pageSetup paperSize="9" scale="6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EB67-D651-455C-AF05-79A451345262}">
  <dimension ref="A1:E22"/>
  <sheetViews>
    <sheetView workbookViewId="0">
      <selection activeCell="A8" sqref="A8"/>
    </sheetView>
  </sheetViews>
  <sheetFormatPr defaultRowHeight="15" x14ac:dyDescent="0.25"/>
  <cols>
    <col min="1" max="1" width="6.140625" style="416" customWidth="1"/>
    <col min="2" max="2" width="50.42578125" style="390" customWidth="1"/>
    <col min="3" max="3" width="12.7109375" style="390" customWidth="1"/>
    <col min="4" max="4" width="13.28515625" style="390" hidden="1" customWidth="1"/>
    <col min="5" max="5" width="12.5703125" style="390" hidden="1" customWidth="1"/>
    <col min="6" max="16384" width="9.140625" style="390"/>
  </cols>
  <sheetData>
    <row r="1" spans="1:5" x14ac:dyDescent="0.25">
      <c r="A1" s="388"/>
      <c r="B1" s="389"/>
      <c r="C1" s="88" t="s">
        <v>786</v>
      </c>
    </row>
    <row r="2" spans="1:5" x14ac:dyDescent="0.25">
      <c r="A2" s="388"/>
      <c r="B2" s="389"/>
      <c r="C2" s="391" t="str">
        <f>'1.Bev-kiad.'!C2</f>
        <v>a 2/2025.(III.6.) önkormányzati rendelethez</v>
      </c>
    </row>
    <row r="3" spans="1:5" x14ac:dyDescent="0.25">
      <c r="A3" s="388"/>
      <c r="B3" s="389"/>
      <c r="C3" s="389"/>
      <c r="D3" s="391"/>
      <c r="E3" s="389"/>
    </row>
    <row r="4" spans="1:5" x14ac:dyDescent="0.25">
      <c r="A4" s="388"/>
      <c r="B4" s="389"/>
      <c r="C4" s="389"/>
      <c r="D4" s="391"/>
      <c r="E4" s="389"/>
    </row>
    <row r="5" spans="1:5" ht="33.75" customHeight="1" x14ac:dyDescent="0.25">
      <c r="A5" s="518" t="s">
        <v>787</v>
      </c>
      <c r="B5" s="518"/>
      <c r="C5" s="518"/>
      <c r="D5" s="518"/>
      <c r="E5" s="518"/>
    </row>
    <row r="6" spans="1:5" ht="15.75" x14ac:dyDescent="0.25">
      <c r="A6" s="388"/>
      <c r="B6" s="435"/>
      <c r="D6" s="436"/>
      <c r="E6" s="436"/>
    </row>
    <row r="7" spans="1:5" x14ac:dyDescent="0.25">
      <c r="A7" s="388"/>
      <c r="B7" s="392"/>
      <c r="C7" s="391" t="s">
        <v>0</v>
      </c>
    </row>
    <row r="8" spans="1:5" ht="38.25" x14ac:dyDescent="0.25">
      <c r="A8" s="395"/>
      <c r="B8" s="396" t="s">
        <v>844</v>
      </c>
      <c r="C8" s="396" t="str">
        <f>'1.Bev-kiad.'!C8</f>
        <v>2025. évi eredeti előirányzat</v>
      </c>
      <c r="D8" s="396" t="str">
        <f>'1.Bev-kiad.'!D8</f>
        <v>Módosított előirányzat 2024.10.havi</v>
      </c>
      <c r="E8" s="396" t="str">
        <f>'1.Bev-kiad.'!E8</f>
        <v>Módosított előirányzat 2024..havi</v>
      </c>
    </row>
    <row r="9" spans="1:5" x14ac:dyDescent="0.25">
      <c r="A9" s="397"/>
      <c r="B9" s="398" t="s">
        <v>722</v>
      </c>
      <c r="C9" s="399">
        <f>SUM(C10+C16)+C11</f>
        <v>0</v>
      </c>
      <c r="D9" s="399">
        <f>SUM(D10+D16)+D11</f>
        <v>5696</v>
      </c>
      <c r="E9" s="399">
        <f t="shared" ref="E9" si="0">SUM(E10+E16)</f>
        <v>0</v>
      </c>
    </row>
    <row r="10" spans="1:5" x14ac:dyDescent="0.25">
      <c r="A10" s="437">
        <v>1</v>
      </c>
      <c r="B10" s="400" t="s">
        <v>723</v>
      </c>
      <c r="C10" s="403">
        <f>'2.működés'!C109</f>
        <v>0</v>
      </c>
      <c r="D10" s="403">
        <f>'2.működés'!D109</f>
        <v>0</v>
      </c>
      <c r="E10" s="401">
        <f t="shared" ref="E10" si="1">SUM(E11:E14)</f>
        <v>0</v>
      </c>
    </row>
    <row r="11" spans="1:5" x14ac:dyDescent="0.25">
      <c r="A11" s="437">
        <v>2</v>
      </c>
      <c r="B11" s="400" t="s">
        <v>725</v>
      </c>
      <c r="C11" s="403">
        <f>'3.felh'!C65</f>
        <v>0</v>
      </c>
      <c r="D11" s="403">
        <f>'3.felh'!D65</f>
        <v>5696</v>
      </c>
      <c r="E11" s="403"/>
    </row>
    <row r="12" spans="1:5" hidden="1" x14ac:dyDescent="0.25">
      <c r="A12" s="437"/>
      <c r="B12" s="402"/>
      <c r="C12" s="403"/>
      <c r="D12" s="403"/>
      <c r="E12" s="403"/>
    </row>
    <row r="13" spans="1:5" hidden="1" x14ac:dyDescent="0.25">
      <c r="A13" s="437"/>
      <c r="B13" s="402"/>
      <c r="C13" s="403"/>
      <c r="D13" s="403"/>
      <c r="E13" s="403"/>
    </row>
    <row r="14" spans="1:5" hidden="1" x14ac:dyDescent="0.25">
      <c r="A14" s="437"/>
      <c r="B14" s="402"/>
      <c r="C14" s="403"/>
      <c r="D14" s="403"/>
      <c r="E14" s="403"/>
    </row>
    <row r="15" spans="1:5" hidden="1" x14ac:dyDescent="0.25">
      <c r="A15" s="437"/>
      <c r="B15" s="402"/>
      <c r="C15" s="407"/>
      <c r="D15" s="407"/>
      <c r="E15" s="407"/>
    </row>
    <row r="16" spans="1:5" x14ac:dyDescent="0.25">
      <c r="A16" s="437">
        <v>3</v>
      </c>
      <c r="B16" s="400" t="s">
        <v>724</v>
      </c>
      <c r="C16" s="403">
        <f>SUM(C17)</f>
        <v>0</v>
      </c>
      <c r="D16" s="403">
        <f>SUM(D17)</f>
        <v>0</v>
      </c>
      <c r="E16" s="401">
        <f t="shared" ref="E16" si="2">SUM(E17)</f>
        <v>0</v>
      </c>
    </row>
    <row r="17" spans="1:5" hidden="1" x14ac:dyDescent="0.25">
      <c r="A17" s="397"/>
      <c r="B17" s="438"/>
      <c r="C17" s="439"/>
      <c r="D17" s="439">
        <f t="shared" ref="D17:E17" si="3">D18</f>
        <v>0</v>
      </c>
      <c r="E17" s="439">
        <f t="shared" si="3"/>
        <v>0</v>
      </c>
    </row>
    <row r="18" spans="1:5" hidden="1" x14ac:dyDescent="0.25">
      <c r="A18" s="397"/>
      <c r="B18" s="402"/>
      <c r="C18" s="403"/>
      <c r="D18" s="403"/>
      <c r="E18" s="403"/>
    </row>
    <row r="19" spans="1:5" hidden="1" x14ac:dyDescent="0.25">
      <c r="A19" s="397"/>
      <c r="B19" s="402"/>
      <c r="C19" s="403"/>
      <c r="D19" s="403"/>
      <c r="E19" s="403"/>
    </row>
    <row r="20" spans="1:5" hidden="1" x14ac:dyDescent="0.25">
      <c r="A20" s="397"/>
      <c r="B20" s="402"/>
      <c r="C20" s="403"/>
      <c r="D20" s="403"/>
      <c r="E20" s="403"/>
    </row>
    <row r="21" spans="1:5" hidden="1" x14ac:dyDescent="0.25">
      <c r="A21" s="397"/>
      <c r="B21" s="402"/>
      <c r="C21" s="403"/>
      <c r="D21" s="403"/>
      <c r="E21" s="403"/>
    </row>
    <row r="22" spans="1:5" hidden="1" x14ac:dyDescent="0.25">
      <c r="A22" s="397"/>
      <c r="B22" s="402"/>
      <c r="C22" s="403"/>
      <c r="D22" s="403"/>
      <c r="E22" s="403"/>
    </row>
  </sheetData>
  <mergeCells count="1">
    <mergeCell ref="A5:E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58"/>
  <sheetViews>
    <sheetView zoomScale="80" zoomScaleNormal="80" workbookViewId="0">
      <selection activeCell="Z56" sqref="Z56"/>
    </sheetView>
  </sheetViews>
  <sheetFormatPr defaultRowHeight="12.75" x14ac:dyDescent="0.2"/>
  <cols>
    <col min="1" max="1" width="14.42578125" customWidth="1"/>
    <col min="2" max="2" width="12.140625" customWidth="1"/>
    <col min="3" max="3" width="12.140625" hidden="1" customWidth="1"/>
    <col min="4" max="4" width="11.5703125" customWidth="1"/>
    <col min="5" max="6" width="9.28515625" hidden="1" customWidth="1"/>
    <col min="7" max="7" width="8.5703125" hidden="1" customWidth="1"/>
    <col min="8" max="8" width="8.140625" customWidth="1"/>
    <col min="9" max="9" width="9.5703125" customWidth="1"/>
    <col min="10" max="10" width="14.140625" customWidth="1"/>
    <col min="11" max="11" width="8" customWidth="1"/>
    <col min="12" max="12" width="9.140625" hidden="1" customWidth="1"/>
    <col min="13" max="13" width="12.5703125" customWidth="1"/>
    <col min="14" max="14" width="9.28515625" bestFit="1" customWidth="1"/>
    <col min="15" max="15" width="10" customWidth="1"/>
    <col min="16" max="16" width="12.28515625" style="343" customWidth="1"/>
    <col min="17" max="17" width="11" customWidth="1"/>
    <col min="18" max="18" width="11.85546875" customWidth="1"/>
    <col min="19" max="19" width="8" style="76" customWidth="1"/>
    <col min="20" max="20" width="8.42578125" hidden="1" customWidth="1"/>
    <col min="21" max="21" width="10.140625" customWidth="1"/>
    <col min="257" max="257" width="14.42578125" customWidth="1"/>
    <col min="258" max="258" width="12.140625" customWidth="1"/>
    <col min="259" max="259" width="0" hidden="1" customWidth="1"/>
    <col min="260" max="260" width="11.5703125" customWidth="1"/>
    <col min="261" max="263" width="0" hidden="1" customWidth="1"/>
    <col min="264" max="264" width="8.140625" customWidth="1"/>
    <col min="265" max="265" width="9.5703125" customWidth="1"/>
    <col min="266" max="266" width="14.140625" customWidth="1"/>
    <col min="267" max="267" width="8" customWidth="1"/>
    <col min="268" max="268" width="0" hidden="1" customWidth="1"/>
    <col min="269" max="269" width="12.5703125" customWidth="1"/>
    <col min="270" max="270" width="9.28515625" bestFit="1" customWidth="1"/>
    <col min="271" max="271" width="10" customWidth="1"/>
    <col min="272" max="272" width="12.28515625" customWidth="1"/>
    <col min="273" max="273" width="11" customWidth="1"/>
    <col min="274" max="274" width="11.85546875" customWidth="1"/>
    <col min="275" max="275" width="8" customWidth="1"/>
    <col min="276" max="276" width="0" hidden="1" customWidth="1"/>
    <col min="277" max="277" width="10.140625" customWidth="1"/>
    <col min="513" max="513" width="14.42578125" customWidth="1"/>
    <col min="514" max="514" width="12.140625" customWidth="1"/>
    <col min="515" max="515" width="0" hidden="1" customWidth="1"/>
    <col min="516" max="516" width="11.5703125" customWidth="1"/>
    <col min="517" max="519" width="0" hidden="1" customWidth="1"/>
    <col min="520" max="520" width="8.140625" customWidth="1"/>
    <col min="521" max="521" width="9.5703125" customWidth="1"/>
    <col min="522" max="522" width="14.140625" customWidth="1"/>
    <col min="523" max="523" width="8" customWidth="1"/>
    <col min="524" max="524" width="0" hidden="1" customWidth="1"/>
    <col min="525" max="525" width="12.5703125" customWidth="1"/>
    <col min="526" max="526" width="9.28515625" bestFit="1" customWidth="1"/>
    <col min="527" max="527" width="10" customWidth="1"/>
    <col min="528" max="528" width="12.28515625" customWidth="1"/>
    <col min="529" max="529" width="11" customWidth="1"/>
    <col min="530" max="530" width="11.85546875" customWidth="1"/>
    <col min="531" max="531" width="8" customWidth="1"/>
    <col min="532" max="532" width="0" hidden="1" customWidth="1"/>
    <col min="533" max="533" width="10.140625" customWidth="1"/>
    <col min="769" max="769" width="14.42578125" customWidth="1"/>
    <col min="770" max="770" width="12.140625" customWidth="1"/>
    <col min="771" max="771" width="0" hidden="1" customWidth="1"/>
    <col min="772" max="772" width="11.5703125" customWidth="1"/>
    <col min="773" max="775" width="0" hidden="1" customWidth="1"/>
    <col min="776" max="776" width="8.140625" customWidth="1"/>
    <col min="777" max="777" width="9.5703125" customWidth="1"/>
    <col min="778" max="778" width="14.140625" customWidth="1"/>
    <col min="779" max="779" width="8" customWidth="1"/>
    <col min="780" max="780" width="0" hidden="1" customWidth="1"/>
    <col min="781" max="781" width="12.5703125" customWidth="1"/>
    <col min="782" max="782" width="9.28515625" bestFit="1" customWidth="1"/>
    <col min="783" max="783" width="10" customWidth="1"/>
    <col min="784" max="784" width="12.28515625" customWidth="1"/>
    <col min="785" max="785" width="11" customWidth="1"/>
    <col min="786" max="786" width="11.85546875" customWidth="1"/>
    <col min="787" max="787" width="8" customWidth="1"/>
    <col min="788" max="788" width="0" hidden="1" customWidth="1"/>
    <col min="789" max="789" width="10.140625" customWidth="1"/>
    <col min="1025" max="1025" width="14.42578125" customWidth="1"/>
    <col min="1026" max="1026" width="12.140625" customWidth="1"/>
    <col min="1027" max="1027" width="0" hidden="1" customWidth="1"/>
    <col min="1028" max="1028" width="11.5703125" customWidth="1"/>
    <col min="1029" max="1031" width="0" hidden="1" customWidth="1"/>
    <col min="1032" max="1032" width="8.140625" customWidth="1"/>
    <col min="1033" max="1033" width="9.5703125" customWidth="1"/>
    <col min="1034" max="1034" width="14.140625" customWidth="1"/>
    <col min="1035" max="1035" width="8" customWidth="1"/>
    <col min="1036" max="1036" width="0" hidden="1" customWidth="1"/>
    <col min="1037" max="1037" width="12.5703125" customWidth="1"/>
    <col min="1038" max="1038" width="9.28515625" bestFit="1" customWidth="1"/>
    <col min="1039" max="1039" width="10" customWidth="1"/>
    <col min="1040" max="1040" width="12.28515625" customWidth="1"/>
    <col min="1041" max="1041" width="11" customWidth="1"/>
    <col min="1042" max="1042" width="11.85546875" customWidth="1"/>
    <col min="1043" max="1043" width="8" customWidth="1"/>
    <col min="1044" max="1044" width="0" hidden="1" customWidth="1"/>
    <col min="1045" max="1045" width="10.140625" customWidth="1"/>
    <col min="1281" max="1281" width="14.42578125" customWidth="1"/>
    <col min="1282" max="1282" width="12.140625" customWidth="1"/>
    <col min="1283" max="1283" width="0" hidden="1" customWidth="1"/>
    <col min="1284" max="1284" width="11.5703125" customWidth="1"/>
    <col min="1285" max="1287" width="0" hidden="1" customWidth="1"/>
    <col min="1288" max="1288" width="8.140625" customWidth="1"/>
    <col min="1289" max="1289" width="9.5703125" customWidth="1"/>
    <col min="1290" max="1290" width="14.140625" customWidth="1"/>
    <col min="1291" max="1291" width="8" customWidth="1"/>
    <col min="1292" max="1292" width="0" hidden="1" customWidth="1"/>
    <col min="1293" max="1293" width="12.5703125" customWidth="1"/>
    <col min="1294" max="1294" width="9.28515625" bestFit="1" customWidth="1"/>
    <col min="1295" max="1295" width="10" customWidth="1"/>
    <col min="1296" max="1296" width="12.28515625" customWidth="1"/>
    <col min="1297" max="1297" width="11" customWidth="1"/>
    <col min="1298" max="1298" width="11.85546875" customWidth="1"/>
    <col min="1299" max="1299" width="8" customWidth="1"/>
    <col min="1300" max="1300" width="0" hidden="1" customWidth="1"/>
    <col min="1301" max="1301" width="10.140625" customWidth="1"/>
    <col min="1537" max="1537" width="14.42578125" customWidth="1"/>
    <col min="1538" max="1538" width="12.140625" customWidth="1"/>
    <col min="1539" max="1539" width="0" hidden="1" customWidth="1"/>
    <col min="1540" max="1540" width="11.5703125" customWidth="1"/>
    <col min="1541" max="1543" width="0" hidden="1" customWidth="1"/>
    <col min="1544" max="1544" width="8.140625" customWidth="1"/>
    <col min="1545" max="1545" width="9.5703125" customWidth="1"/>
    <col min="1546" max="1546" width="14.140625" customWidth="1"/>
    <col min="1547" max="1547" width="8" customWidth="1"/>
    <col min="1548" max="1548" width="0" hidden="1" customWidth="1"/>
    <col min="1549" max="1549" width="12.5703125" customWidth="1"/>
    <col min="1550" max="1550" width="9.28515625" bestFit="1" customWidth="1"/>
    <col min="1551" max="1551" width="10" customWidth="1"/>
    <col min="1552" max="1552" width="12.28515625" customWidth="1"/>
    <col min="1553" max="1553" width="11" customWidth="1"/>
    <col min="1554" max="1554" width="11.85546875" customWidth="1"/>
    <col min="1555" max="1555" width="8" customWidth="1"/>
    <col min="1556" max="1556" width="0" hidden="1" customWidth="1"/>
    <col min="1557" max="1557" width="10.140625" customWidth="1"/>
    <col min="1793" max="1793" width="14.42578125" customWidth="1"/>
    <col min="1794" max="1794" width="12.140625" customWidth="1"/>
    <col min="1795" max="1795" width="0" hidden="1" customWidth="1"/>
    <col min="1796" max="1796" width="11.5703125" customWidth="1"/>
    <col min="1797" max="1799" width="0" hidden="1" customWidth="1"/>
    <col min="1800" max="1800" width="8.140625" customWidth="1"/>
    <col min="1801" max="1801" width="9.5703125" customWidth="1"/>
    <col min="1802" max="1802" width="14.140625" customWidth="1"/>
    <col min="1803" max="1803" width="8" customWidth="1"/>
    <col min="1804" max="1804" width="0" hidden="1" customWidth="1"/>
    <col min="1805" max="1805" width="12.5703125" customWidth="1"/>
    <col min="1806" max="1806" width="9.28515625" bestFit="1" customWidth="1"/>
    <col min="1807" max="1807" width="10" customWidth="1"/>
    <col min="1808" max="1808" width="12.28515625" customWidth="1"/>
    <col min="1809" max="1809" width="11" customWidth="1"/>
    <col min="1810" max="1810" width="11.85546875" customWidth="1"/>
    <col min="1811" max="1811" width="8" customWidth="1"/>
    <col min="1812" max="1812" width="0" hidden="1" customWidth="1"/>
    <col min="1813" max="1813" width="10.140625" customWidth="1"/>
    <col min="2049" max="2049" width="14.42578125" customWidth="1"/>
    <col min="2050" max="2050" width="12.140625" customWidth="1"/>
    <col min="2051" max="2051" width="0" hidden="1" customWidth="1"/>
    <col min="2052" max="2052" width="11.5703125" customWidth="1"/>
    <col min="2053" max="2055" width="0" hidden="1" customWidth="1"/>
    <col min="2056" max="2056" width="8.140625" customWidth="1"/>
    <col min="2057" max="2057" width="9.5703125" customWidth="1"/>
    <col min="2058" max="2058" width="14.140625" customWidth="1"/>
    <col min="2059" max="2059" width="8" customWidth="1"/>
    <col min="2060" max="2060" width="0" hidden="1" customWidth="1"/>
    <col min="2061" max="2061" width="12.5703125" customWidth="1"/>
    <col min="2062" max="2062" width="9.28515625" bestFit="1" customWidth="1"/>
    <col min="2063" max="2063" width="10" customWidth="1"/>
    <col min="2064" max="2064" width="12.28515625" customWidth="1"/>
    <col min="2065" max="2065" width="11" customWidth="1"/>
    <col min="2066" max="2066" width="11.85546875" customWidth="1"/>
    <col min="2067" max="2067" width="8" customWidth="1"/>
    <col min="2068" max="2068" width="0" hidden="1" customWidth="1"/>
    <col min="2069" max="2069" width="10.140625" customWidth="1"/>
    <col min="2305" max="2305" width="14.42578125" customWidth="1"/>
    <col min="2306" max="2306" width="12.140625" customWidth="1"/>
    <col min="2307" max="2307" width="0" hidden="1" customWidth="1"/>
    <col min="2308" max="2308" width="11.5703125" customWidth="1"/>
    <col min="2309" max="2311" width="0" hidden="1" customWidth="1"/>
    <col min="2312" max="2312" width="8.140625" customWidth="1"/>
    <col min="2313" max="2313" width="9.5703125" customWidth="1"/>
    <col min="2314" max="2314" width="14.140625" customWidth="1"/>
    <col min="2315" max="2315" width="8" customWidth="1"/>
    <col min="2316" max="2316" width="0" hidden="1" customWidth="1"/>
    <col min="2317" max="2317" width="12.5703125" customWidth="1"/>
    <col min="2318" max="2318" width="9.28515625" bestFit="1" customWidth="1"/>
    <col min="2319" max="2319" width="10" customWidth="1"/>
    <col min="2320" max="2320" width="12.28515625" customWidth="1"/>
    <col min="2321" max="2321" width="11" customWidth="1"/>
    <col min="2322" max="2322" width="11.85546875" customWidth="1"/>
    <col min="2323" max="2323" width="8" customWidth="1"/>
    <col min="2324" max="2324" width="0" hidden="1" customWidth="1"/>
    <col min="2325" max="2325" width="10.140625" customWidth="1"/>
    <col min="2561" max="2561" width="14.42578125" customWidth="1"/>
    <col min="2562" max="2562" width="12.140625" customWidth="1"/>
    <col min="2563" max="2563" width="0" hidden="1" customWidth="1"/>
    <col min="2564" max="2564" width="11.5703125" customWidth="1"/>
    <col min="2565" max="2567" width="0" hidden="1" customWidth="1"/>
    <col min="2568" max="2568" width="8.140625" customWidth="1"/>
    <col min="2569" max="2569" width="9.5703125" customWidth="1"/>
    <col min="2570" max="2570" width="14.140625" customWidth="1"/>
    <col min="2571" max="2571" width="8" customWidth="1"/>
    <col min="2572" max="2572" width="0" hidden="1" customWidth="1"/>
    <col min="2573" max="2573" width="12.5703125" customWidth="1"/>
    <col min="2574" max="2574" width="9.28515625" bestFit="1" customWidth="1"/>
    <col min="2575" max="2575" width="10" customWidth="1"/>
    <col min="2576" max="2576" width="12.28515625" customWidth="1"/>
    <col min="2577" max="2577" width="11" customWidth="1"/>
    <col min="2578" max="2578" width="11.85546875" customWidth="1"/>
    <col min="2579" max="2579" width="8" customWidth="1"/>
    <col min="2580" max="2580" width="0" hidden="1" customWidth="1"/>
    <col min="2581" max="2581" width="10.140625" customWidth="1"/>
    <col min="2817" max="2817" width="14.42578125" customWidth="1"/>
    <col min="2818" max="2818" width="12.140625" customWidth="1"/>
    <col min="2819" max="2819" width="0" hidden="1" customWidth="1"/>
    <col min="2820" max="2820" width="11.5703125" customWidth="1"/>
    <col min="2821" max="2823" width="0" hidden="1" customWidth="1"/>
    <col min="2824" max="2824" width="8.140625" customWidth="1"/>
    <col min="2825" max="2825" width="9.5703125" customWidth="1"/>
    <col min="2826" max="2826" width="14.140625" customWidth="1"/>
    <col min="2827" max="2827" width="8" customWidth="1"/>
    <col min="2828" max="2828" width="0" hidden="1" customWidth="1"/>
    <col min="2829" max="2829" width="12.5703125" customWidth="1"/>
    <col min="2830" max="2830" width="9.28515625" bestFit="1" customWidth="1"/>
    <col min="2831" max="2831" width="10" customWidth="1"/>
    <col min="2832" max="2832" width="12.28515625" customWidth="1"/>
    <col min="2833" max="2833" width="11" customWidth="1"/>
    <col min="2834" max="2834" width="11.85546875" customWidth="1"/>
    <col min="2835" max="2835" width="8" customWidth="1"/>
    <col min="2836" max="2836" width="0" hidden="1" customWidth="1"/>
    <col min="2837" max="2837" width="10.140625" customWidth="1"/>
    <col min="3073" max="3073" width="14.42578125" customWidth="1"/>
    <col min="3074" max="3074" width="12.140625" customWidth="1"/>
    <col min="3075" max="3075" width="0" hidden="1" customWidth="1"/>
    <col min="3076" max="3076" width="11.5703125" customWidth="1"/>
    <col min="3077" max="3079" width="0" hidden="1" customWidth="1"/>
    <col min="3080" max="3080" width="8.140625" customWidth="1"/>
    <col min="3081" max="3081" width="9.5703125" customWidth="1"/>
    <col min="3082" max="3082" width="14.140625" customWidth="1"/>
    <col min="3083" max="3083" width="8" customWidth="1"/>
    <col min="3084" max="3084" width="0" hidden="1" customWidth="1"/>
    <col min="3085" max="3085" width="12.5703125" customWidth="1"/>
    <col min="3086" max="3086" width="9.28515625" bestFit="1" customWidth="1"/>
    <col min="3087" max="3087" width="10" customWidth="1"/>
    <col min="3088" max="3088" width="12.28515625" customWidth="1"/>
    <col min="3089" max="3089" width="11" customWidth="1"/>
    <col min="3090" max="3090" width="11.85546875" customWidth="1"/>
    <col min="3091" max="3091" width="8" customWidth="1"/>
    <col min="3092" max="3092" width="0" hidden="1" customWidth="1"/>
    <col min="3093" max="3093" width="10.140625" customWidth="1"/>
    <col min="3329" max="3329" width="14.42578125" customWidth="1"/>
    <col min="3330" max="3330" width="12.140625" customWidth="1"/>
    <col min="3331" max="3331" width="0" hidden="1" customWidth="1"/>
    <col min="3332" max="3332" width="11.5703125" customWidth="1"/>
    <col min="3333" max="3335" width="0" hidden="1" customWidth="1"/>
    <col min="3336" max="3336" width="8.140625" customWidth="1"/>
    <col min="3337" max="3337" width="9.5703125" customWidth="1"/>
    <col min="3338" max="3338" width="14.140625" customWidth="1"/>
    <col min="3339" max="3339" width="8" customWidth="1"/>
    <col min="3340" max="3340" width="0" hidden="1" customWidth="1"/>
    <col min="3341" max="3341" width="12.5703125" customWidth="1"/>
    <col min="3342" max="3342" width="9.28515625" bestFit="1" customWidth="1"/>
    <col min="3343" max="3343" width="10" customWidth="1"/>
    <col min="3344" max="3344" width="12.28515625" customWidth="1"/>
    <col min="3345" max="3345" width="11" customWidth="1"/>
    <col min="3346" max="3346" width="11.85546875" customWidth="1"/>
    <col min="3347" max="3347" width="8" customWidth="1"/>
    <col min="3348" max="3348" width="0" hidden="1" customWidth="1"/>
    <col min="3349" max="3349" width="10.140625" customWidth="1"/>
    <col min="3585" max="3585" width="14.42578125" customWidth="1"/>
    <col min="3586" max="3586" width="12.140625" customWidth="1"/>
    <col min="3587" max="3587" width="0" hidden="1" customWidth="1"/>
    <col min="3588" max="3588" width="11.5703125" customWidth="1"/>
    <col min="3589" max="3591" width="0" hidden="1" customWidth="1"/>
    <col min="3592" max="3592" width="8.140625" customWidth="1"/>
    <col min="3593" max="3593" width="9.5703125" customWidth="1"/>
    <col min="3594" max="3594" width="14.140625" customWidth="1"/>
    <col min="3595" max="3595" width="8" customWidth="1"/>
    <col min="3596" max="3596" width="0" hidden="1" customWidth="1"/>
    <col min="3597" max="3597" width="12.5703125" customWidth="1"/>
    <col min="3598" max="3598" width="9.28515625" bestFit="1" customWidth="1"/>
    <col min="3599" max="3599" width="10" customWidth="1"/>
    <col min="3600" max="3600" width="12.28515625" customWidth="1"/>
    <col min="3601" max="3601" width="11" customWidth="1"/>
    <col min="3602" max="3602" width="11.85546875" customWidth="1"/>
    <col min="3603" max="3603" width="8" customWidth="1"/>
    <col min="3604" max="3604" width="0" hidden="1" customWidth="1"/>
    <col min="3605" max="3605" width="10.140625" customWidth="1"/>
    <col min="3841" max="3841" width="14.42578125" customWidth="1"/>
    <col min="3842" max="3842" width="12.140625" customWidth="1"/>
    <col min="3843" max="3843" width="0" hidden="1" customWidth="1"/>
    <col min="3844" max="3844" width="11.5703125" customWidth="1"/>
    <col min="3845" max="3847" width="0" hidden="1" customWidth="1"/>
    <col min="3848" max="3848" width="8.140625" customWidth="1"/>
    <col min="3849" max="3849" width="9.5703125" customWidth="1"/>
    <col min="3850" max="3850" width="14.140625" customWidth="1"/>
    <col min="3851" max="3851" width="8" customWidth="1"/>
    <col min="3852" max="3852" width="0" hidden="1" customWidth="1"/>
    <col min="3853" max="3853" width="12.5703125" customWidth="1"/>
    <col min="3854" max="3854" width="9.28515625" bestFit="1" customWidth="1"/>
    <col min="3855" max="3855" width="10" customWidth="1"/>
    <col min="3856" max="3856" width="12.28515625" customWidth="1"/>
    <col min="3857" max="3857" width="11" customWidth="1"/>
    <col min="3858" max="3858" width="11.85546875" customWidth="1"/>
    <col min="3859" max="3859" width="8" customWidth="1"/>
    <col min="3860" max="3860" width="0" hidden="1" customWidth="1"/>
    <col min="3861" max="3861" width="10.140625" customWidth="1"/>
    <col min="4097" max="4097" width="14.42578125" customWidth="1"/>
    <col min="4098" max="4098" width="12.140625" customWidth="1"/>
    <col min="4099" max="4099" width="0" hidden="1" customWidth="1"/>
    <col min="4100" max="4100" width="11.5703125" customWidth="1"/>
    <col min="4101" max="4103" width="0" hidden="1" customWidth="1"/>
    <col min="4104" max="4104" width="8.140625" customWidth="1"/>
    <col min="4105" max="4105" width="9.5703125" customWidth="1"/>
    <col min="4106" max="4106" width="14.140625" customWidth="1"/>
    <col min="4107" max="4107" width="8" customWidth="1"/>
    <col min="4108" max="4108" width="0" hidden="1" customWidth="1"/>
    <col min="4109" max="4109" width="12.5703125" customWidth="1"/>
    <col min="4110" max="4110" width="9.28515625" bestFit="1" customWidth="1"/>
    <col min="4111" max="4111" width="10" customWidth="1"/>
    <col min="4112" max="4112" width="12.28515625" customWidth="1"/>
    <col min="4113" max="4113" width="11" customWidth="1"/>
    <col min="4114" max="4114" width="11.85546875" customWidth="1"/>
    <col min="4115" max="4115" width="8" customWidth="1"/>
    <col min="4116" max="4116" width="0" hidden="1" customWidth="1"/>
    <col min="4117" max="4117" width="10.140625" customWidth="1"/>
    <col min="4353" max="4353" width="14.42578125" customWidth="1"/>
    <col min="4354" max="4354" width="12.140625" customWidth="1"/>
    <col min="4355" max="4355" width="0" hidden="1" customWidth="1"/>
    <col min="4356" max="4356" width="11.5703125" customWidth="1"/>
    <col min="4357" max="4359" width="0" hidden="1" customWidth="1"/>
    <col min="4360" max="4360" width="8.140625" customWidth="1"/>
    <col min="4361" max="4361" width="9.5703125" customWidth="1"/>
    <col min="4362" max="4362" width="14.140625" customWidth="1"/>
    <col min="4363" max="4363" width="8" customWidth="1"/>
    <col min="4364" max="4364" width="0" hidden="1" customWidth="1"/>
    <col min="4365" max="4365" width="12.5703125" customWidth="1"/>
    <col min="4366" max="4366" width="9.28515625" bestFit="1" customWidth="1"/>
    <col min="4367" max="4367" width="10" customWidth="1"/>
    <col min="4368" max="4368" width="12.28515625" customWidth="1"/>
    <col min="4369" max="4369" width="11" customWidth="1"/>
    <col min="4370" max="4370" width="11.85546875" customWidth="1"/>
    <col min="4371" max="4371" width="8" customWidth="1"/>
    <col min="4372" max="4372" width="0" hidden="1" customWidth="1"/>
    <col min="4373" max="4373" width="10.140625" customWidth="1"/>
    <col min="4609" max="4609" width="14.42578125" customWidth="1"/>
    <col min="4610" max="4610" width="12.140625" customWidth="1"/>
    <col min="4611" max="4611" width="0" hidden="1" customWidth="1"/>
    <col min="4612" max="4612" width="11.5703125" customWidth="1"/>
    <col min="4613" max="4615" width="0" hidden="1" customWidth="1"/>
    <col min="4616" max="4616" width="8.140625" customWidth="1"/>
    <col min="4617" max="4617" width="9.5703125" customWidth="1"/>
    <col min="4618" max="4618" width="14.140625" customWidth="1"/>
    <col min="4619" max="4619" width="8" customWidth="1"/>
    <col min="4620" max="4620" width="0" hidden="1" customWidth="1"/>
    <col min="4621" max="4621" width="12.5703125" customWidth="1"/>
    <col min="4622" max="4622" width="9.28515625" bestFit="1" customWidth="1"/>
    <col min="4623" max="4623" width="10" customWidth="1"/>
    <col min="4624" max="4624" width="12.28515625" customWidth="1"/>
    <col min="4625" max="4625" width="11" customWidth="1"/>
    <col min="4626" max="4626" width="11.85546875" customWidth="1"/>
    <col min="4627" max="4627" width="8" customWidth="1"/>
    <col min="4628" max="4628" width="0" hidden="1" customWidth="1"/>
    <col min="4629" max="4629" width="10.140625" customWidth="1"/>
    <col min="4865" max="4865" width="14.42578125" customWidth="1"/>
    <col min="4866" max="4866" width="12.140625" customWidth="1"/>
    <col min="4867" max="4867" width="0" hidden="1" customWidth="1"/>
    <col min="4868" max="4868" width="11.5703125" customWidth="1"/>
    <col min="4869" max="4871" width="0" hidden="1" customWidth="1"/>
    <col min="4872" max="4872" width="8.140625" customWidth="1"/>
    <col min="4873" max="4873" width="9.5703125" customWidth="1"/>
    <col min="4874" max="4874" width="14.140625" customWidth="1"/>
    <col min="4875" max="4875" width="8" customWidth="1"/>
    <col min="4876" max="4876" width="0" hidden="1" customWidth="1"/>
    <col min="4877" max="4877" width="12.5703125" customWidth="1"/>
    <col min="4878" max="4878" width="9.28515625" bestFit="1" customWidth="1"/>
    <col min="4879" max="4879" width="10" customWidth="1"/>
    <col min="4880" max="4880" width="12.28515625" customWidth="1"/>
    <col min="4881" max="4881" width="11" customWidth="1"/>
    <col min="4882" max="4882" width="11.85546875" customWidth="1"/>
    <col min="4883" max="4883" width="8" customWidth="1"/>
    <col min="4884" max="4884" width="0" hidden="1" customWidth="1"/>
    <col min="4885" max="4885" width="10.140625" customWidth="1"/>
    <col min="5121" max="5121" width="14.42578125" customWidth="1"/>
    <col min="5122" max="5122" width="12.140625" customWidth="1"/>
    <col min="5123" max="5123" width="0" hidden="1" customWidth="1"/>
    <col min="5124" max="5124" width="11.5703125" customWidth="1"/>
    <col min="5125" max="5127" width="0" hidden="1" customWidth="1"/>
    <col min="5128" max="5128" width="8.140625" customWidth="1"/>
    <col min="5129" max="5129" width="9.5703125" customWidth="1"/>
    <col min="5130" max="5130" width="14.140625" customWidth="1"/>
    <col min="5131" max="5131" width="8" customWidth="1"/>
    <col min="5132" max="5132" width="0" hidden="1" customWidth="1"/>
    <col min="5133" max="5133" width="12.5703125" customWidth="1"/>
    <col min="5134" max="5134" width="9.28515625" bestFit="1" customWidth="1"/>
    <col min="5135" max="5135" width="10" customWidth="1"/>
    <col min="5136" max="5136" width="12.28515625" customWidth="1"/>
    <col min="5137" max="5137" width="11" customWidth="1"/>
    <col min="5138" max="5138" width="11.85546875" customWidth="1"/>
    <col min="5139" max="5139" width="8" customWidth="1"/>
    <col min="5140" max="5140" width="0" hidden="1" customWidth="1"/>
    <col min="5141" max="5141" width="10.140625" customWidth="1"/>
    <col min="5377" max="5377" width="14.42578125" customWidth="1"/>
    <col min="5378" max="5378" width="12.140625" customWidth="1"/>
    <col min="5379" max="5379" width="0" hidden="1" customWidth="1"/>
    <col min="5380" max="5380" width="11.5703125" customWidth="1"/>
    <col min="5381" max="5383" width="0" hidden="1" customWidth="1"/>
    <col min="5384" max="5384" width="8.140625" customWidth="1"/>
    <col min="5385" max="5385" width="9.5703125" customWidth="1"/>
    <col min="5386" max="5386" width="14.140625" customWidth="1"/>
    <col min="5387" max="5387" width="8" customWidth="1"/>
    <col min="5388" max="5388" width="0" hidden="1" customWidth="1"/>
    <col min="5389" max="5389" width="12.5703125" customWidth="1"/>
    <col min="5390" max="5390" width="9.28515625" bestFit="1" customWidth="1"/>
    <col min="5391" max="5391" width="10" customWidth="1"/>
    <col min="5392" max="5392" width="12.28515625" customWidth="1"/>
    <col min="5393" max="5393" width="11" customWidth="1"/>
    <col min="5394" max="5394" width="11.85546875" customWidth="1"/>
    <col min="5395" max="5395" width="8" customWidth="1"/>
    <col min="5396" max="5396" width="0" hidden="1" customWidth="1"/>
    <col min="5397" max="5397" width="10.140625" customWidth="1"/>
    <col min="5633" max="5633" width="14.42578125" customWidth="1"/>
    <col min="5634" max="5634" width="12.140625" customWidth="1"/>
    <col min="5635" max="5635" width="0" hidden="1" customWidth="1"/>
    <col min="5636" max="5636" width="11.5703125" customWidth="1"/>
    <col min="5637" max="5639" width="0" hidden="1" customWidth="1"/>
    <col min="5640" max="5640" width="8.140625" customWidth="1"/>
    <col min="5641" max="5641" width="9.5703125" customWidth="1"/>
    <col min="5642" max="5642" width="14.140625" customWidth="1"/>
    <col min="5643" max="5643" width="8" customWidth="1"/>
    <col min="5644" max="5644" width="0" hidden="1" customWidth="1"/>
    <col min="5645" max="5645" width="12.5703125" customWidth="1"/>
    <col min="5646" max="5646" width="9.28515625" bestFit="1" customWidth="1"/>
    <col min="5647" max="5647" width="10" customWidth="1"/>
    <col min="5648" max="5648" width="12.28515625" customWidth="1"/>
    <col min="5649" max="5649" width="11" customWidth="1"/>
    <col min="5650" max="5650" width="11.85546875" customWidth="1"/>
    <col min="5651" max="5651" width="8" customWidth="1"/>
    <col min="5652" max="5652" width="0" hidden="1" customWidth="1"/>
    <col min="5653" max="5653" width="10.140625" customWidth="1"/>
    <col min="5889" max="5889" width="14.42578125" customWidth="1"/>
    <col min="5890" max="5890" width="12.140625" customWidth="1"/>
    <col min="5891" max="5891" width="0" hidden="1" customWidth="1"/>
    <col min="5892" max="5892" width="11.5703125" customWidth="1"/>
    <col min="5893" max="5895" width="0" hidden="1" customWidth="1"/>
    <col min="5896" max="5896" width="8.140625" customWidth="1"/>
    <col min="5897" max="5897" width="9.5703125" customWidth="1"/>
    <col min="5898" max="5898" width="14.140625" customWidth="1"/>
    <col min="5899" max="5899" width="8" customWidth="1"/>
    <col min="5900" max="5900" width="0" hidden="1" customWidth="1"/>
    <col min="5901" max="5901" width="12.5703125" customWidth="1"/>
    <col min="5902" max="5902" width="9.28515625" bestFit="1" customWidth="1"/>
    <col min="5903" max="5903" width="10" customWidth="1"/>
    <col min="5904" max="5904" width="12.28515625" customWidth="1"/>
    <col min="5905" max="5905" width="11" customWidth="1"/>
    <col min="5906" max="5906" width="11.85546875" customWidth="1"/>
    <col min="5907" max="5907" width="8" customWidth="1"/>
    <col min="5908" max="5908" width="0" hidden="1" customWidth="1"/>
    <col min="5909" max="5909" width="10.140625" customWidth="1"/>
    <col min="6145" max="6145" width="14.42578125" customWidth="1"/>
    <col min="6146" max="6146" width="12.140625" customWidth="1"/>
    <col min="6147" max="6147" width="0" hidden="1" customWidth="1"/>
    <col min="6148" max="6148" width="11.5703125" customWidth="1"/>
    <col min="6149" max="6151" width="0" hidden="1" customWidth="1"/>
    <col min="6152" max="6152" width="8.140625" customWidth="1"/>
    <col min="6153" max="6153" width="9.5703125" customWidth="1"/>
    <col min="6154" max="6154" width="14.140625" customWidth="1"/>
    <col min="6155" max="6155" width="8" customWidth="1"/>
    <col min="6156" max="6156" width="0" hidden="1" customWidth="1"/>
    <col min="6157" max="6157" width="12.5703125" customWidth="1"/>
    <col min="6158" max="6158" width="9.28515625" bestFit="1" customWidth="1"/>
    <col min="6159" max="6159" width="10" customWidth="1"/>
    <col min="6160" max="6160" width="12.28515625" customWidth="1"/>
    <col min="6161" max="6161" width="11" customWidth="1"/>
    <col min="6162" max="6162" width="11.85546875" customWidth="1"/>
    <col min="6163" max="6163" width="8" customWidth="1"/>
    <col min="6164" max="6164" width="0" hidden="1" customWidth="1"/>
    <col min="6165" max="6165" width="10.140625" customWidth="1"/>
    <col min="6401" max="6401" width="14.42578125" customWidth="1"/>
    <col min="6402" max="6402" width="12.140625" customWidth="1"/>
    <col min="6403" max="6403" width="0" hidden="1" customWidth="1"/>
    <col min="6404" max="6404" width="11.5703125" customWidth="1"/>
    <col min="6405" max="6407" width="0" hidden="1" customWidth="1"/>
    <col min="6408" max="6408" width="8.140625" customWidth="1"/>
    <col min="6409" max="6409" width="9.5703125" customWidth="1"/>
    <col min="6410" max="6410" width="14.140625" customWidth="1"/>
    <col min="6411" max="6411" width="8" customWidth="1"/>
    <col min="6412" max="6412" width="0" hidden="1" customWidth="1"/>
    <col min="6413" max="6413" width="12.5703125" customWidth="1"/>
    <col min="6414" max="6414" width="9.28515625" bestFit="1" customWidth="1"/>
    <col min="6415" max="6415" width="10" customWidth="1"/>
    <col min="6416" max="6416" width="12.28515625" customWidth="1"/>
    <col min="6417" max="6417" width="11" customWidth="1"/>
    <col min="6418" max="6418" width="11.85546875" customWidth="1"/>
    <col min="6419" max="6419" width="8" customWidth="1"/>
    <col min="6420" max="6420" width="0" hidden="1" customWidth="1"/>
    <col min="6421" max="6421" width="10.140625" customWidth="1"/>
    <col min="6657" max="6657" width="14.42578125" customWidth="1"/>
    <col min="6658" max="6658" width="12.140625" customWidth="1"/>
    <col min="6659" max="6659" width="0" hidden="1" customWidth="1"/>
    <col min="6660" max="6660" width="11.5703125" customWidth="1"/>
    <col min="6661" max="6663" width="0" hidden="1" customWidth="1"/>
    <col min="6664" max="6664" width="8.140625" customWidth="1"/>
    <col min="6665" max="6665" width="9.5703125" customWidth="1"/>
    <col min="6666" max="6666" width="14.140625" customWidth="1"/>
    <col min="6667" max="6667" width="8" customWidth="1"/>
    <col min="6668" max="6668" width="0" hidden="1" customWidth="1"/>
    <col min="6669" max="6669" width="12.5703125" customWidth="1"/>
    <col min="6670" max="6670" width="9.28515625" bestFit="1" customWidth="1"/>
    <col min="6671" max="6671" width="10" customWidth="1"/>
    <col min="6672" max="6672" width="12.28515625" customWidth="1"/>
    <col min="6673" max="6673" width="11" customWidth="1"/>
    <col min="6674" max="6674" width="11.85546875" customWidth="1"/>
    <col min="6675" max="6675" width="8" customWidth="1"/>
    <col min="6676" max="6676" width="0" hidden="1" customWidth="1"/>
    <col min="6677" max="6677" width="10.140625" customWidth="1"/>
    <col min="6913" max="6913" width="14.42578125" customWidth="1"/>
    <col min="6914" max="6914" width="12.140625" customWidth="1"/>
    <col min="6915" max="6915" width="0" hidden="1" customWidth="1"/>
    <col min="6916" max="6916" width="11.5703125" customWidth="1"/>
    <col min="6917" max="6919" width="0" hidden="1" customWidth="1"/>
    <col min="6920" max="6920" width="8.140625" customWidth="1"/>
    <col min="6921" max="6921" width="9.5703125" customWidth="1"/>
    <col min="6922" max="6922" width="14.140625" customWidth="1"/>
    <col min="6923" max="6923" width="8" customWidth="1"/>
    <col min="6924" max="6924" width="0" hidden="1" customWidth="1"/>
    <col min="6925" max="6925" width="12.5703125" customWidth="1"/>
    <col min="6926" max="6926" width="9.28515625" bestFit="1" customWidth="1"/>
    <col min="6927" max="6927" width="10" customWidth="1"/>
    <col min="6928" max="6928" width="12.28515625" customWidth="1"/>
    <col min="6929" max="6929" width="11" customWidth="1"/>
    <col min="6930" max="6930" width="11.85546875" customWidth="1"/>
    <col min="6931" max="6931" width="8" customWidth="1"/>
    <col min="6932" max="6932" width="0" hidden="1" customWidth="1"/>
    <col min="6933" max="6933" width="10.140625" customWidth="1"/>
    <col min="7169" max="7169" width="14.42578125" customWidth="1"/>
    <col min="7170" max="7170" width="12.140625" customWidth="1"/>
    <col min="7171" max="7171" width="0" hidden="1" customWidth="1"/>
    <col min="7172" max="7172" width="11.5703125" customWidth="1"/>
    <col min="7173" max="7175" width="0" hidden="1" customWidth="1"/>
    <col min="7176" max="7176" width="8.140625" customWidth="1"/>
    <col min="7177" max="7177" width="9.5703125" customWidth="1"/>
    <col min="7178" max="7178" width="14.140625" customWidth="1"/>
    <col min="7179" max="7179" width="8" customWidth="1"/>
    <col min="7180" max="7180" width="0" hidden="1" customWidth="1"/>
    <col min="7181" max="7181" width="12.5703125" customWidth="1"/>
    <col min="7182" max="7182" width="9.28515625" bestFit="1" customWidth="1"/>
    <col min="7183" max="7183" width="10" customWidth="1"/>
    <col min="7184" max="7184" width="12.28515625" customWidth="1"/>
    <col min="7185" max="7185" width="11" customWidth="1"/>
    <col min="7186" max="7186" width="11.85546875" customWidth="1"/>
    <col min="7187" max="7187" width="8" customWidth="1"/>
    <col min="7188" max="7188" width="0" hidden="1" customWidth="1"/>
    <col min="7189" max="7189" width="10.140625" customWidth="1"/>
    <col min="7425" max="7425" width="14.42578125" customWidth="1"/>
    <col min="7426" max="7426" width="12.140625" customWidth="1"/>
    <col min="7427" max="7427" width="0" hidden="1" customWidth="1"/>
    <col min="7428" max="7428" width="11.5703125" customWidth="1"/>
    <col min="7429" max="7431" width="0" hidden="1" customWidth="1"/>
    <col min="7432" max="7432" width="8.140625" customWidth="1"/>
    <col min="7433" max="7433" width="9.5703125" customWidth="1"/>
    <col min="7434" max="7434" width="14.140625" customWidth="1"/>
    <col min="7435" max="7435" width="8" customWidth="1"/>
    <col min="7436" max="7436" width="0" hidden="1" customWidth="1"/>
    <col min="7437" max="7437" width="12.5703125" customWidth="1"/>
    <col min="7438" max="7438" width="9.28515625" bestFit="1" customWidth="1"/>
    <col min="7439" max="7439" width="10" customWidth="1"/>
    <col min="7440" max="7440" width="12.28515625" customWidth="1"/>
    <col min="7441" max="7441" width="11" customWidth="1"/>
    <col min="7442" max="7442" width="11.85546875" customWidth="1"/>
    <col min="7443" max="7443" width="8" customWidth="1"/>
    <col min="7444" max="7444" width="0" hidden="1" customWidth="1"/>
    <col min="7445" max="7445" width="10.140625" customWidth="1"/>
    <col min="7681" max="7681" width="14.42578125" customWidth="1"/>
    <col min="7682" max="7682" width="12.140625" customWidth="1"/>
    <col min="7683" max="7683" width="0" hidden="1" customWidth="1"/>
    <col min="7684" max="7684" width="11.5703125" customWidth="1"/>
    <col min="7685" max="7687" width="0" hidden="1" customWidth="1"/>
    <col min="7688" max="7688" width="8.140625" customWidth="1"/>
    <col min="7689" max="7689" width="9.5703125" customWidth="1"/>
    <col min="7690" max="7690" width="14.140625" customWidth="1"/>
    <col min="7691" max="7691" width="8" customWidth="1"/>
    <col min="7692" max="7692" width="0" hidden="1" customWidth="1"/>
    <col min="7693" max="7693" width="12.5703125" customWidth="1"/>
    <col min="7694" max="7694" width="9.28515625" bestFit="1" customWidth="1"/>
    <col min="7695" max="7695" width="10" customWidth="1"/>
    <col min="7696" max="7696" width="12.28515625" customWidth="1"/>
    <col min="7697" max="7697" width="11" customWidth="1"/>
    <col min="7698" max="7698" width="11.85546875" customWidth="1"/>
    <col min="7699" max="7699" width="8" customWidth="1"/>
    <col min="7700" max="7700" width="0" hidden="1" customWidth="1"/>
    <col min="7701" max="7701" width="10.140625" customWidth="1"/>
    <col min="7937" max="7937" width="14.42578125" customWidth="1"/>
    <col min="7938" max="7938" width="12.140625" customWidth="1"/>
    <col min="7939" max="7939" width="0" hidden="1" customWidth="1"/>
    <col min="7940" max="7940" width="11.5703125" customWidth="1"/>
    <col min="7941" max="7943" width="0" hidden="1" customWidth="1"/>
    <col min="7944" max="7944" width="8.140625" customWidth="1"/>
    <col min="7945" max="7945" width="9.5703125" customWidth="1"/>
    <col min="7946" max="7946" width="14.140625" customWidth="1"/>
    <col min="7947" max="7947" width="8" customWidth="1"/>
    <col min="7948" max="7948" width="0" hidden="1" customWidth="1"/>
    <col min="7949" max="7949" width="12.5703125" customWidth="1"/>
    <col min="7950" max="7950" width="9.28515625" bestFit="1" customWidth="1"/>
    <col min="7951" max="7951" width="10" customWidth="1"/>
    <col min="7952" max="7952" width="12.28515625" customWidth="1"/>
    <col min="7953" max="7953" width="11" customWidth="1"/>
    <col min="7954" max="7954" width="11.85546875" customWidth="1"/>
    <col min="7955" max="7955" width="8" customWidth="1"/>
    <col min="7956" max="7956" width="0" hidden="1" customWidth="1"/>
    <col min="7957" max="7957" width="10.140625" customWidth="1"/>
    <col min="8193" max="8193" width="14.42578125" customWidth="1"/>
    <col min="8194" max="8194" width="12.140625" customWidth="1"/>
    <col min="8195" max="8195" width="0" hidden="1" customWidth="1"/>
    <col min="8196" max="8196" width="11.5703125" customWidth="1"/>
    <col min="8197" max="8199" width="0" hidden="1" customWidth="1"/>
    <col min="8200" max="8200" width="8.140625" customWidth="1"/>
    <col min="8201" max="8201" width="9.5703125" customWidth="1"/>
    <col min="8202" max="8202" width="14.140625" customWidth="1"/>
    <col min="8203" max="8203" width="8" customWidth="1"/>
    <col min="8204" max="8204" width="0" hidden="1" customWidth="1"/>
    <col min="8205" max="8205" width="12.5703125" customWidth="1"/>
    <col min="8206" max="8206" width="9.28515625" bestFit="1" customWidth="1"/>
    <col min="8207" max="8207" width="10" customWidth="1"/>
    <col min="8208" max="8208" width="12.28515625" customWidth="1"/>
    <col min="8209" max="8209" width="11" customWidth="1"/>
    <col min="8210" max="8210" width="11.85546875" customWidth="1"/>
    <col min="8211" max="8211" width="8" customWidth="1"/>
    <col min="8212" max="8212" width="0" hidden="1" customWidth="1"/>
    <col min="8213" max="8213" width="10.140625" customWidth="1"/>
    <col min="8449" max="8449" width="14.42578125" customWidth="1"/>
    <col min="8450" max="8450" width="12.140625" customWidth="1"/>
    <col min="8451" max="8451" width="0" hidden="1" customWidth="1"/>
    <col min="8452" max="8452" width="11.5703125" customWidth="1"/>
    <col min="8453" max="8455" width="0" hidden="1" customWidth="1"/>
    <col min="8456" max="8456" width="8.140625" customWidth="1"/>
    <col min="8457" max="8457" width="9.5703125" customWidth="1"/>
    <col min="8458" max="8458" width="14.140625" customWidth="1"/>
    <col min="8459" max="8459" width="8" customWidth="1"/>
    <col min="8460" max="8460" width="0" hidden="1" customWidth="1"/>
    <col min="8461" max="8461" width="12.5703125" customWidth="1"/>
    <col min="8462" max="8462" width="9.28515625" bestFit="1" customWidth="1"/>
    <col min="8463" max="8463" width="10" customWidth="1"/>
    <col min="8464" max="8464" width="12.28515625" customWidth="1"/>
    <col min="8465" max="8465" width="11" customWidth="1"/>
    <col min="8466" max="8466" width="11.85546875" customWidth="1"/>
    <col min="8467" max="8467" width="8" customWidth="1"/>
    <col min="8468" max="8468" width="0" hidden="1" customWidth="1"/>
    <col min="8469" max="8469" width="10.140625" customWidth="1"/>
    <col min="8705" max="8705" width="14.42578125" customWidth="1"/>
    <col min="8706" max="8706" width="12.140625" customWidth="1"/>
    <col min="8707" max="8707" width="0" hidden="1" customWidth="1"/>
    <col min="8708" max="8708" width="11.5703125" customWidth="1"/>
    <col min="8709" max="8711" width="0" hidden="1" customWidth="1"/>
    <col min="8712" max="8712" width="8.140625" customWidth="1"/>
    <col min="8713" max="8713" width="9.5703125" customWidth="1"/>
    <col min="8714" max="8714" width="14.140625" customWidth="1"/>
    <col min="8715" max="8715" width="8" customWidth="1"/>
    <col min="8716" max="8716" width="0" hidden="1" customWidth="1"/>
    <col min="8717" max="8717" width="12.5703125" customWidth="1"/>
    <col min="8718" max="8718" width="9.28515625" bestFit="1" customWidth="1"/>
    <col min="8719" max="8719" width="10" customWidth="1"/>
    <col min="8720" max="8720" width="12.28515625" customWidth="1"/>
    <col min="8721" max="8721" width="11" customWidth="1"/>
    <col min="8722" max="8722" width="11.85546875" customWidth="1"/>
    <col min="8723" max="8723" width="8" customWidth="1"/>
    <col min="8724" max="8724" width="0" hidden="1" customWidth="1"/>
    <col min="8725" max="8725" width="10.140625" customWidth="1"/>
    <col min="8961" max="8961" width="14.42578125" customWidth="1"/>
    <col min="8962" max="8962" width="12.140625" customWidth="1"/>
    <col min="8963" max="8963" width="0" hidden="1" customWidth="1"/>
    <col min="8964" max="8964" width="11.5703125" customWidth="1"/>
    <col min="8965" max="8967" width="0" hidden="1" customWidth="1"/>
    <col min="8968" max="8968" width="8.140625" customWidth="1"/>
    <col min="8969" max="8969" width="9.5703125" customWidth="1"/>
    <col min="8970" max="8970" width="14.140625" customWidth="1"/>
    <col min="8971" max="8971" width="8" customWidth="1"/>
    <col min="8972" max="8972" width="0" hidden="1" customWidth="1"/>
    <col min="8973" max="8973" width="12.5703125" customWidth="1"/>
    <col min="8974" max="8974" width="9.28515625" bestFit="1" customWidth="1"/>
    <col min="8975" max="8975" width="10" customWidth="1"/>
    <col min="8976" max="8976" width="12.28515625" customWidth="1"/>
    <col min="8977" max="8977" width="11" customWidth="1"/>
    <col min="8978" max="8978" width="11.85546875" customWidth="1"/>
    <col min="8979" max="8979" width="8" customWidth="1"/>
    <col min="8980" max="8980" width="0" hidden="1" customWidth="1"/>
    <col min="8981" max="8981" width="10.140625" customWidth="1"/>
    <col min="9217" max="9217" width="14.42578125" customWidth="1"/>
    <col min="9218" max="9218" width="12.140625" customWidth="1"/>
    <col min="9219" max="9219" width="0" hidden="1" customWidth="1"/>
    <col min="9220" max="9220" width="11.5703125" customWidth="1"/>
    <col min="9221" max="9223" width="0" hidden="1" customWidth="1"/>
    <col min="9224" max="9224" width="8.140625" customWidth="1"/>
    <col min="9225" max="9225" width="9.5703125" customWidth="1"/>
    <col min="9226" max="9226" width="14.140625" customWidth="1"/>
    <col min="9227" max="9227" width="8" customWidth="1"/>
    <col min="9228" max="9228" width="0" hidden="1" customWidth="1"/>
    <col min="9229" max="9229" width="12.5703125" customWidth="1"/>
    <col min="9230" max="9230" width="9.28515625" bestFit="1" customWidth="1"/>
    <col min="9231" max="9231" width="10" customWidth="1"/>
    <col min="9232" max="9232" width="12.28515625" customWidth="1"/>
    <col min="9233" max="9233" width="11" customWidth="1"/>
    <col min="9234" max="9234" width="11.85546875" customWidth="1"/>
    <col min="9235" max="9235" width="8" customWidth="1"/>
    <col min="9236" max="9236" width="0" hidden="1" customWidth="1"/>
    <col min="9237" max="9237" width="10.140625" customWidth="1"/>
    <col min="9473" max="9473" width="14.42578125" customWidth="1"/>
    <col min="9474" max="9474" width="12.140625" customWidth="1"/>
    <col min="9475" max="9475" width="0" hidden="1" customWidth="1"/>
    <col min="9476" max="9476" width="11.5703125" customWidth="1"/>
    <col min="9477" max="9479" width="0" hidden="1" customWidth="1"/>
    <col min="9480" max="9480" width="8.140625" customWidth="1"/>
    <col min="9481" max="9481" width="9.5703125" customWidth="1"/>
    <col min="9482" max="9482" width="14.140625" customWidth="1"/>
    <col min="9483" max="9483" width="8" customWidth="1"/>
    <col min="9484" max="9484" width="0" hidden="1" customWidth="1"/>
    <col min="9485" max="9485" width="12.5703125" customWidth="1"/>
    <col min="9486" max="9486" width="9.28515625" bestFit="1" customWidth="1"/>
    <col min="9487" max="9487" width="10" customWidth="1"/>
    <col min="9488" max="9488" width="12.28515625" customWidth="1"/>
    <col min="9489" max="9489" width="11" customWidth="1"/>
    <col min="9490" max="9490" width="11.85546875" customWidth="1"/>
    <col min="9491" max="9491" width="8" customWidth="1"/>
    <col min="9492" max="9492" width="0" hidden="1" customWidth="1"/>
    <col min="9493" max="9493" width="10.140625" customWidth="1"/>
    <col min="9729" max="9729" width="14.42578125" customWidth="1"/>
    <col min="9730" max="9730" width="12.140625" customWidth="1"/>
    <col min="9731" max="9731" width="0" hidden="1" customWidth="1"/>
    <col min="9732" max="9732" width="11.5703125" customWidth="1"/>
    <col min="9733" max="9735" width="0" hidden="1" customWidth="1"/>
    <col min="9736" max="9736" width="8.140625" customWidth="1"/>
    <col min="9737" max="9737" width="9.5703125" customWidth="1"/>
    <col min="9738" max="9738" width="14.140625" customWidth="1"/>
    <col min="9739" max="9739" width="8" customWidth="1"/>
    <col min="9740" max="9740" width="0" hidden="1" customWidth="1"/>
    <col min="9741" max="9741" width="12.5703125" customWidth="1"/>
    <col min="9742" max="9742" width="9.28515625" bestFit="1" customWidth="1"/>
    <col min="9743" max="9743" width="10" customWidth="1"/>
    <col min="9744" max="9744" width="12.28515625" customWidth="1"/>
    <col min="9745" max="9745" width="11" customWidth="1"/>
    <col min="9746" max="9746" width="11.85546875" customWidth="1"/>
    <col min="9747" max="9747" width="8" customWidth="1"/>
    <col min="9748" max="9748" width="0" hidden="1" customWidth="1"/>
    <col min="9749" max="9749" width="10.140625" customWidth="1"/>
    <col min="9985" max="9985" width="14.42578125" customWidth="1"/>
    <col min="9986" max="9986" width="12.140625" customWidth="1"/>
    <col min="9987" max="9987" width="0" hidden="1" customWidth="1"/>
    <col min="9988" max="9988" width="11.5703125" customWidth="1"/>
    <col min="9989" max="9991" width="0" hidden="1" customWidth="1"/>
    <col min="9992" max="9992" width="8.140625" customWidth="1"/>
    <col min="9993" max="9993" width="9.5703125" customWidth="1"/>
    <col min="9994" max="9994" width="14.140625" customWidth="1"/>
    <col min="9995" max="9995" width="8" customWidth="1"/>
    <col min="9996" max="9996" width="0" hidden="1" customWidth="1"/>
    <col min="9997" max="9997" width="12.5703125" customWidth="1"/>
    <col min="9998" max="9998" width="9.28515625" bestFit="1" customWidth="1"/>
    <col min="9999" max="9999" width="10" customWidth="1"/>
    <col min="10000" max="10000" width="12.28515625" customWidth="1"/>
    <col min="10001" max="10001" width="11" customWidth="1"/>
    <col min="10002" max="10002" width="11.85546875" customWidth="1"/>
    <col min="10003" max="10003" width="8" customWidth="1"/>
    <col min="10004" max="10004" width="0" hidden="1" customWidth="1"/>
    <col min="10005" max="10005" width="10.140625" customWidth="1"/>
    <col min="10241" max="10241" width="14.42578125" customWidth="1"/>
    <col min="10242" max="10242" width="12.140625" customWidth="1"/>
    <col min="10243" max="10243" width="0" hidden="1" customWidth="1"/>
    <col min="10244" max="10244" width="11.5703125" customWidth="1"/>
    <col min="10245" max="10247" width="0" hidden="1" customWidth="1"/>
    <col min="10248" max="10248" width="8.140625" customWidth="1"/>
    <col min="10249" max="10249" width="9.5703125" customWidth="1"/>
    <col min="10250" max="10250" width="14.140625" customWidth="1"/>
    <col min="10251" max="10251" width="8" customWidth="1"/>
    <col min="10252" max="10252" width="0" hidden="1" customWidth="1"/>
    <col min="10253" max="10253" width="12.5703125" customWidth="1"/>
    <col min="10254" max="10254" width="9.28515625" bestFit="1" customWidth="1"/>
    <col min="10255" max="10255" width="10" customWidth="1"/>
    <col min="10256" max="10256" width="12.28515625" customWidth="1"/>
    <col min="10257" max="10257" width="11" customWidth="1"/>
    <col min="10258" max="10258" width="11.85546875" customWidth="1"/>
    <col min="10259" max="10259" width="8" customWidth="1"/>
    <col min="10260" max="10260" width="0" hidden="1" customWidth="1"/>
    <col min="10261" max="10261" width="10.140625" customWidth="1"/>
    <col min="10497" max="10497" width="14.42578125" customWidth="1"/>
    <col min="10498" max="10498" width="12.140625" customWidth="1"/>
    <col min="10499" max="10499" width="0" hidden="1" customWidth="1"/>
    <col min="10500" max="10500" width="11.5703125" customWidth="1"/>
    <col min="10501" max="10503" width="0" hidden="1" customWidth="1"/>
    <col min="10504" max="10504" width="8.140625" customWidth="1"/>
    <col min="10505" max="10505" width="9.5703125" customWidth="1"/>
    <col min="10506" max="10506" width="14.140625" customWidth="1"/>
    <col min="10507" max="10507" width="8" customWidth="1"/>
    <col min="10508" max="10508" width="0" hidden="1" customWidth="1"/>
    <col min="10509" max="10509" width="12.5703125" customWidth="1"/>
    <col min="10510" max="10510" width="9.28515625" bestFit="1" customWidth="1"/>
    <col min="10511" max="10511" width="10" customWidth="1"/>
    <col min="10512" max="10512" width="12.28515625" customWidth="1"/>
    <col min="10513" max="10513" width="11" customWidth="1"/>
    <col min="10514" max="10514" width="11.85546875" customWidth="1"/>
    <col min="10515" max="10515" width="8" customWidth="1"/>
    <col min="10516" max="10516" width="0" hidden="1" customWidth="1"/>
    <col min="10517" max="10517" width="10.140625" customWidth="1"/>
    <col min="10753" max="10753" width="14.42578125" customWidth="1"/>
    <col min="10754" max="10754" width="12.140625" customWidth="1"/>
    <col min="10755" max="10755" width="0" hidden="1" customWidth="1"/>
    <col min="10756" max="10756" width="11.5703125" customWidth="1"/>
    <col min="10757" max="10759" width="0" hidden="1" customWidth="1"/>
    <col min="10760" max="10760" width="8.140625" customWidth="1"/>
    <col min="10761" max="10761" width="9.5703125" customWidth="1"/>
    <col min="10762" max="10762" width="14.140625" customWidth="1"/>
    <col min="10763" max="10763" width="8" customWidth="1"/>
    <col min="10764" max="10764" width="0" hidden="1" customWidth="1"/>
    <col min="10765" max="10765" width="12.5703125" customWidth="1"/>
    <col min="10766" max="10766" width="9.28515625" bestFit="1" customWidth="1"/>
    <col min="10767" max="10767" width="10" customWidth="1"/>
    <col min="10768" max="10768" width="12.28515625" customWidth="1"/>
    <col min="10769" max="10769" width="11" customWidth="1"/>
    <col min="10770" max="10770" width="11.85546875" customWidth="1"/>
    <col min="10771" max="10771" width="8" customWidth="1"/>
    <col min="10772" max="10772" width="0" hidden="1" customWidth="1"/>
    <col min="10773" max="10773" width="10.140625" customWidth="1"/>
    <col min="11009" max="11009" width="14.42578125" customWidth="1"/>
    <col min="11010" max="11010" width="12.140625" customWidth="1"/>
    <col min="11011" max="11011" width="0" hidden="1" customWidth="1"/>
    <col min="11012" max="11012" width="11.5703125" customWidth="1"/>
    <col min="11013" max="11015" width="0" hidden="1" customWidth="1"/>
    <col min="11016" max="11016" width="8.140625" customWidth="1"/>
    <col min="11017" max="11017" width="9.5703125" customWidth="1"/>
    <col min="11018" max="11018" width="14.140625" customWidth="1"/>
    <col min="11019" max="11019" width="8" customWidth="1"/>
    <col min="11020" max="11020" width="0" hidden="1" customWidth="1"/>
    <col min="11021" max="11021" width="12.5703125" customWidth="1"/>
    <col min="11022" max="11022" width="9.28515625" bestFit="1" customWidth="1"/>
    <col min="11023" max="11023" width="10" customWidth="1"/>
    <col min="11024" max="11024" width="12.28515625" customWidth="1"/>
    <col min="11025" max="11025" width="11" customWidth="1"/>
    <col min="11026" max="11026" width="11.85546875" customWidth="1"/>
    <col min="11027" max="11027" width="8" customWidth="1"/>
    <col min="11028" max="11028" width="0" hidden="1" customWidth="1"/>
    <col min="11029" max="11029" width="10.140625" customWidth="1"/>
    <col min="11265" max="11265" width="14.42578125" customWidth="1"/>
    <col min="11266" max="11266" width="12.140625" customWidth="1"/>
    <col min="11267" max="11267" width="0" hidden="1" customWidth="1"/>
    <col min="11268" max="11268" width="11.5703125" customWidth="1"/>
    <col min="11269" max="11271" width="0" hidden="1" customWidth="1"/>
    <col min="11272" max="11272" width="8.140625" customWidth="1"/>
    <col min="11273" max="11273" width="9.5703125" customWidth="1"/>
    <col min="11274" max="11274" width="14.140625" customWidth="1"/>
    <col min="11275" max="11275" width="8" customWidth="1"/>
    <col min="11276" max="11276" width="0" hidden="1" customWidth="1"/>
    <col min="11277" max="11277" width="12.5703125" customWidth="1"/>
    <col min="11278" max="11278" width="9.28515625" bestFit="1" customWidth="1"/>
    <col min="11279" max="11279" width="10" customWidth="1"/>
    <col min="11280" max="11280" width="12.28515625" customWidth="1"/>
    <col min="11281" max="11281" width="11" customWidth="1"/>
    <col min="11282" max="11282" width="11.85546875" customWidth="1"/>
    <col min="11283" max="11283" width="8" customWidth="1"/>
    <col min="11284" max="11284" width="0" hidden="1" customWidth="1"/>
    <col min="11285" max="11285" width="10.140625" customWidth="1"/>
    <col min="11521" max="11521" width="14.42578125" customWidth="1"/>
    <col min="11522" max="11522" width="12.140625" customWidth="1"/>
    <col min="11523" max="11523" width="0" hidden="1" customWidth="1"/>
    <col min="11524" max="11524" width="11.5703125" customWidth="1"/>
    <col min="11525" max="11527" width="0" hidden="1" customWidth="1"/>
    <col min="11528" max="11528" width="8.140625" customWidth="1"/>
    <col min="11529" max="11529" width="9.5703125" customWidth="1"/>
    <col min="11530" max="11530" width="14.140625" customWidth="1"/>
    <col min="11531" max="11531" width="8" customWidth="1"/>
    <col min="11532" max="11532" width="0" hidden="1" customWidth="1"/>
    <col min="11533" max="11533" width="12.5703125" customWidth="1"/>
    <col min="11534" max="11534" width="9.28515625" bestFit="1" customWidth="1"/>
    <col min="11535" max="11535" width="10" customWidth="1"/>
    <col min="11536" max="11536" width="12.28515625" customWidth="1"/>
    <col min="11537" max="11537" width="11" customWidth="1"/>
    <col min="11538" max="11538" width="11.85546875" customWidth="1"/>
    <col min="11539" max="11539" width="8" customWidth="1"/>
    <col min="11540" max="11540" width="0" hidden="1" customWidth="1"/>
    <col min="11541" max="11541" width="10.140625" customWidth="1"/>
    <col min="11777" max="11777" width="14.42578125" customWidth="1"/>
    <col min="11778" max="11778" width="12.140625" customWidth="1"/>
    <col min="11779" max="11779" width="0" hidden="1" customWidth="1"/>
    <col min="11780" max="11780" width="11.5703125" customWidth="1"/>
    <col min="11781" max="11783" width="0" hidden="1" customWidth="1"/>
    <col min="11784" max="11784" width="8.140625" customWidth="1"/>
    <col min="11785" max="11785" width="9.5703125" customWidth="1"/>
    <col min="11786" max="11786" width="14.140625" customWidth="1"/>
    <col min="11787" max="11787" width="8" customWidth="1"/>
    <col min="11788" max="11788" width="0" hidden="1" customWidth="1"/>
    <col min="11789" max="11789" width="12.5703125" customWidth="1"/>
    <col min="11790" max="11790" width="9.28515625" bestFit="1" customWidth="1"/>
    <col min="11791" max="11791" width="10" customWidth="1"/>
    <col min="11792" max="11792" width="12.28515625" customWidth="1"/>
    <col min="11793" max="11793" width="11" customWidth="1"/>
    <col min="11794" max="11794" width="11.85546875" customWidth="1"/>
    <col min="11795" max="11795" width="8" customWidth="1"/>
    <col min="11796" max="11796" width="0" hidden="1" customWidth="1"/>
    <col min="11797" max="11797" width="10.140625" customWidth="1"/>
    <col min="12033" max="12033" width="14.42578125" customWidth="1"/>
    <col min="12034" max="12034" width="12.140625" customWidth="1"/>
    <col min="12035" max="12035" width="0" hidden="1" customWidth="1"/>
    <col min="12036" max="12036" width="11.5703125" customWidth="1"/>
    <col min="12037" max="12039" width="0" hidden="1" customWidth="1"/>
    <col min="12040" max="12040" width="8.140625" customWidth="1"/>
    <col min="12041" max="12041" width="9.5703125" customWidth="1"/>
    <col min="12042" max="12042" width="14.140625" customWidth="1"/>
    <col min="12043" max="12043" width="8" customWidth="1"/>
    <col min="12044" max="12044" width="0" hidden="1" customWidth="1"/>
    <col min="12045" max="12045" width="12.5703125" customWidth="1"/>
    <col min="12046" max="12046" width="9.28515625" bestFit="1" customWidth="1"/>
    <col min="12047" max="12047" width="10" customWidth="1"/>
    <col min="12048" max="12048" width="12.28515625" customWidth="1"/>
    <col min="12049" max="12049" width="11" customWidth="1"/>
    <col min="12050" max="12050" width="11.85546875" customWidth="1"/>
    <col min="12051" max="12051" width="8" customWidth="1"/>
    <col min="12052" max="12052" width="0" hidden="1" customWidth="1"/>
    <col min="12053" max="12053" width="10.140625" customWidth="1"/>
    <col min="12289" max="12289" width="14.42578125" customWidth="1"/>
    <col min="12290" max="12290" width="12.140625" customWidth="1"/>
    <col min="12291" max="12291" width="0" hidden="1" customWidth="1"/>
    <col min="12292" max="12292" width="11.5703125" customWidth="1"/>
    <col min="12293" max="12295" width="0" hidden="1" customWidth="1"/>
    <col min="12296" max="12296" width="8.140625" customWidth="1"/>
    <col min="12297" max="12297" width="9.5703125" customWidth="1"/>
    <col min="12298" max="12298" width="14.140625" customWidth="1"/>
    <col min="12299" max="12299" width="8" customWidth="1"/>
    <col min="12300" max="12300" width="0" hidden="1" customWidth="1"/>
    <col min="12301" max="12301" width="12.5703125" customWidth="1"/>
    <col min="12302" max="12302" width="9.28515625" bestFit="1" customWidth="1"/>
    <col min="12303" max="12303" width="10" customWidth="1"/>
    <col min="12304" max="12304" width="12.28515625" customWidth="1"/>
    <col min="12305" max="12305" width="11" customWidth="1"/>
    <col min="12306" max="12306" width="11.85546875" customWidth="1"/>
    <col min="12307" max="12307" width="8" customWidth="1"/>
    <col min="12308" max="12308" width="0" hidden="1" customWidth="1"/>
    <col min="12309" max="12309" width="10.140625" customWidth="1"/>
    <col min="12545" max="12545" width="14.42578125" customWidth="1"/>
    <col min="12546" max="12546" width="12.140625" customWidth="1"/>
    <col min="12547" max="12547" width="0" hidden="1" customWidth="1"/>
    <col min="12548" max="12548" width="11.5703125" customWidth="1"/>
    <col min="12549" max="12551" width="0" hidden="1" customWidth="1"/>
    <col min="12552" max="12552" width="8.140625" customWidth="1"/>
    <col min="12553" max="12553" width="9.5703125" customWidth="1"/>
    <col min="12554" max="12554" width="14.140625" customWidth="1"/>
    <col min="12555" max="12555" width="8" customWidth="1"/>
    <col min="12556" max="12556" width="0" hidden="1" customWidth="1"/>
    <col min="12557" max="12557" width="12.5703125" customWidth="1"/>
    <col min="12558" max="12558" width="9.28515625" bestFit="1" customWidth="1"/>
    <col min="12559" max="12559" width="10" customWidth="1"/>
    <col min="12560" max="12560" width="12.28515625" customWidth="1"/>
    <col min="12561" max="12561" width="11" customWidth="1"/>
    <col min="12562" max="12562" width="11.85546875" customWidth="1"/>
    <col min="12563" max="12563" width="8" customWidth="1"/>
    <col min="12564" max="12564" width="0" hidden="1" customWidth="1"/>
    <col min="12565" max="12565" width="10.140625" customWidth="1"/>
    <col min="12801" max="12801" width="14.42578125" customWidth="1"/>
    <col min="12802" max="12802" width="12.140625" customWidth="1"/>
    <col min="12803" max="12803" width="0" hidden="1" customWidth="1"/>
    <col min="12804" max="12804" width="11.5703125" customWidth="1"/>
    <col min="12805" max="12807" width="0" hidden="1" customWidth="1"/>
    <col min="12808" max="12808" width="8.140625" customWidth="1"/>
    <col min="12809" max="12809" width="9.5703125" customWidth="1"/>
    <col min="12810" max="12810" width="14.140625" customWidth="1"/>
    <col min="12811" max="12811" width="8" customWidth="1"/>
    <col min="12812" max="12812" width="0" hidden="1" customWidth="1"/>
    <col min="12813" max="12813" width="12.5703125" customWidth="1"/>
    <col min="12814" max="12814" width="9.28515625" bestFit="1" customWidth="1"/>
    <col min="12815" max="12815" width="10" customWidth="1"/>
    <col min="12816" max="12816" width="12.28515625" customWidth="1"/>
    <col min="12817" max="12817" width="11" customWidth="1"/>
    <col min="12818" max="12818" width="11.85546875" customWidth="1"/>
    <col min="12819" max="12819" width="8" customWidth="1"/>
    <col min="12820" max="12820" width="0" hidden="1" customWidth="1"/>
    <col min="12821" max="12821" width="10.140625" customWidth="1"/>
    <col min="13057" max="13057" width="14.42578125" customWidth="1"/>
    <col min="13058" max="13058" width="12.140625" customWidth="1"/>
    <col min="13059" max="13059" width="0" hidden="1" customWidth="1"/>
    <col min="13060" max="13060" width="11.5703125" customWidth="1"/>
    <col min="13061" max="13063" width="0" hidden="1" customWidth="1"/>
    <col min="13064" max="13064" width="8.140625" customWidth="1"/>
    <col min="13065" max="13065" width="9.5703125" customWidth="1"/>
    <col min="13066" max="13066" width="14.140625" customWidth="1"/>
    <col min="13067" max="13067" width="8" customWidth="1"/>
    <col min="13068" max="13068" width="0" hidden="1" customWidth="1"/>
    <col min="13069" max="13069" width="12.5703125" customWidth="1"/>
    <col min="13070" max="13070" width="9.28515625" bestFit="1" customWidth="1"/>
    <col min="13071" max="13071" width="10" customWidth="1"/>
    <col min="13072" max="13072" width="12.28515625" customWidth="1"/>
    <col min="13073" max="13073" width="11" customWidth="1"/>
    <col min="13074" max="13074" width="11.85546875" customWidth="1"/>
    <col min="13075" max="13075" width="8" customWidth="1"/>
    <col min="13076" max="13076" width="0" hidden="1" customWidth="1"/>
    <col min="13077" max="13077" width="10.140625" customWidth="1"/>
    <col min="13313" max="13313" width="14.42578125" customWidth="1"/>
    <col min="13314" max="13314" width="12.140625" customWidth="1"/>
    <col min="13315" max="13315" width="0" hidden="1" customWidth="1"/>
    <col min="13316" max="13316" width="11.5703125" customWidth="1"/>
    <col min="13317" max="13319" width="0" hidden="1" customWidth="1"/>
    <col min="13320" max="13320" width="8.140625" customWidth="1"/>
    <col min="13321" max="13321" width="9.5703125" customWidth="1"/>
    <col min="13322" max="13322" width="14.140625" customWidth="1"/>
    <col min="13323" max="13323" width="8" customWidth="1"/>
    <col min="13324" max="13324" width="0" hidden="1" customWidth="1"/>
    <col min="13325" max="13325" width="12.5703125" customWidth="1"/>
    <col min="13326" max="13326" width="9.28515625" bestFit="1" customWidth="1"/>
    <col min="13327" max="13327" width="10" customWidth="1"/>
    <col min="13328" max="13328" width="12.28515625" customWidth="1"/>
    <col min="13329" max="13329" width="11" customWidth="1"/>
    <col min="13330" max="13330" width="11.85546875" customWidth="1"/>
    <col min="13331" max="13331" width="8" customWidth="1"/>
    <col min="13332" max="13332" width="0" hidden="1" customWidth="1"/>
    <col min="13333" max="13333" width="10.140625" customWidth="1"/>
    <col min="13569" max="13569" width="14.42578125" customWidth="1"/>
    <col min="13570" max="13570" width="12.140625" customWidth="1"/>
    <col min="13571" max="13571" width="0" hidden="1" customWidth="1"/>
    <col min="13572" max="13572" width="11.5703125" customWidth="1"/>
    <col min="13573" max="13575" width="0" hidden="1" customWidth="1"/>
    <col min="13576" max="13576" width="8.140625" customWidth="1"/>
    <col min="13577" max="13577" width="9.5703125" customWidth="1"/>
    <col min="13578" max="13578" width="14.140625" customWidth="1"/>
    <col min="13579" max="13579" width="8" customWidth="1"/>
    <col min="13580" max="13580" width="0" hidden="1" customWidth="1"/>
    <col min="13581" max="13581" width="12.5703125" customWidth="1"/>
    <col min="13582" max="13582" width="9.28515625" bestFit="1" customWidth="1"/>
    <col min="13583" max="13583" width="10" customWidth="1"/>
    <col min="13584" max="13584" width="12.28515625" customWidth="1"/>
    <col min="13585" max="13585" width="11" customWidth="1"/>
    <col min="13586" max="13586" width="11.85546875" customWidth="1"/>
    <col min="13587" max="13587" width="8" customWidth="1"/>
    <col min="13588" max="13588" width="0" hidden="1" customWidth="1"/>
    <col min="13589" max="13589" width="10.140625" customWidth="1"/>
    <col min="13825" max="13825" width="14.42578125" customWidth="1"/>
    <col min="13826" max="13826" width="12.140625" customWidth="1"/>
    <col min="13827" max="13827" width="0" hidden="1" customWidth="1"/>
    <col min="13828" max="13828" width="11.5703125" customWidth="1"/>
    <col min="13829" max="13831" width="0" hidden="1" customWidth="1"/>
    <col min="13832" max="13832" width="8.140625" customWidth="1"/>
    <col min="13833" max="13833" width="9.5703125" customWidth="1"/>
    <col min="13834" max="13834" width="14.140625" customWidth="1"/>
    <col min="13835" max="13835" width="8" customWidth="1"/>
    <col min="13836" max="13836" width="0" hidden="1" customWidth="1"/>
    <col min="13837" max="13837" width="12.5703125" customWidth="1"/>
    <col min="13838" max="13838" width="9.28515625" bestFit="1" customWidth="1"/>
    <col min="13839" max="13839" width="10" customWidth="1"/>
    <col min="13840" max="13840" width="12.28515625" customWidth="1"/>
    <col min="13841" max="13841" width="11" customWidth="1"/>
    <col min="13842" max="13842" width="11.85546875" customWidth="1"/>
    <col min="13843" max="13843" width="8" customWidth="1"/>
    <col min="13844" max="13844" width="0" hidden="1" customWidth="1"/>
    <col min="13845" max="13845" width="10.140625" customWidth="1"/>
    <col min="14081" max="14081" width="14.42578125" customWidth="1"/>
    <col min="14082" max="14082" width="12.140625" customWidth="1"/>
    <col min="14083" max="14083" width="0" hidden="1" customWidth="1"/>
    <col min="14084" max="14084" width="11.5703125" customWidth="1"/>
    <col min="14085" max="14087" width="0" hidden="1" customWidth="1"/>
    <col min="14088" max="14088" width="8.140625" customWidth="1"/>
    <col min="14089" max="14089" width="9.5703125" customWidth="1"/>
    <col min="14090" max="14090" width="14.140625" customWidth="1"/>
    <col min="14091" max="14091" width="8" customWidth="1"/>
    <col min="14092" max="14092" width="0" hidden="1" customWidth="1"/>
    <col min="14093" max="14093" width="12.5703125" customWidth="1"/>
    <col min="14094" max="14094" width="9.28515625" bestFit="1" customWidth="1"/>
    <col min="14095" max="14095" width="10" customWidth="1"/>
    <col min="14096" max="14096" width="12.28515625" customWidth="1"/>
    <col min="14097" max="14097" width="11" customWidth="1"/>
    <col min="14098" max="14098" width="11.85546875" customWidth="1"/>
    <col min="14099" max="14099" width="8" customWidth="1"/>
    <col min="14100" max="14100" width="0" hidden="1" customWidth="1"/>
    <col min="14101" max="14101" width="10.140625" customWidth="1"/>
    <col min="14337" max="14337" width="14.42578125" customWidth="1"/>
    <col min="14338" max="14338" width="12.140625" customWidth="1"/>
    <col min="14339" max="14339" width="0" hidden="1" customWidth="1"/>
    <col min="14340" max="14340" width="11.5703125" customWidth="1"/>
    <col min="14341" max="14343" width="0" hidden="1" customWidth="1"/>
    <col min="14344" max="14344" width="8.140625" customWidth="1"/>
    <col min="14345" max="14345" width="9.5703125" customWidth="1"/>
    <col min="14346" max="14346" width="14.140625" customWidth="1"/>
    <col min="14347" max="14347" width="8" customWidth="1"/>
    <col min="14348" max="14348" width="0" hidden="1" customWidth="1"/>
    <col min="14349" max="14349" width="12.5703125" customWidth="1"/>
    <col min="14350" max="14350" width="9.28515625" bestFit="1" customWidth="1"/>
    <col min="14351" max="14351" width="10" customWidth="1"/>
    <col min="14352" max="14352" width="12.28515625" customWidth="1"/>
    <col min="14353" max="14353" width="11" customWidth="1"/>
    <col min="14354" max="14354" width="11.85546875" customWidth="1"/>
    <col min="14355" max="14355" width="8" customWidth="1"/>
    <col min="14356" max="14356" width="0" hidden="1" customWidth="1"/>
    <col min="14357" max="14357" width="10.140625" customWidth="1"/>
    <col min="14593" max="14593" width="14.42578125" customWidth="1"/>
    <col min="14594" max="14594" width="12.140625" customWidth="1"/>
    <col min="14595" max="14595" width="0" hidden="1" customWidth="1"/>
    <col min="14596" max="14596" width="11.5703125" customWidth="1"/>
    <col min="14597" max="14599" width="0" hidden="1" customWidth="1"/>
    <col min="14600" max="14600" width="8.140625" customWidth="1"/>
    <col min="14601" max="14601" width="9.5703125" customWidth="1"/>
    <col min="14602" max="14602" width="14.140625" customWidth="1"/>
    <col min="14603" max="14603" width="8" customWidth="1"/>
    <col min="14604" max="14604" width="0" hidden="1" customWidth="1"/>
    <col min="14605" max="14605" width="12.5703125" customWidth="1"/>
    <col min="14606" max="14606" width="9.28515625" bestFit="1" customWidth="1"/>
    <col min="14607" max="14607" width="10" customWidth="1"/>
    <col min="14608" max="14608" width="12.28515625" customWidth="1"/>
    <col min="14609" max="14609" width="11" customWidth="1"/>
    <col min="14610" max="14610" width="11.85546875" customWidth="1"/>
    <col min="14611" max="14611" width="8" customWidth="1"/>
    <col min="14612" max="14612" width="0" hidden="1" customWidth="1"/>
    <col min="14613" max="14613" width="10.140625" customWidth="1"/>
    <col min="14849" max="14849" width="14.42578125" customWidth="1"/>
    <col min="14850" max="14850" width="12.140625" customWidth="1"/>
    <col min="14851" max="14851" width="0" hidden="1" customWidth="1"/>
    <col min="14852" max="14852" width="11.5703125" customWidth="1"/>
    <col min="14853" max="14855" width="0" hidden="1" customWidth="1"/>
    <col min="14856" max="14856" width="8.140625" customWidth="1"/>
    <col min="14857" max="14857" width="9.5703125" customWidth="1"/>
    <col min="14858" max="14858" width="14.140625" customWidth="1"/>
    <col min="14859" max="14859" width="8" customWidth="1"/>
    <col min="14860" max="14860" width="0" hidden="1" customWidth="1"/>
    <col min="14861" max="14861" width="12.5703125" customWidth="1"/>
    <col min="14862" max="14862" width="9.28515625" bestFit="1" customWidth="1"/>
    <col min="14863" max="14863" width="10" customWidth="1"/>
    <col min="14864" max="14864" width="12.28515625" customWidth="1"/>
    <col min="14865" max="14865" width="11" customWidth="1"/>
    <col min="14866" max="14866" width="11.85546875" customWidth="1"/>
    <col min="14867" max="14867" width="8" customWidth="1"/>
    <col min="14868" max="14868" width="0" hidden="1" customWidth="1"/>
    <col min="14869" max="14869" width="10.140625" customWidth="1"/>
    <col min="15105" max="15105" width="14.42578125" customWidth="1"/>
    <col min="15106" max="15106" width="12.140625" customWidth="1"/>
    <col min="15107" max="15107" width="0" hidden="1" customWidth="1"/>
    <col min="15108" max="15108" width="11.5703125" customWidth="1"/>
    <col min="15109" max="15111" width="0" hidden="1" customWidth="1"/>
    <col min="15112" max="15112" width="8.140625" customWidth="1"/>
    <col min="15113" max="15113" width="9.5703125" customWidth="1"/>
    <col min="15114" max="15114" width="14.140625" customWidth="1"/>
    <col min="15115" max="15115" width="8" customWidth="1"/>
    <col min="15116" max="15116" width="0" hidden="1" customWidth="1"/>
    <col min="15117" max="15117" width="12.5703125" customWidth="1"/>
    <col min="15118" max="15118" width="9.28515625" bestFit="1" customWidth="1"/>
    <col min="15119" max="15119" width="10" customWidth="1"/>
    <col min="15120" max="15120" width="12.28515625" customWidth="1"/>
    <col min="15121" max="15121" width="11" customWidth="1"/>
    <col min="15122" max="15122" width="11.85546875" customWidth="1"/>
    <col min="15123" max="15123" width="8" customWidth="1"/>
    <col min="15124" max="15124" width="0" hidden="1" customWidth="1"/>
    <col min="15125" max="15125" width="10.140625" customWidth="1"/>
    <col min="15361" max="15361" width="14.42578125" customWidth="1"/>
    <col min="15362" max="15362" width="12.140625" customWidth="1"/>
    <col min="15363" max="15363" width="0" hidden="1" customWidth="1"/>
    <col min="15364" max="15364" width="11.5703125" customWidth="1"/>
    <col min="15365" max="15367" width="0" hidden="1" customWidth="1"/>
    <col min="15368" max="15368" width="8.140625" customWidth="1"/>
    <col min="15369" max="15369" width="9.5703125" customWidth="1"/>
    <col min="15370" max="15370" width="14.140625" customWidth="1"/>
    <col min="15371" max="15371" width="8" customWidth="1"/>
    <col min="15372" max="15372" width="0" hidden="1" customWidth="1"/>
    <col min="15373" max="15373" width="12.5703125" customWidth="1"/>
    <col min="15374" max="15374" width="9.28515625" bestFit="1" customWidth="1"/>
    <col min="15375" max="15375" width="10" customWidth="1"/>
    <col min="15376" max="15376" width="12.28515625" customWidth="1"/>
    <col min="15377" max="15377" width="11" customWidth="1"/>
    <col min="15378" max="15378" width="11.85546875" customWidth="1"/>
    <col min="15379" max="15379" width="8" customWidth="1"/>
    <col min="15380" max="15380" width="0" hidden="1" customWidth="1"/>
    <col min="15381" max="15381" width="10.140625" customWidth="1"/>
    <col min="15617" max="15617" width="14.42578125" customWidth="1"/>
    <col min="15618" max="15618" width="12.140625" customWidth="1"/>
    <col min="15619" max="15619" width="0" hidden="1" customWidth="1"/>
    <col min="15620" max="15620" width="11.5703125" customWidth="1"/>
    <col min="15621" max="15623" width="0" hidden="1" customWidth="1"/>
    <col min="15624" max="15624" width="8.140625" customWidth="1"/>
    <col min="15625" max="15625" width="9.5703125" customWidth="1"/>
    <col min="15626" max="15626" width="14.140625" customWidth="1"/>
    <col min="15627" max="15627" width="8" customWidth="1"/>
    <col min="15628" max="15628" width="0" hidden="1" customWidth="1"/>
    <col min="15629" max="15629" width="12.5703125" customWidth="1"/>
    <col min="15630" max="15630" width="9.28515625" bestFit="1" customWidth="1"/>
    <col min="15631" max="15631" width="10" customWidth="1"/>
    <col min="15632" max="15632" width="12.28515625" customWidth="1"/>
    <col min="15633" max="15633" width="11" customWidth="1"/>
    <col min="15634" max="15634" width="11.85546875" customWidth="1"/>
    <col min="15635" max="15635" width="8" customWidth="1"/>
    <col min="15636" max="15636" width="0" hidden="1" customWidth="1"/>
    <col min="15637" max="15637" width="10.140625" customWidth="1"/>
    <col min="15873" max="15873" width="14.42578125" customWidth="1"/>
    <col min="15874" max="15874" width="12.140625" customWidth="1"/>
    <col min="15875" max="15875" width="0" hidden="1" customWidth="1"/>
    <col min="15876" max="15876" width="11.5703125" customWidth="1"/>
    <col min="15877" max="15879" width="0" hidden="1" customWidth="1"/>
    <col min="15880" max="15880" width="8.140625" customWidth="1"/>
    <col min="15881" max="15881" width="9.5703125" customWidth="1"/>
    <col min="15882" max="15882" width="14.140625" customWidth="1"/>
    <col min="15883" max="15883" width="8" customWidth="1"/>
    <col min="15884" max="15884" width="0" hidden="1" customWidth="1"/>
    <col min="15885" max="15885" width="12.5703125" customWidth="1"/>
    <col min="15886" max="15886" width="9.28515625" bestFit="1" customWidth="1"/>
    <col min="15887" max="15887" width="10" customWidth="1"/>
    <col min="15888" max="15888" width="12.28515625" customWidth="1"/>
    <col min="15889" max="15889" width="11" customWidth="1"/>
    <col min="15890" max="15890" width="11.85546875" customWidth="1"/>
    <col min="15891" max="15891" width="8" customWidth="1"/>
    <col min="15892" max="15892" width="0" hidden="1" customWidth="1"/>
    <col min="15893" max="15893" width="10.140625" customWidth="1"/>
    <col min="16129" max="16129" width="14.42578125" customWidth="1"/>
    <col min="16130" max="16130" width="12.140625" customWidth="1"/>
    <col min="16131" max="16131" width="0" hidden="1" customWidth="1"/>
    <col min="16132" max="16132" width="11.5703125" customWidth="1"/>
    <col min="16133" max="16135" width="0" hidden="1" customWidth="1"/>
    <col min="16136" max="16136" width="8.140625" customWidth="1"/>
    <col min="16137" max="16137" width="9.5703125" customWidth="1"/>
    <col min="16138" max="16138" width="14.140625" customWidth="1"/>
    <col min="16139" max="16139" width="8" customWidth="1"/>
    <col min="16140" max="16140" width="0" hidden="1" customWidth="1"/>
    <col min="16141" max="16141" width="12.5703125" customWidth="1"/>
    <col min="16142" max="16142" width="9.28515625" bestFit="1" customWidth="1"/>
    <col min="16143" max="16143" width="10" customWidth="1"/>
    <col min="16144" max="16144" width="12.28515625" customWidth="1"/>
    <col min="16145" max="16145" width="11" customWidth="1"/>
    <col min="16146" max="16146" width="11.85546875" customWidth="1"/>
    <col min="16147" max="16147" width="8" customWidth="1"/>
    <col min="16148" max="16148" width="0" hidden="1" customWidth="1"/>
    <col min="16149" max="16149" width="10.140625" customWidth="1"/>
  </cols>
  <sheetData>
    <row r="1" spans="1:24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308"/>
      <c r="Q1" s="52"/>
      <c r="R1" s="52"/>
    </row>
    <row r="2" spans="1:24" x14ac:dyDescent="0.2">
      <c r="A2" s="308" t="s">
        <v>782</v>
      </c>
      <c r="B2" s="52"/>
      <c r="C2" s="52"/>
      <c r="D2" s="52"/>
      <c r="E2" s="52"/>
      <c r="F2" s="52"/>
      <c r="G2" s="52"/>
      <c r="I2" s="52"/>
      <c r="J2" s="52"/>
      <c r="K2" s="52"/>
      <c r="L2" s="52"/>
      <c r="M2" s="52"/>
      <c r="N2" s="52"/>
      <c r="O2" s="52"/>
      <c r="P2" s="308"/>
      <c r="Q2" s="52"/>
      <c r="R2" s="52"/>
    </row>
    <row r="3" spans="1:24" ht="13.5" thickBot="1" x14ac:dyDescent="0.25">
      <c r="A3" s="308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308"/>
      <c r="R3" s="309" t="s">
        <v>398</v>
      </c>
    </row>
    <row r="4" spans="1:24" ht="13.5" thickBot="1" x14ac:dyDescent="0.25">
      <c r="A4" s="520" t="s">
        <v>399</v>
      </c>
      <c r="B4" s="522" t="s">
        <v>400</v>
      </c>
      <c r="C4" s="420"/>
      <c r="D4" s="532" t="s">
        <v>401</v>
      </c>
      <c r="E4" s="532"/>
      <c r="F4" s="532"/>
      <c r="G4" s="532"/>
      <c r="H4" s="532"/>
      <c r="I4" s="532"/>
      <c r="J4" s="520" t="s">
        <v>399</v>
      </c>
      <c r="K4" s="534" t="s">
        <v>402</v>
      </c>
      <c r="L4" s="535"/>
      <c r="M4" s="535"/>
      <c r="N4" s="535"/>
      <c r="O4" s="535"/>
      <c r="P4" s="536"/>
      <c r="Q4" s="530" t="s">
        <v>783</v>
      </c>
      <c r="R4" s="537" t="s">
        <v>784</v>
      </c>
      <c r="T4" s="528" t="s">
        <v>713</v>
      </c>
    </row>
    <row r="5" spans="1:24" s="314" customFormat="1" ht="36.75" thickBot="1" x14ac:dyDescent="0.25">
      <c r="A5" s="521"/>
      <c r="B5" s="523"/>
      <c r="C5" s="421"/>
      <c r="D5" s="310" t="s">
        <v>403</v>
      </c>
      <c r="E5" s="311" t="s">
        <v>404</v>
      </c>
      <c r="F5" s="311" t="s">
        <v>643</v>
      </c>
      <c r="G5" s="311" t="s">
        <v>714</v>
      </c>
      <c r="H5" s="312" t="s">
        <v>405</v>
      </c>
      <c r="I5" s="313" t="s">
        <v>406</v>
      </c>
      <c r="J5" s="533"/>
      <c r="K5" s="310" t="s">
        <v>407</v>
      </c>
      <c r="L5" s="311" t="s">
        <v>570</v>
      </c>
      <c r="M5" s="311" t="s">
        <v>408</v>
      </c>
      <c r="N5" s="311" t="s">
        <v>409</v>
      </c>
      <c r="O5" s="312" t="s">
        <v>410</v>
      </c>
      <c r="P5" s="313" t="s">
        <v>411</v>
      </c>
      <c r="Q5" s="531"/>
      <c r="R5" s="538"/>
      <c r="S5" s="348" t="s">
        <v>412</v>
      </c>
      <c r="T5" s="529"/>
      <c r="V5"/>
      <c r="W5"/>
      <c r="X5"/>
    </row>
    <row r="6" spans="1:24" x14ac:dyDescent="0.2">
      <c r="A6" s="315" t="s">
        <v>413</v>
      </c>
      <c r="B6" s="349">
        <v>2319</v>
      </c>
      <c r="C6" s="352"/>
      <c r="D6" s="327">
        <v>1160</v>
      </c>
      <c r="E6" s="350"/>
      <c r="F6" s="350"/>
      <c r="G6" s="351">
        <v>0</v>
      </c>
      <c r="H6" s="352">
        <v>10032</v>
      </c>
      <c r="I6" s="316">
        <f t="shared" ref="I6:I18" si="0">SUM(D6:H6)</f>
        <v>11192</v>
      </c>
      <c r="J6" s="353" t="s">
        <v>413</v>
      </c>
      <c r="K6" s="354">
        <f>4320+180+580</f>
        <v>5080</v>
      </c>
      <c r="L6" s="350">
        <v>0</v>
      </c>
      <c r="M6" s="350">
        <v>391</v>
      </c>
      <c r="N6" s="351">
        <v>0</v>
      </c>
      <c r="O6" s="355">
        <v>1150</v>
      </c>
      <c r="P6" s="316">
        <f t="shared" ref="P6:P18" si="1">K6+L6+M6+N6+O6</f>
        <v>6621</v>
      </c>
      <c r="Q6" s="317">
        <f t="shared" ref="Q6:Q19" si="2">I6+P6</f>
        <v>17813</v>
      </c>
      <c r="R6" s="318">
        <v>17843</v>
      </c>
      <c r="S6" s="356">
        <f>Q6-R6</f>
        <v>-30</v>
      </c>
      <c r="T6" s="319">
        <v>0</v>
      </c>
    </row>
    <row r="7" spans="1:24" x14ac:dyDescent="0.2">
      <c r="A7" s="320" t="s">
        <v>414</v>
      </c>
      <c r="B7" s="349">
        <v>591</v>
      </c>
      <c r="C7" s="352"/>
      <c r="D7" s="327">
        <v>295</v>
      </c>
      <c r="E7" s="350"/>
      <c r="F7" s="350"/>
      <c r="G7" s="351">
        <v>0</v>
      </c>
      <c r="H7" s="352">
        <v>2556</v>
      </c>
      <c r="I7" s="316">
        <f t="shared" si="0"/>
        <v>2851</v>
      </c>
      <c r="J7" s="357" t="s">
        <v>414</v>
      </c>
      <c r="K7" s="354">
        <v>180</v>
      </c>
      <c r="L7" s="350">
        <v>0</v>
      </c>
      <c r="M7" s="350">
        <v>234</v>
      </c>
      <c r="N7" s="58">
        <v>0</v>
      </c>
      <c r="O7" s="355">
        <v>0</v>
      </c>
      <c r="P7" s="316">
        <f t="shared" si="1"/>
        <v>414</v>
      </c>
      <c r="Q7" s="317">
        <f t="shared" si="2"/>
        <v>3265</v>
      </c>
      <c r="R7" s="321">
        <v>2756</v>
      </c>
      <c r="S7" s="356">
        <f t="shared" ref="S7:S20" si="3">Q7-R7</f>
        <v>509</v>
      </c>
      <c r="T7" s="322">
        <v>0</v>
      </c>
    </row>
    <row r="8" spans="1:24" x14ac:dyDescent="0.2">
      <c r="A8" s="320" t="s">
        <v>415</v>
      </c>
      <c r="B8" s="349">
        <v>2211</v>
      </c>
      <c r="C8" s="352"/>
      <c r="D8" s="327">
        <v>1106</v>
      </c>
      <c r="E8" s="350"/>
      <c r="F8" s="350"/>
      <c r="G8" s="351">
        <v>0</v>
      </c>
      <c r="H8" s="352">
        <v>9565</v>
      </c>
      <c r="I8" s="316">
        <f>SUM(D8:H8)</f>
        <v>10671</v>
      </c>
      <c r="J8" s="357" t="s">
        <v>415</v>
      </c>
      <c r="K8" s="354">
        <v>0</v>
      </c>
      <c r="L8" s="350">
        <v>0</v>
      </c>
      <c r="M8" s="350">
        <v>996</v>
      </c>
      <c r="N8" s="58">
        <v>0</v>
      </c>
      <c r="O8" s="355">
        <v>0</v>
      </c>
      <c r="P8" s="316">
        <f t="shared" si="1"/>
        <v>996</v>
      </c>
      <c r="Q8" s="317">
        <f t="shared" si="2"/>
        <v>11667</v>
      </c>
      <c r="R8" s="321">
        <v>9834</v>
      </c>
      <c r="S8" s="356">
        <f t="shared" si="3"/>
        <v>1833</v>
      </c>
      <c r="T8" s="322">
        <v>0</v>
      </c>
    </row>
    <row r="9" spans="1:24" x14ac:dyDescent="0.2">
      <c r="A9" s="320" t="s">
        <v>416</v>
      </c>
      <c r="B9" s="349">
        <v>1800</v>
      </c>
      <c r="C9" s="352"/>
      <c r="D9" s="327">
        <v>900</v>
      </c>
      <c r="E9" s="350"/>
      <c r="F9" s="350"/>
      <c r="G9" s="351">
        <v>0</v>
      </c>
      <c r="H9" s="352">
        <v>1810</v>
      </c>
      <c r="I9" s="316">
        <f>SUM(D9:H9)</f>
        <v>2710</v>
      </c>
      <c r="J9" s="357" t="s">
        <v>416</v>
      </c>
      <c r="K9" s="354">
        <v>0</v>
      </c>
      <c r="L9" s="350">
        <v>0</v>
      </c>
      <c r="M9" s="350">
        <v>469</v>
      </c>
      <c r="N9" s="58">
        <v>0</v>
      </c>
      <c r="O9" s="355">
        <v>0</v>
      </c>
      <c r="P9" s="316">
        <f t="shared" si="1"/>
        <v>469</v>
      </c>
      <c r="Q9" s="317">
        <f t="shared" si="2"/>
        <v>3179</v>
      </c>
      <c r="R9" s="321">
        <v>8025</v>
      </c>
      <c r="S9" s="356">
        <f t="shared" si="3"/>
        <v>-4846</v>
      </c>
      <c r="T9" s="322">
        <v>0</v>
      </c>
      <c r="U9" s="379"/>
    </row>
    <row r="10" spans="1:24" x14ac:dyDescent="0.2">
      <c r="A10" s="320" t="s">
        <v>417</v>
      </c>
      <c r="B10" s="349">
        <v>616</v>
      </c>
      <c r="C10" s="352"/>
      <c r="D10" s="327">
        <v>308</v>
      </c>
      <c r="E10" s="350"/>
      <c r="F10" s="350"/>
      <c r="G10" s="351">
        <v>0</v>
      </c>
      <c r="H10" s="352">
        <v>1328</v>
      </c>
      <c r="I10" s="316">
        <f t="shared" si="0"/>
        <v>1636</v>
      </c>
      <c r="J10" s="357" t="s">
        <v>417</v>
      </c>
      <c r="K10" s="354">
        <v>0</v>
      </c>
      <c r="L10" s="350">
        <v>0</v>
      </c>
      <c r="M10" s="350">
        <v>371</v>
      </c>
      <c r="N10" s="58">
        <v>0</v>
      </c>
      <c r="O10" s="355">
        <v>225</v>
      </c>
      <c r="P10" s="316">
        <f t="shared" si="1"/>
        <v>596</v>
      </c>
      <c r="Q10" s="317">
        <f t="shared" si="2"/>
        <v>2232</v>
      </c>
      <c r="R10" s="321">
        <v>2669</v>
      </c>
      <c r="S10" s="356">
        <f t="shared" si="3"/>
        <v>-437</v>
      </c>
      <c r="T10" s="322">
        <v>0</v>
      </c>
    </row>
    <row r="11" spans="1:24" x14ac:dyDescent="0.2">
      <c r="A11" s="422" t="s">
        <v>418</v>
      </c>
      <c r="B11" s="423">
        <v>542</v>
      </c>
      <c r="C11" s="424"/>
      <c r="D11" s="425">
        <v>271</v>
      </c>
      <c r="E11" s="426"/>
      <c r="F11" s="426"/>
      <c r="G11" s="427">
        <v>0</v>
      </c>
      <c r="H11" s="424">
        <v>1167</v>
      </c>
      <c r="I11" s="428">
        <f t="shared" si="0"/>
        <v>1438</v>
      </c>
      <c r="J11" s="429" t="s">
        <v>418</v>
      </c>
      <c r="K11" s="430">
        <v>180</v>
      </c>
      <c r="L11" s="426">
        <v>0</v>
      </c>
      <c r="M11" s="426">
        <v>156</v>
      </c>
      <c r="N11" s="431">
        <v>0</v>
      </c>
      <c r="O11" s="432">
        <v>0</v>
      </c>
      <c r="P11" s="428">
        <f t="shared" si="1"/>
        <v>336</v>
      </c>
      <c r="Q11" s="428">
        <f t="shared" si="2"/>
        <v>1774</v>
      </c>
      <c r="R11" s="321">
        <v>2057</v>
      </c>
      <c r="S11" s="356">
        <f t="shared" si="3"/>
        <v>-283</v>
      </c>
      <c r="T11" s="322">
        <v>0</v>
      </c>
    </row>
    <row r="12" spans="1:24" x14ac:dyDescent="0.2">
      <c r="A12" s="320" t="s">
        <v>419</v>
      </c>
      <c r="B12" s="349">
        <v>1466</v>
      </c>
      <c r="C12" s="352"/>
      <c r="D12" s="327">
        <v>733</v>
      </c>
      <c r="E12" s="350"/>
      <c r="F12" s="350"/>
      <c r="G12" s="351">
        <v>0</v>
      </c>
      <c r="H12" s="352">
        <v>3160</v>
      </c>
      <c r="I12" s="316">
        <f t="shared" si="0"/>
        <v>3893</v>
      </c>
      <c r="J12" s="357" t="s">
        <v>419</v>
      </c>
      <c r="K12" s="354">
        <v>0</v>
      </c>
      <c r="L12" s="350">
        <v>0</v>
      </c>
      <c r="M12" s="350">
        <v>0</v>
      </c>
      <c r="N12" s="58">
        <v>0</v>
      </c>
      <c r="O12" s="355">
        <v>825</v>
      </c>
      <c r="P12" s="316">
        <f t="shared" si="1"/>
        <v>825</v>
      </c>
      <c r="Q12" s="317">
        <f t="shared" si="2"/>
        <v>4718</v>
      </c>
      <c r="R12" s="321">
        <v>5935</v>
      </c>
      <c r="S12" s="356">
        <f t="shared" si="3"/>
        <v>-1217</v>
      </c>
      <c r="T12" s="322">
        <v>0</v>
      </c>
    </row>
    <row r="13" spans="1:24" x14ac:dyDescent="0.2">
      <c r="A13" s="320" t="s">
        <v>420</v>
      </c>
      <c r="B13" s="349">
        <v>545</v>
      </c>
      <c r="C13" s="352"/>
      <c r="D13" s="327">
        <v>273</v>
      </c>
      <c r="E13" s="350"/>
      <c r="F13" s="350"/>
      <c r="G13" s="351">
        <v>0</v>
      </c>
      <c r="H13" s="352">
        <v>1177</v>
      </c>
      <c r="I13" s="316">
        <f t="shared" si="0"/>
        <v>1450</v>
      </c>
      <c r="J13" s="357" t="s">
        <v>420</v>
      </c>
      <c r="K13" s="354">
        <v>180</v>
      </c>
      <c r="L13" s="350">
        <v>0</v>
      </c>
      <c r="M13" s="350">
        <v>509</v>
      </c>
      <c r="N13" s="58">
        <v>0</v>
      </c>
      <c r="O13" s="355">
        <v>0</v>
      </c>
      <c r="P13" s="316">
        <f t="shared" si="1"/>
        <v>689</v>
      </c>
      <c r="Q13" s="317">
        <f t="shared" si="2"/>
        <v>2139</v>
      </c>
      <c r="R13" s="321">
        <v>2474</v>
      </c>
      <c r="S13" s="356">
        <f t="shared" si="3"/>
        <v>-335</v>
      </c>
      <c r="T13" s="322">
        <v>0</v>
      </c>
      <c r="U13" s="358"/>
    </row>
    <row r="14" spans="1:24" x14ac:dyDescent="0.2">
      <c r="A14" s="320" t="s">
        <v>421</v>
      </c>
      <c r="B14" s="349">
        <v>391</v>
      </c>
      <c r="C14" s="352"/>
      <c r="D14" s="327">
        <v>195</v>
      </c>
      <c r="E14" s="350"/>
      <c r="F14" s="350"/>
      <c r="G14" s="351">
        <v>0</v>
      </c>
      <c r="H14" s="352">
        <v>842</v>
      </c>
      <c r="I14" s="316">
        <f>SUM(D14:H14)</f>
        <v>1037</v>
      </c>
      <c r="J14" s="357" t="s">
        <v>421</v>
      </c>
      <c r="K14" s="354">
        <v>180</v>
      </c>
      <c r="L14" s="350">
        <v>0</v>
      </c>
      <c r="M14" s="350">
        <v>820</v>
      </c>
      <c r="N14" s="58">
        <v>0</v>
      </c>
      <c r="O14" s="355">
        <v>0</v>
      </c>
      <c r="P14" s="316">
        <f t="shared" si="1"/>
        <v>1000</v>
      </c>
      <c r="Q14" s="317">
        <f t="shared" si="2"/>
        <v>2037</v>
      </c>
      <c r="R14" s="321">
        <v>2207</v>
      </c>
      <c r="S14" s="356">
        <f t="shared" si="3"/>
        <v>-170</v>
      </c>
      <c r="T14" s="322">
        <v>0</v>
      </c>
      <c r="U14" s="323"/>
    </row>
    <row r="15" spans="1:24" x14ac:dyDescent="0.2">
      <c r="A15" s="320" t="s">
        <v>422</v>
      </c>
      <c r="B15" s="349">
        <v>441</v>
      </c>
      <c r="C15" s="352"/>
      <c r="D15" s="327">
        <v>220</v>
      </c>
      <c r="E15" s="350"/>
      <c r="F15" s="350"/>
      <c r="G15" s="351">
        <v>0</v>
      </c>
      <c r="H15" s="352">
        <v>951</v>
      </c>
      <c r="I15" s="316">
        <f t="shared" si="0"/>
        <v>1171</v>
      </c>
      <c r="J15" s="357" t="s">
        <v>422</v>
      </c>
      <c r="K15" s="354">
        <v>0</v>
      </c>
      <c r="L15" s="350">
        <v>0</v>
      </c>
      <c r="M15" s="350">
        <v>352</v>
      </c>
      <c r="N15" s="58">
        <v>0</v>
      </c>
      <c r="O15" s="355">
        <v>0</v>
      </c>
      <c r="P15" s="316">
        <f t="shared" si="1"/>
        <v>352</v>
      </c>
      <c r="Q15" s="317">
        <f t="shared" si="2"/>
        <v>1523</v>
      </c>
      <c r="R15" s="321">
        <v>1568</v>
      </c>
      <c r="S15" s="356">
        <f t="shared" si="3"/>
        <v>-45</v>
      </c>
      <c r="T15" s="322">
        <v>0</v>
      </c>
      <c r="U15" s="323"/>
    </row>
    <row r="16" spans="1:24" x14ac:dyDescent="0.2">
      <c r="A16" s="320" t="s">
        <v>423</v>
      </c>
      <c r="B16" s="349">
        <v>669</v>
      </c>
      <c r="C16" s="352"/>
      <c r="D16" s="327">
        <v>335</v>
      </c>
      <c r="E16" s="350"/>
      <c r="F16" s="350"/>
      <c r="G16" s="351">
        <v>0</v>
      </c>
      <c r="H16" s="352">
        <v>2894</v>
      </c>
      <c r="I16" s="316">
        <f t="shared" si="0"/>
        <v>3229</v>
      </c>
      <c r="J16" s="357" t="s">
        <v>423</v>
      </c>
      <c r="K16" s="354">
        <v>180</v>
      </c>
      <c r="L16" s="350">
        <v>0</v>
      </c>
      <c r="M16" s="350">
        <v>234</v>
      </c>
      <c r="N16" s="58">
        <v>0</v>
      </c>
      <c r="O16" s="355">
        <v>0</v>
      </c>
      <c r="P16" s="316">
        <f t="shared" si="1"/>
        <v>414</v>
      </c>
      <c r="Q16" s="317">
        <f t="shared" si="2"/>
        <v>3643</v>
      </c>
      <c r="R16" s="321">
        <v>3094</v>
      </c>
      <c r="S16" s="356">
        <f t="shared" si="3"/>
        <v>549</v>
      </c>
      <c r="T16" s="322">
        <v>0</v>
      </c>
      <c r="U16" s="323"/>
    </row>
    <row r="17" spans="1:21" x14ac:dyDescent="0.2">
      <c r="A17" s="320" t="s">
        <v>424</v>
      </c>
      <c r="B17" s="349">
        <v>574</v>
      </c>
      <c r="C17" s="352"/>
      <c r="D17" s="327">
        <v>287</v>
      </c>
      <c r="E17" s="328"/>
      <c r="F17" s="350"/>
      <c r="G17" s="58">
        <v>0</v>
      </c>
      <c r="H17" s="352">
        <v>1237</v>
      </c>
      <c r="I17" s="330">
        <f>SUM(D17:H17)</f>
        <v>1524</v>
      </c>
      <c r="J17" s="357" t="s">
        <v>424</v>
      </c>
      <c r="K17" s="332">
        <v>180</v>
      </c>
      <c r="L17" s="350">
        <v>0</v>
      </c>
      <c r="M17" s="328">
        <v>430</v>
      </c>
      <c r="N17" s="58">
        <v>0</v>
      </c>
      <c r="O17" s="355">
        <v>0</v>
      </c>
      <c r="P17" s="316">
        <f t="shared" si="1"/>
        <v>610</v>
      </c>
      <c r="Q17" s="324">
        <f t="shared" si="2"/>
        <v>2134</v>
      </c>
      <c r="R17" s="321">
        <v>2252</v>
      </c>
      <c r="S17" s="356">
        <f t="shared" si="3"/>
        <v>-118</v>
      </c>
      <c r="T17" s="322">
        <v>0</v>
      </c>
      <c r="U17" s="323"/>
    </row>
    <row r="18" spans="1:21" x14ac:dyDescent="0.2">
      <c r="A18" s="320" t="s">
        <v>425</v>
      </c>
      <c r="B18" s="349">
        <v>225</v>
      </c>
      <c r="C18" s="352"/>
      <c r="D18" s="327">
        <v>112</v>
      </c>
      <c r="E18" s="328"/>
      <c r="F18" s="350"/>
      <c r="G18" s="58">
        <v>0</v>
      </c>
      <c r="H18" s="352">
        <v>485</v>
      </c>
      <c r="I18" s="330">
        <f t="shared" si="0"/>
        <v>597</v>
      </c>
      <c r="J18" s="357" t="s">
        <v>425</v>
      </c>
      <c r="K18" s="332">
        <v>0</v>
      </c>
      <c r="L18" s="350">
        <v>0</v>
      </c>
      <c r="M18" s="328">
        <v>742</v>
      </c>
      <c r="N18" s="58">
        <v>0</v>
      </c>
      <c r="O18" s="355">
        <v>0</v>
      </c>
      <c r="P18" s="316">
        <f t="shared" si="1"/>
        <v>742</v>
      </c>
      <c r="Q18" s="324">
        <f t="shared" si="2"/>
        <v>1339</v>
      </c>
      <c r="R18" s="321">
        <v>1264</v>
      </c>
      <c r="S18" s="356">
        <f t="shared" si="3"/>
        <v>75</v>
      </c>
      <c r="T18" s="322">
        <v>0</v>
      </c>
      <c r="U18" s="358"/>
    </row>
    <row r="19" spans="1:21" hidden="1" x14ac:dyDescent="0.2">
      <c r="A19" s="325" t="s">
        <v>426</v>
      </c>
      <c r="B19" s="326"/>
      <c r="C19" s="433"/>
      <c r="D19" s="327"/>
      <c r="E19" s="328"/>
      <c r="F19" s="328"/>
      <c r="G19" s="58"/>
      <c r="H19" s="329"/>
      <c r="I19" s="330"/>
      <c r="J19" s="331" t="s">
        <v>426</v>
      </c>
      <c r="K19" s="332"/>
      <c r="L19" s="350">
        <f>[3]Jelzőrendszer!C31</f>
        <v>0</v>
      </c>
      <c r="M19" s="328">
        <f>SUM('[3]Családsegítés, gyerm.jólét'!V57)</f>
        <v>0</v>
      </c>
      <c r="N19" s="58"/>
      <c r="O19" s="355">
        <f>'[3]Püg.,TV, étkeztetés '!C33+'[3]Püg.,TV, étkeztetés '!H33</f>
        <v>2200</v>
      </c>
      <c r="P19" s="330" t="e">
        <f>K19+#REF!+M19+N19+O19</f>
        <v>#REF!</v>
      </c>
      <c r="Q19" s="324" t="e">
        <f t="shared" si="2"/>
        <v>#REF!</v>
      </c>
      <c r="R19" s="321" t="e">
        <v>#REF!</v>
      </c>
      <c r="S19" s="356" t="e">
        <f t="shared" si="3"/>
        <v>#REF!</v>
      </c>
      <c r="T19" s="322"/>
    </row>
    <row r="20" spans="1:21" ht="13.5" thickBot="1" x14ac:dyDescent="0.25">
      <c r="A20" s="333" t="s">
        <v>40</v>
      </c>
      <c r="B20" s="334">
        <f>SUM(B6:B19)</f>
        <v>12390</v>
      </c>
      <c r="C20" s="337"/>
      <c r="D20" s="335">
        <f t="shared" ref="D20:I20" si="4">SUM(D6:D18)</f>
        <v>6195</v>
      </c>
      <c r="E20" s="336">
        <f t="shared" si="4"/>
        <v>0</v>
      </c>
      <c r="F20" s="336">
        <f t="shared" si="4"/>
        <v>0</v>
      </c>
      <c r="G20" s="336">
        <f t="shared" si="4"/>
        <v>0</v>
      </c>
      <c r="H20" s="337">
        <f t="shared" si="4"/>
        <v>37204</v>
      </c>
      <c r="I20" s="334">
        <f t="shared" si="4"/>
        <v>43399</v>
      </c>
      <c r="J20" s="338" t="s">
        <v>40</v>
      </c>
      <c r="K20" s="335">
        <f>SUM(K6:K18)</f>
        <v>6160</v>
      </c>
      <c r="L20" s="335">
        <f>SUM(L6:L18)</f>
        <v>0</v>
      </c>
      <c r="M20" s="336">
        <f>SUM(M6:M19)</f>
        <v>5704</v>
      </c>
      <c r="N20" s="336">
        <f>SUM(N6:N18)</f>
        <v>0</v>
      </c>
      <c r="O20" s="339">
        <f>SUM(O6:O18)</f>
        <v>2200</v>
      </c>
      <c r="P20" s="334">
        <f>SUM(K20:O20)</f>
        <v>14064</v>
      </c>
      <c r="Q20" s="440">
        <f>SUM(Q6:Q18)</f>
        <v>57463</v>
      </c>
      <c r="R20" s="340">
        <f>SUM(R6:R18)</f>
        <v>61978</v>
      </c>
      <c r="S20" s="360">
        <f t="shared" si="3"/>
        <v>-4515</v>
      </c>
      <c r="T20" s="341">
        <f>SUM(T6:T18)</f>
        <v>0</v>
      </c>
    </row>
    <row r="21" spans="1:21" ht="12.75" hidden="1" customHeight="1" x14ac:dyDescent="0.2">
      <c r="A21" s="343"/>
      <c r="B21" s="343"/>
      <c r="C21" s="343"/>
      <c r="D21" s="343"/>
      <c r="E21" s="356">
        <f>SUM(D20+E20+F20)</f>
        <v>6195</v>
      </c>
      <c r="G21" s="359"/>
      <c r="H21" s="359"/>
      <c r="I21" s="359"/>
      <c r="J21" s="343"/>
      <c r="K21" s="343"/>
      <c r="L21" s="343"/>
      <c r="M21" s="343"/>
      <c r="N21" s="343"/>
      <c r="O21" s="343"/>
      <c r="P21" s="359"/>
      <c r="Q21" s="359"/>
      <c r="R21" s="360"/>
      <c r="S21" s="356"/>
    </row>
    <row r="22" spans="1:21" hidden="1" x14ac:dyDescent="0.2">
      <c r="A22" s="520" t="s">
        <v>399</v>
      </c>
      <c r="B22" s="524" t="s">
        <v>785</v>
      </c>
      <c r="C22" s="526" t="s">
        <v>571</v>
      </c>
      <c r="G22" s="342"/>
      <c r="P22"/>
      <c r="S22"/>
    </row>
    <row r="23" spans="1:21" ht="57" hidden="1" customHeight="1" x14ac:dyDescent="0.2">
      <c r="A23" s="521"/>
      <c r="B23" s="525"/>
      <c r="C23" s="527"/>
      <c r="P23"/>
      <c r="S23"/>
    </row>
    <row r="24" spans="1:21" ht="12.75" hidden="1" customHeight="1" thickBot="1" x14ac:dyDescent="0.25">
      <c r="A24" s="315" t="s">
        <v>413</v>
      </c>
      <c r="B24" s="361"/>
      <c r="C24" s="370">
        <v>3640</v>
      </c>
      <c r="P24"/>
      <c r="S24"/>
    </row>
    <row r="25" spans="1:21" hidden="1" x14ac:dyDescent="0.2">
      <c r="A25" s="320" t="s">
        <v>414</v>
      </c>
      <c r="B25" s="361"/>
      <c r="C25" s="370">
        <v>642</v>
      </c>
      <c r="P25"/>
      <c r="S25"/>
    </row>
    <row r="26" spans="1:21" hidden="1" x14ac:dyDescent="0.2">
      <c r="A26" s="320" t="s">
        <v>415</v>
      </c>
      <c r="B26" s="361"/>
      <c r="C26" s="370">
        <v>2891</v>
      </c>
      <c r="P26"/>
      <c r="S26"/>
    </row>
    <row r="27" spans="1:21" hidden="1" x14ac:dyDescent="0.2">
      <c r="A27" s="320" t="s">
        <v>416</v>
      </c>
      <c r="B27" s="361"/>
      <c r="C27" s="370">
        <v>0</v>
      </c>
      <c r="P27"/>
      <c r="S27"/>
    </row>
    <row r="28" spans="1:21" hidden="1" x14ac:dyDescent="0.2">
      <c r="A28" s="320" t="s">
        <v>417</v>
      </c>
      <c r="B28" s="361"/>
      <c r="C28" s="370">
        <v>642</v>
      </c>
      <c r="P28"/>
      <c r="S28"/>
    </row>
    <row r="29" spans="1:21" hidden="1" x14ac:dyDescent="0.2">
      <c r="A29" s="320" t="s">
        <v>418</v>
      </c>
      <c r="B29" s="361"/>
      <c r="C29" s="370">
        <v>642</v>
      </c>
      <c r="P29"/>
      <c r="S29"/>
    </row>
    <row r="30" spans="1:21" hidden="1" x14ac:dyDescent="0.2">
      <c r="A30" s="320" t="s">
        <v>419</v>
      </c>
      <c r="B30" s="361"/>
      <c r="C30" s="370">
        <v>1499</v>
      </c>
      <c r="P30"/>
      <c r="S30"/>
    </row>
    <row r="31" spans="1:21" hidden="1" x14ac:dyDescent="0.2">
      <c r="A31" s="320" t="s">
        <v>420</v>
      </c>
      <c r="B31" s="361"/>
      <c r="C31" s="370">
        <v>642</v>
      </c>
      <c r="P31"/>
      <c r="S31"/>
    </row>
    <row r="32" spans="1:21" hidden="1" x14ac:dyDescent="0.2">
      <c r="A32" s="320" t="s">
        <v>421</v>
      </c>
      <c r="B32" s="361"/>
      <c r="C32" s="370">
        <v>642</v>
      </c>
      <c r="P32"/>
      <c r="S32"/>
    </row>
    <row r="33" spans="1:19" hidden="1" x14ac:dyDescent="0.2">
      <c r="A33" s="320" t="s">
        <v>422</v>
      </c>
      <c r="B33" s="361"/>
      <c r="C33" s="370">
        <v>108</v>
      </c>
      <c r="P33"/>
      <c r="S33"/>
    </row>
    <row r="34" spans="1:19" hidden="1" x14ac:dyDescent="0.2">
      <c r="A34" s="320" t="s">
        <v>423</v>
      </c>
      <c r="B34" s="361"/>
      <c r="C34" s="370">
        <v>322</v>
      </c>
      <c r="P34"/>
      <c r="S34"/>
    </row>
    <row r="35" spans="1:19" hidden="1" x14ac:dyDescent="0.2">
      <c r="A35" s="320" t="s">
        <v>424</v>
      </c>
      <c r="B35" s="361"/>
      <c r="C35" s="371">
        <v>642</v>
      </c>
      <c r="P35"/>
      <c r="S35"/>
    </row>
    <row r="36" spans="1:19" hidden="1" x14ac:dyDescent="0.2">
      <c r="A36" s="320" t="s">
        <v>425</v>
      </c>
      <c r="B36" s="361"/>
      <c r="C36" s="371">
        <v>0</v>
      </c>
      <c r="P36"/>
      <c r="S36"/>
    </row>
    <row r="37" spans="1:19" ht="13.5" hidden="1" customHeight="1" x14ac:dyDescent="0.2">
      <c r="A37" s="333" t="s">
        <v>40</v>
      </c>
      <c r="B37" s="362">
        <f>SUM(B24:B36)</f>
        <v>0</v>
      </c>
      <c r="C37" s="372">
        <f>SUM(C24:C36)</f>
        <v>12312</v>
      </c>
      <c r="P37"/>
      <c r="S37"/>
    </row>
    <row r="38" spans="1:19" ht="12.75" hidden="1" customHeight="1" thickBot="1" x14ac:dyDescent="0.25">
      <c r="P38"/>
      <c r="S38"/>
    </row>
    <row r="39" spans="1:19" ht="12.75" hidden="1" customHeight="1" x14ac:dyDescent="0.2">
      <c r="B39" s="434"/>
      <c r="C39" s="434"/>
      <c r="P39"/>
      <c r="S39"/>
    </row>
    <row r="40" spans="1:19" ht="12.75" hidden="1" customHeight="1" x14ac:dyDescent="0.2">
      <c r="B40" s="434"/>
    </row>
    <row r="41" spans="1:19" x14ac:dyDescent="0.2">
      <c r="B41" s="434"/>
    </row>
    <row r="42" spans="1:19" x14ac:dyDescent="0.2">
      <c r="B42" s="434"/>
    </row>
    <row r="43" spans="1:19" x14ac:dyDescent="0.2">
      <c r="B43" s="434"/>
    </row>
    <row r="44" spans="1:19" x14ac:dyDescent="0.2">
      <c r="B44" s="434"/>
    </row>
    <row r="45" spans="1:19" x14ac:dyDescent="0.2">
      <c r="B45" s="434"/>
    </row>
    <row r="46" spans="1:19" x14ac:dyDescent="0.2">
      <c r="B46" s="434"/>
    </row>
    <row r="47" spans="1:19" x14ac:dyDescent="0.2">
      <c r="B47" s="434"/>
    </row>
    <row r="48" spans="1:19" x14ac:dyDescent="0.2">
      <c r="B48" s="434"/>
    </row>
    <row r="49" spans="2:2" x14ac:dyDescent="0.2">
      <c r="B49" s="434"/>
    </row>
    <row r="50" spans="2:2" x14ac:dyDescent="0.2">
      <c r="B50" s="434"/>
    </row>
    <row r="51" spans="2:2" x14ac:dyDescent="0.2">
      <c r="B51" s="434"/>
    </row>
    <row r="52" spans="2:2" x14ac:dyDescent="0.2">
      <c r="B52" s="434"/>
    </row>
    <row r="53" spans="2:2" x14ac:dyDescent="0.2">
      <c r="B53" s="434"/>
    </row>
    <row r="54" spans="2:2" x14ac:dyDescent="0.2">
      <c r="B54" s="434"/>
    </row>
    <row r="55" spans="2:2" x14ac:dyDescent="0.2">
      <c r="B55" s="434"/>
    </row>
    <row r="56" spans="2:2" x14ac:dyDescent="0.2">
      <c r="B56" s="434"/>
    </row>
    <row r="57" spans="2:2" x14ac:dyDescent="0.2">
      <c r="B57" s="434"/>
    </row>
    <row r="58" spans="2:2" x14ac:dyDescent="0.2">
      <c r="B58" s="434"/>
    </row>
  </sheetData>
  <mergeCells count="11">
    <mergeCell ref="T4:T5"/>
    <mergeCell ref="Q4:Q5"/>
    <mergeCell ref="D4:I4"/>
    <mergeCell ref="J4:J5"/>
    <mergeCell ref="K4:P4"/>
    <mergeCell ref="R4:R5"/>
    <mergeCell ref="A4:A5"/>
    <mergeCell ref="B4:B5"/>
    <mergeCell ref="A22:A23"/>
    <mergeCell ref="B22:B23"/>
    <mergeCell ref="C22:C23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744"/>
  <sheetViews>
    <sheetView tabSelected="1" topLeftCell="A10" zoomScaleNormal="100" workbookViewId="0">
      <selection activeCell="A82" sqref="A82"/>
    </sheetView>
  </sheetViews>
  <sheetFormatPr defaultRowHeight="12.75" x14ac:dyDescent="0.2"/>
  <cols>
    <col min="1" max="1" width="6.28515625" style="2" customWidth="1"/>
    <col min="2" max="2" width="69" customWidth="1"/>
    <col min="3" max="3" width="15.140625" customWidth="1"/>
    <col min="4" max="4" width="15.140625" hidden="1" customWidth="1"/>
    <col min="5" max="5" width="14.5703125" hidden="1" customWidth="1"/>
    <col min="6" max="6" width="15.7109375" hidden="1" customWidth="1"/>
    <col min="7" max="7" width="15.7109375" style="35" hidden="1" customWidth="1"/>
    <col min="8" max="8" width="10.85546875" style="9" customWidth="1"/>
    <col min="9" max="9" width="9.140625" customWidth="1"/>
    <col min="10" max="10" width="10" customWidth="1"/>
    <col min="11" max="11" width="9.140625" customWidth="1"/>
  </cols>
  <sheetData>
    <row r="1" spans="1:49" ht="15" customHeight="1" x14ac:dyDescent="0.3">
      <c r="A1" s="54"/>
      <c r="B1" s="33"/>
      <c r="C1" s="55" t="s">
        <v>482</v>
      </c>
      <c r="H1" s="2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15" customHeight="1" x14ac:dyDescent="0.3">
      <c r="A2" s="54"/>
      <c r="B2" s="33"/>
      <c r="C2" s="55" t="s">
        <v>840</v>
      </c>
      <c r="H2" s="2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15" customHeight="1" x14ac:dyDescent="0.3">
      <c r="A3" s="54"/>
      <c r="B3" s="33"/>
      <c r="D3" s="55"/>
      <c r="E3" s="55"/>
      <c r="H3" s="2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ht="15" customHeight="1" x14ac:dyDescent="0.3">
      <c r="A4" s="54"/>
      <c r="B4" s="33"/>
      <c r="D4" s="55"/>
      <c r="E4" s="55"/>
      <c r="H4" s="2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ht="19.5" x14ac:dyDescent="0.35">
      <c r="A5" s="447" t="s">
        <v>369</v>
      </c>
      <c r="B5" s="447"/>
      <c r="C5" s="447"/>
      <c r="D5" s="447"/>
      <c r="E5" s="447"/>
      <c r="F5" s="376"/>
      <c r="G5" s="377"/>
      <c r="H5" s="2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49" ht="19.5" x14ac:dyDescent="0.35">
      <c r="A6" s="447" t="s">
        <v>788</v>
      </c>
      <c r="B6" s="447"/>
      <c r="C6" s="447"/>
      <c r="D6" s="447"/>
      <c r="E6" s="447"/>
      <c r="F6" s="447"/>
      <c r="G6" s="447"/>
      <c r="H6" s="2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ht="13.5" thickBot="1" x14ac:dyDescent="0.25">
      <c r="A7" s="54"/>
      <c r="B7" s="1"/>
      <c r="C7" s="55" t="s">
        <v>0</v>
      </c>
      <c r="H7" s="2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ht="53.25" customHeight="1" thickBot="1" x14ac:dyDescent="0.25">
      <c r="A8" s="166" t="s">
        <v>106</v>
      </c>
      <c r="B8" s="158" t="s">
        <v>14</v>
      </c>
      <c r="C8" s="217" t="s">
        <v>789</v>
      </c>
      <c r="D8" s="217" t="s">
        <v>776</v>
      </c>
      <c r="E8" s="217" t="s">
        <v>662</v>
      </c>
      <c r="F8" s="217" t="s">
        <v>663</v>
      </c>
      <c r="G8" s="240" t="s">
        <v>664</v>
      </c>
      <c r="H8" s="27"/>
      <c r="I8" s="26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ht="20.25" customHeight="1" x14ac:dyDescent="0.2">
      <c r="A9" s="167" t="s">
        <v>107</v>
      </c>
      <c r="B9" s="159" t="s">
        <v>353</v>
      </c>
      <c r="C9" s="207">
        <f>SUM(C10+C17+C23+C30+C41+C47+C51)</f>
        <v>79600</v>
      </c>
      <c r="D9" s="207">
        <f>SUM(D10+D17+D23+D30+D41+D47+D51)</f>
        <v>86075</v>
      </c>
      <c r="E9" s="207">
        <f>SUM(E10+E17+E23+E30+E41+E47+E51)</f>
        <v>77686</v>
      </c>
      <c r="F9" s="207">
        <f>SUM(F10+F17+F23+F30+F41+F47+F51)</f>
        <v>77686</v>
      </c>
      <c r="G9" s="241">
        <f>SUM(G10+G17+G23+G30+G41+G47+G51)</f>
        <v>77686</v>
      </c>
      <c r="H9" s="2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ht="18" customHeight="1" x14ac:dyDescent="0.25">
      <c r="A10" s="13" t="s">
        <v>108</v>
      </c>
      <c r="B10" s="160" t="s">
        <v>208</v>
      </c>
      <c r="C10" s="36">
        <f>SUM('2.működés'!C9)</f>
        <v>36175</v>
      </c>
      <c r="D10" s="36">
        <f>SUM('2.működés'!D9)</f>
        <v>35581</v>
      </c>
      <c r="E10" s="36">
        <f>SUM('2.működés'!E9)</f>
        <v>35581</v>
      </c>
      <c r="F10" s="36">
        <f>SUM('2.működés'!F9)</f>
        <v>35581</v>
      </c>
      <c r="G10" s="253">
        <f>SUM('2.működés'!G9)</f>
        <v>35581</v>
      </c>
      <c r="H10" s="2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13.5" hidden="1" customHeight="1" x14ac:dyDescent="0.2">
      <c r="A11" s="8" t="s">
        <v>109</v>
      </c>
      <c r="B11" s="162" t="s">
        <v>117</v>
      </c>
      <c r="C11" s="5"/>
      <c r="D11" s="5"/>
      <c r="E11" s="5"/>
      <c r="F11" s="5"/>
      <c r="G11" s="232"/>
      <c r="H11" s="2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ht="13.5" hidden="1" customHeight="1" x14ac:dyDescent="0.2">
      <c r="A12" s="8" t="s">
        <v>158</v>
      </c>
      <c r="B12" s="162" t="s">
        <v>159</v>
      </c>
      <c r="C12" s="5"/>
      <c r="D12" s="5"/>
      <c r="E12" s="5"/>
      <c r="F12" s="5"/>
      <c r="G12" s="232"/>
      <c r="H12" s="2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ht="13.5" hidden="1" customHeight="1" x14ac:dyDescent="0.2">
      <c r="A13" s="8" t="s">
        <v>110</v>
      </c>
      <c r="B13" s="162" t="s">
        <v>114</v>
      </c>
      <c r="C13" s="6"/>
      <c r="D13" s="6"/>
      <c r="E13" s="6"/>
      <c r="F13" s="6"/>
      <c r="G13" s="242"/>
      <c r="H13" s="2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ht="13.5" hidden="1" customHeight="1" x14ac:dyDescent="0.2">
      <c r="A14" s="8" t="s">
        <v>111</v>
      </c>
      <c r="B14" s="162" t="s">
        <v>115</v>
      </c>
      <c r="C14" s="10"/>
      <c r="D14" s="10"/>
      <c r="E14" s="10"/>
      <c r="F14" s="10"/>
      <c r="G14" s="243"/>
      <c r="H14" s="2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ht="13.5" hidden="1" customHeight="1" x14ac:dyDescent="0.2">
      <c r="A15" s="8" t="s">
        <v>112</v>
      </c>
      <c r="B15" s="162" t="s">
        <v>116</v>
      </c>
      <c r="C15" s="12"/>
      <c r="D15" s="12"/>
      <c r="E15" s="12"/>
      <c r="F15" s="12"/>
      <c r="G15" s="233"/>
      <c r="H15" s="2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ht="12.75" hidden="1" customHeight="1" x14ac:dyDescent="0.2">
      <c r="A16" s="8" t="s">
        <v>113</v>
      </c>
      <c r="B16" s="162" t="s">
        <v>118</v>
      </c>
      <c r="C16" s="12"/>
      <c r="D16" s="12"/>
      <c r="E16" s="12"/>
      <c r="F16" s="12"/>
      <c r="G16" s="233"/>
      <c r="H16" s="2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ht="18" customHeight="1" x14ac:dyDescent="0.25">
      <c r="A17" s="13" t="s">
        <v>119</v>
      </c>
      <c r="B17" s="160" t="s">
        <v>209</v>
      </c>
      <c r="C17" s="40">
        <f>SUM('3.felh'!C14)</f>
        <v>0</v>
      </c>
      <c r="D17" s="40">
        <f>SUM('3.felh'!D14)</f>
        <v>5988</v>
      </c>
      <c r="E17" s="40">
        <f>SUM('3.felh'!E14)</f>
        <v>0</v>
      </c>
      <c r="F17" s="40">
        <f>SUM('3.felh'!F14)</f>
        <v>0</v>
      </c>
      <c r="G17" s="245">
        <f>SUM('3.felh'!G14)</f>
        <v>0</v>
      </c>
      <c r="H17" s="27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ht="13.5" hidden="1" customHeight="1" x14ac:dyDescent="0.2">
      <c r="A18" s="8" t="s">
        <v>120</v>
      </c>
      <c r="B18" s="162" t="s">
        <v>127</v>
      </c>
      <c r="C18" s="5"/>
      <c r="D18" s="5"/>
      <c r="E18" s="5"/>
      <c r="F18" s="5"/>
      <c r="G18" s="232"/>
      <c r="H18" s="2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ht="13.5" hidden="1" customHeight="1" x14ac:dyDescent="0.2">
      <c r="A19" s="8" t="s">
        <v>160</v>
      </c>
      <c r="B19" s="162" t="s">
        <v>161</v>
      </c>
      <c r="C19" s="12"/>
      <c r="D19" s="12"/>
      <c r="E19" s="12"/>
      <c r="F19" s="12"/>
      <c r="G19" s="233"/>
      <c r="H19" s="27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ht="13.5" hidden="1" customHeight="1" x14ac:dyDescent="0.2">
      <c r="A20" s="8" t="s">
        <v>121</v>
      </c>
      <c r="B20" s="162" t="s">
        <v>124</v>
      </c>
      <c r="C20" s="12"/>
      <c r="D20" s="12"/>
      <c r="E20" s="12"/>
      <c r="F20" s="12"/>
      <c r="G20" s="233"/>
      <c r="H20" s="2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ht="13.5" hidden="1" customHeight="1" x14ac:dyDescent="0.2">
      <c r="A21" s="8" t="s">
        <v>122</v>
      </c>
      <c r="B21" s="162" t="s">
        <v>125</v>
      </c>
      <c r="C21" s="12"/>
      <c r="D21" s="12"/>
      <c r="E21" s="12"/>
      <c r="F21" s="12"/>
      <c r="G21" s="233"/>
      <c r="H21" s="27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ht="13.5" hidden="1" customHeight="1" x14ac:dyDescent="0.2">
      <c r="A22" s="8" t="s">
        <v>123</v>
      </c>
      <c r="B22" s="162" t="s">
        <v>126</v>
      </c>
      <c r="C22" s="12"/>
      <c r="D22" s="12"/>
      <c r="E22" s="12"/>
      <c r="F22" s="12"/>
      <c r="G22" s="233"/>
      <c r="H22" s="27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ht="18" customHeight="1" x14ac:dyDescent="0.25">
      <c r="A23" s="13" t="s">
        <v>128</v>
      </c>
      <c r="B23" s="160" t="s">
        <v>87</v>
      </c>
      <c r="C23" s="40">
        <f>SUM('2.működés'!C65)</f>
        <v>33000</v>
      </c>
      <c r="D23" s="40">
        <f>SUM('2.működés'!D65)</f>
        <v>35200</v>
      </c>
      <c r="E23" s="40">
        <f>SUM('2.működés'!E65)</f>
        <v>35000</v>
      </c>
      <c r="F23" s="40">
        <f>SUM('2.működés'!F65)</f>
        <v>35000</v>
      </c>
      <c r="G23" s="245">
        <f>SUM('2.működés'!G65)</f>
        <v>35000</v>
      </c>
      <c r="H23" s="27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ht="13.5" hidden="1" customHeight="1" x14ac:dyDescent="0.2">
      <c r="A24" s="8" t="s">
        <v>129</v>
      </c>
      <c r="B24" s="162" t="s">
        <v>135</v>
      </c>
      <c r="C24" s="12"/>
      <c r="D24" s="12"/>
      <c r="E24" s="12"/>
      <c r="F24" s="12"/>
      <c r="G24" s="233"/>
      <c r="H24" s="2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ht="13.5" hidden="1" customHeight="1" x14ac:dyDescent="0.2">
      <c r="A25" s="8" t="s">
        <v>130</v>
      </c>
      <c r="B25" s="162" t="s">
        <v>136</v>
      </c>
      <c r="C25" s="12"/>
      <c r="D25" s="12"/>
      <c r="E25" s="12"/>
      <c r="F25" s="12"/>
      <c r="G25" s="233"/>
      <c r="H25" s="2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ht="13.5" hidden="1" customHeight="1" x14ac:dyDescent="0.2">
      <c r="A26" s="8" t="s">
        <v>131</v>
      </c>
      <c r="B26" s="163" t="s">
        <v>137</v>
      </c>
      <c r="C26" s="45"/>
      <c r="D26" s="45"/>
      <c r="E26" s="45"/>
      <c r="F26" s="45"/>
      <c r="G26" s="238"/>
      <c r="H26" s="2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ht="13.5" hidden="1" customHeight="1" x14ac:dyDescent="0.2">
      <c r="A27" s="8" t="s">
        <v>132</v>
      </c>
      <c r="B27" s="162" t="s">
        <v>164</v>
      </c>
      <c r="C27" s="37"/>
      <c r="D27" s="37"/>
      <c r="E27" s="37"/>
      <c r="F27" s="37"/>
      <c r="G27" s="251"/>
      <c r="H27" s="2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46" customFormat="1" ht="13.5" hidden="1" customHeight="1" x14ac:dyDescent="0.2">
      <c r="A28" s="8" t="s">
        <v>133</v>
      </c>
      <c r="B28" s="162" t="s">
        <v>165</v>
      </c>
      <c r="C28" s="12"/>
      <c r="D28" s="12"/>
      <c r="E28" s="12"/>
      <c r="F28" s="12"/>
      <c r="G28" s="233"/>
      <c r="H28" s="2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46" customFormat="1" ht="13.5" hidden="1" customHeight="1" x14ac:dyDescent="0.2">
      <c r="A29" s="8" t="s">
        <v>134</v>
      </c>
      <c r="B29" s="162" t="s">
        <v>138</v>
      </c>
      <c r="C29" s="12"/>
      <c r="D29" s="12"/>
      <c r="E29" s="12"/>
      <c r="F29" s="12"/>
      <c r="G29" s="233"/>
      <c r="H29" s="2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46" customFormat="1" ht="18" customHeight="1" x14ac:dyDescent="0.25">
      <c r="A30" s="13" t="s">
        <v>139</v>
      </c>
      <c r="B30" s="160" t="s">
        <v>210</v>
      </c>
      <c r="C30" s="40">
        <f>SUM('2.működés'!C79)</f>
        <v>10425</v>
      </c>
      <c r="D30" s="40">
        <f>SUM('2.működés'!D79)</f>
        <v>9306</v>
      </c>
      <c r="E30" s="40">
        <f>SUM('2.működés'!E79)</f>
        <v>7105</v>
      </c>
      <c r="F30" s="40">
        <f>SUM('2.működés'!F79)</f>
        <v>7105</v>
      </c>
      <c r="G30" s="245">
        <f>SUM('2.működés'!G79)</f>
        <v>7105</v>
      </c>
      <c r="H30" s="2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ht="13.5" hidden="1" customHeight="1" x14ac:dyDescent="0.2">
      <c r="A31" s="8" t="s">
        <v>142</v>
      </c>
      <c r="B31" s="162" t="s">
        <v>140</v>
      </c>
      <c r="C31" s="12"/>
      <c r="D31" s="12"/>
      <c r="E31" s="12"/>
      <c r="F31" s="12"/>
      <c r="G31" s="233"/>
      <c r="H31" s="2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46" customFormat="1" ht="13.5" hidden="1" customHeight="1" x14ac:dyDescent="0.2">
      <c r="A32" s="8" t="s">
        <v>143</v>
      </c>
      <c r="B32" s="162" t="s">
        <v>141</v>
      </c>
      <c r="C32" s="12"/>
      <c r="D32" s="12"/>
      <c r="E32" s="12"/>
      <c r="F32" s="12"/>
      <c r="G32" s="233"/>
      <c r="H32" s="27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46" customFormat="1" ht="13.5" hidden="1" customHeight="1" x14ac:dyDescent="0.2">
      <c r="A33" s="8" t="s">
        <v>144</v>
      </c>
      <c r="B33" s="162" t="s">
        <v>147</v>
      </c>
      <c r="C33" s="10"/>
      <c r="D33" s="10"/>
      <c r="E33" s="10"/>
      <c r="F33" s="10"/>
      <c r="G33" s="243"/>
      <c r="H33" s="27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ht="13.5" hidden="1" customHeight="1" x14ac:dyDescent="0.2">
      <c r="A34" s="8" t="s">
        <v>145</v>
      </c>
      <c r="B34" s="163" t="s">
        <v>148</v>
      </c>
      <c r="C34" s="8"/>
      <c r="D34" s="8"/>
      <c r="E34" s="8"/>
      <c r="F34" s="8"/>
      <c r="G34" s="162"/>
      <c r="H34" s="2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ht="13.5" hidden="1" customHeight="1" x14ac:dyDescent="0.2">
      <c r="A35" s="8" t="s">
        <v>146</v>
      </c>
      <c r="B35" s="20" t="s">
        <v>149</v>
      </c>
      <c r="C35" s="8"/>
      <c r="D35" s="8"/>
      <c r="E35" s="8"/>
      <c r="F35" s="8"/>
      <c r="G35" s="162"/>
      <c r="H35" s="27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ht="13.5" hidden="1" customHeight="1" x14ac:dyDescent="0.2">
      <c r="A36" s="8" t="s">
        <v>150</v>
      </c>
      <c r="B36" s="20" t="s">
        <v>151</v>
      </c>
      <c r="C36" s="8"/>
      <c r="D36" s="8"/>
      <c r="E36" s="8"/>
      <c r="F36" s="8"/>
      <c r="G36" s="162"/>
      <c r="H36" s="27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ht="13.5" hidden="1" customHeight="1" x14ac:dyDescent="0.2">
      <c r="A37" s="8" t="s">
        <v>152</v>
      </c>
      <c r="B37" s="20" t="s">
        <v>153</v>
      </c>
      <c r="C37" s="8"/>
      <c r="D37" s="8"/>
      <c r="E37" s="8"/>
      <c r="F37" s="8"/>
      <c r="G37" s="162"/>
      <c r="H37" s="27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ht="13.5" hidden="1" customHeight="1" x14ac:dyDescent="0.2">
      <c r="A38" s="8" t="s">
        <v>154</v>
      </c>
      <c r="B38" s="20" t="s">
        <v>155</v>
      </c>
      <c r="C38" s="8"/>
      <c r="D38" s="8"/>
      <c r="E38" s="8"/>
      <c r="F38" s="8"/>
      <c r="G38" s="162"/>
      <c r="H38" s="27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ht="13.5" hidden="1" customHeight="1" x14ac:dyDescent="0.2">
      <c r="A39" s="8" t="s">
        <v>156</v>
      </c>
      <c r="B39" s="20" t="s">
        <v>157</v>
      </c>
      <c r="C39" s="8"/>
      <c r="D39" s="8"/>
      <c r="E39" s="8"/>
      <c r="F39" s="8"/>
      <c r="G39" s="162"/>
      <c r="H39" s="2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ht="13.5" hidden="1" customHeight="1" x14ac:dyDescent="0.2">
      <c r="A40" s="8" t="s">
        <v>162</v>
      </c>
      <c r="B40" s="20" t="s">
        <v>163</v>
      </c>
      <c r="C40" s="8"/>
      <c r="D40" s="8"/>
      <c r="E40" s="8"/>
      <c r="F40" s="8"/>
      <c r="G40" s="162"/>
      <c r="H40" s="2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 ht="17.25" customHeight="1" x14ac:dyDescent="0.25">
      <c r="A41" s="13" t="s">
        <v>166</v>
      </c>
      <c r="B41" s="160" t="s">
        <v>211</v>
      </c>
      <c r="C41" s="40">
        <f>SUM('3.felh'!C24)</f>
        <v>0</v>
      </c>
      <c r="D41" s="40">
        <f>SUM('3.felh'!D24)</f>
        <v>0</v>
      </c>
      <c r="E41" s="40">
        <f>SUM('3.felh'!E24)</f>
        <v>0</v>
      </c>
      <c r="F41" s="40">
        <f>SUM('3.felh'!F24)</f>
        <v>0</v>
      </c>
      <c r="G41" s="245">
        <f>SUM('3.felh'!G24)</f>
        <v>0</v>
      </c>
      <c r="H41" s="27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1:49" ht="13.5" hidden="1" customHeight="1" x14ac:dyDescent="0.2">
      <c r="A42" s="8" t="s">
        <v>167</v>
      </c>
      <c r="B42" s="20" t="s">
        <v>172</v>
      </c>
      <c r="C42" s="8"/>
      <c r="D42" s="8"/>
      <c r="E42" s="8"/>
      <c r="F42" s="8"/>
      <c r="G42" s="162"/>
      <c r="H42" s="27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</row>
    <row r="43" spans="1:49" ht="13.5" hidden="1" customHeight="1" x14ac:dyDescent="0.2">
      <c r="A43" s="8" t="s">
        <v>168</v>
      </c>
      <c r="B43" s="20" t="s">
        <v>173</v>
      </c>
      <c r="C43" s="8"/>
      <c r="D43" s="8"/>
      <c r="E43" s="8"/>
      <c r="F43" s="8"/>
      <c r="G43" s="162"/>
      <c r="H43" s="27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 ht="13.5" hidden="1" customHeight="1" x14ac:dyDescent="0.2">
      <c r="A44" s="8" t="s">
        <v>169</v>
      </c>
      <c r="B44" s="20" t="s">
        <v>174</v>
      </c>
      <c r="C44" s="8"/>
      <c r="D44" s="8"/>
      <c r="E44" s="8"/>
      <c r="F44" s="8"/>
      <c r="G44" s="162"/>
      <c r="H44" s="27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 ht="13.5" hidden="1" customHeight="1" x14ac:dyDescent="0.2">
      <c r="A45" s="8" t="s">
        <v>170</v>
      </c>
      <c r="B45" s="20" t="s">
        <v>175</v>
      </c>
      <c r="C45" s="8"/>
      <c r="D45" s="8"/>
      <c r="E45" s="8"/>
      <c r="F45" s="8"/>
      <c r="G45" s="162"/>
      <c r="H45" s="27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spans="1:49" ht="13.5" hidden="1" customHeight="1" x14ac:dyDescent="0.2">
      <c r="A46" s="152" t="s">
        <v>171</v>
      </c>
      <c r="B46" s="20" t="s">
        <v>176</v>
      </c>
      <c r="C46" s="8"/>
      <c r="D46" s="8"/>
      <c r="E46" s="8"/>
      <c r="F46" s="8"/>
      <c r="G46" s="162"/>
      <c r="H46" s="27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spans="1:49" ht="18" customHeight="1" x14ac:dyDescent="0.25">
      <c r="A47" s="13" t="s">
        <v>177</v>
      </c>
      <c r="B47" s="160" t="s">
        <v>212</v>
      </c>
      <c r="C47" s="40">
        <f>SUM('2.működés'!C91)</f>
        <v>0</v>
      </c>
      <c r="D47" s="40">
        <f>SUM('2.működés'!D91)</f>
        <v>0</v>
      </c>
      <c r="E47" s="40">
        <f>SUM('2.működés'!E91)</f>
        <v>0</v>
      </c>
      <c r="F47" s="40">
        <f>SUM('2.működés'!F91)</f>
        <v>0</v>
      </c>
      <c r="G47" s="245">
        <f>SUM('2.működés'!G91)</f>
        <v>0</v>
      </c>
      <c r="H47" s="27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</row>
    <row r="48" spans="1:49" ht="13.5" hidden="1" customHeight="1" x14ac:dyDescent="0.2">
      <c r="A48" s="152" t="s">
        <v>182</v>
      </c>
      <c r="B48" s="20" t="s">
        <v>179</v>
      </c>
      <c r="C48" s="8"/>
      <c r="D48" s="8"/>
      <c r="E48" s="8"/>
      <c r="F48" s="8"/>
      <c r="G48" s="162"/>
      <c r="H48" s="27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spans="1:49" ht="13.5" hidden="1" customHeight="1" x14ac:dyDescent="0.2">
      <c r="A49" s="152" t="s">
        <v>183</v>
      </c>
      <c r="B49" s="20" t="s">
        <v>180</v>
      </c>
      <c r="C49" s="8"/>
      <c r="D49" s="8"/>
      <c r="E49" s="8"/>
      <c r="F49" s="8"/>
      <c r="G49" s="162"/>
      <c r="H49" s="2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spans="1:49" ht="13.5" hidden="1" customHeight="1" x14ac:dyDescent="0.2">
      <c r="A50" s="152" t="s">
        <v>184</v>
      </c>
      <c r="B50" s="20" t="s">
        <v>181</v>
      </c>
      <c r="C50" s="8"/>
      <c r="D50" s="8"/>
      <c r="E50" s="8"/>
      <c r="F50" s="8"/>
      <c r="G50" s="162"/>
      <c r="H50" s="27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</row>
    <row r="51" spans="1:49" ht="18" customHeight="1" x14ac:dyDescent="0.25">
      <c r="A51" s="13" t="s">
        <v>178</v>
      </c>
      <c r="B51" s="160" t="s">
        <v>213</v>
      </c>
      <c r="C51" s="40">
        <f>SUM('3.felh'!C30)</f>
        <v>0</v>
      </c>
      <c r="D51" s="40">
        <f>SUM('3.felh'!D30)</f>
        <v>0</v>
      </c>
      <c r="E51" s="40">
        <f>SUM('3.felh'!E30)</f>
        <v>0</v>
      </c>
      <c r="F51" s="40">
        <f>SUM('3.felh'!F30)</f>
        <v>0</v>
      </c>
      <c r="G51" s="245">
        <f>SUM('3.felh'!G30)</f>
        <v>0</v>
      </c>
      <c r="H51" s="27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</row>
    <row r="52" spans="1:49" ht="13.5" hidden="1" customHeight="1" x14ac:dyDescent="0.25">
      <c r="A52" s="8" t="s">
        <v>185</v>
      </c>
      <c r="B52" s="20" t="s">
        <v>188</v>
      </c>
      <c r="C52" s="40"/>
      <c r="D52" s="40"/>
      <c r="E52" s="40"/>
      <c r="F52" s="40"/>
      <c r="G52" s="245"/>
      <c r="H52" s="27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</row>
    <row r="53" spans="1:49" ht="13.5" hidden="1" customHeight="1" x14ac:dyDescent="0.25">
      <c r="A53" s="8" t="s">
        <v>186</v>
      </c>
      <c r="B53" s="20" t="s">
        <v>189</v>
      </c>
      <c r="C53" s="40"/>
      <c r="D53" s="40"/>
      <c r="E53" s="40"/>
      <c r="F53" s="40"/>
      <c r="G53" s="245"/>
      <c r="H53" s="2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</row>
    <row r="54" spans="1:49" ht="13.5" hidden="1" customHeight="1" thickBot="1" x14ac:dyDescent="0.3">
      <c r="A54" s="11" t="s">
        <v>187</v>
      </c>
      <c r="B54" s="169" t="s">
        <v>190</v>
      </c>
      <c r="C54" s="170"/>
      <c r="D54" s="170"/>
      <c r="E54" s="170"/>
      <c r="F54" s="170"/>
      <c r="G54" s="246"/>
      <c r="H54" s="27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</row>
    <row r="55" spans="1:49" ht="21.75" customHeight="1" x14ac:dyDescent="0.25">
      <c r="A55" s="23" t="s">
        <v>347</v>
      </c>
      <c r="B55" s="209" t="s">
        <v>349</v>
      </c>
      <c r="C55" s="40">
        <f>SUM(C56+C61)</f>
        <v>11995</v>
      </c>
      <c r="D55" s="40">
        <f t="shared" ref="D55:G55" si="0">SUM(D56+D61)</f>
        <v>25519</v>
      </c>
      <c r="E55" s="40">
        <f t="shared" si="0"/>
        <v>25519</v>
      </c>
      <c r="F55" s="40">
        <f t="shared" si="0"/>
        <v>25519</v>
      </c>
      <c r="G55" s="40">
        <f t="shared" si="0"/>
        <v>25519</v>
      </c>
      <c r="H55" s="27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</row>
    <row r="56" spans="1:49" ht="18" customHeight="1" x14ac:dyDescent="0.25">
      <c r="A56" s="23"/>
      <c r="B56" s="22" t="s">
        <v>361</v>
      </c>
      <c r="C56" s="40">
        <f>SUM(C57)+C60</f>
        <v>11995</v>
      </c>
      <c r="D56" s="40">
        <f t="shared" ref="D56:G56" si="1">SUM(D57)+D60</f>
        <v>25519</v>
      </c>
      <c r="E56" s="40">
        <f t="shared" si="1"/>
        <v>25519</v>
      </c>
      <c r="F56" s="40">
        <f t="shared" si="1"/>
        <v>25519</v>
      </c>
      <c r="G56" s="40">
        <f t="shared" si="1"/>
        <v>25519</v>
      </c>
      <c r="H56" s="2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</row>
    <row r="57" spans="1:49" ht="13.5" customHeight="1" x14ac:dyDescent="0.2">
      <c r="A57" s="8"/>
      <c r="B57" s="165" t="s">
        <v>438</v>
      </c>
      <c r="C57" s="5">
        <f>SUM(C58:C59)</f>
        <v>11995</v>
      </c>
      <c r="D57" s="5">
        <f t="shared" ref="D57:G57" si="2">SUM(D58:D59)</f>
        <v>25519</v>
      </c>
      <c r="E57" s="5">
        <f t="shared" si="2"/>
        <v>25519</v>
      </c>
      <c r="F57" s="5">
        <f t="shared" si="2"/>
        <v>25519</v>
      </c>
      <c r="G57" s="5">
        <f t="shared" si="2"/>
        <v>25519</v>
      </c>
      <c r="H57" s="2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</row>
    <row r="58" spans="1:49" ht="13.5" customHeight="1" x14ac:dyDescent="0.2">
      <c r="A58" s="8"/>
      <c r="B58" s="165" t="s">
        <v>439</v>
      </c>
      <c r="C58" s="12">
        <f>SUM('2.működés'!C97)</f>
        <v>11995</v>
      </c>
      <c r="D58" s="12">
        <f>SUM('2.működés'!D97)</f>
        <v>11995</v>
      </c>
      <c r="E58" s="12">
        <f>SUM('2.működés'!E97)</f>
        <v>11995</v>
      </c>
      <c r="F58" s="12">
        <f>SUM('2.működés'!F97)</f>
        <v>11995</v>
      </c>
      <c r="G58" s="12">
        <f>SUM('2.működés'!G97)</f>
        <v>11995</v>
      </c>
      <c r="H58" s="2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</row>
    <row r="59" spans="1:49" ht="13.5" customHeight="1" x14ac:dyDescent="0.2">
      <c r="A59" s="8"/>
      <c r="B59" s="165" t="s">
        <v>440</v>
      </c>
      <c r="C59" s="12">
        <f>SUM('3.felh'!C36)</f>
        <v>0</v>
      </c>
      <c r="D59" s="12">
        <f>SUM('3.felh'!D36)</f>
        <v>13524</v>
      </c>
      <c r="E59" s="12">
        <f>SUM('3.felh'!E36)</f>
        <v>13524</v>
      </c>
      <c r="F59" s="12">
        <f>SUM('3.felh'!F36)</f>
        <v>13524</v>
      </c>
      <c r="G59" s="12">
        <f>SUM('3.felh'!G36)</f>
        <v>13524</v>
      </c>
      <c r="H59" s="27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</row>
    <row r="60" spans="1:49" ht="13.5" customHeight="1" x14ac:dyDescent="0.2">
      <c r="A60" s="8"/>
      <c r="B60" s="165" t="s">
        <v>441</v>
      </c>
      <c r="C60" s="5">
        <f>'2.működés'!C98</f>
        <v>0</v>
      </c>
      <c r="D60" s="5">
        <f>'2.működés'!D98</f>
        <v>0</v>
      </c>
      <c r="E60" s="5">
        <f>'2.működés'!E98</f>
        <v>0</v>
      </c>
      <c r="F60" s="5">
        <f>'2.működés'!F98</f>
        <v>0</v>
      </c>
      <c r="G60" s="5">
        <f>'2.működés'!G98</f>
        <v>0</v>
      </c>
      <c r="H60" s="27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</row>
    <row r="61" spans="1:49" ht="18" customHeight="1" thickBot="1" x14ac:dyDescent="0.3">
      <c r="A61" s="8"/>
      <c r="B61" s="22" t="s">
        <v>357</v>
      </c>
      <c r="C61" s="40">
        <f>SUM(C62:C63)</f>
        <v>0</v>
      </c>
      <c r="D61" s="40">
        <f>SUM(D62:D63)</f>
        <v>0</v>
      </c>
      <c r="E61" s="40">
        <f>SUM(E62:E63)</f>
        <v>0</v>
      </c>
      <c r="F61" s="40">
        <f>SUM(F62:F63)</f>
        <v>0</v>
      </c>
      <c r="G61" s="245">
        <f>SUM(G62:G63)</f>
        <v>0</v>
      </c>
      <c r="H61" s="27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</row>
    <row r="62" spans="1:49" ht="13.5" hidden="1" customHeight="1" x14ac:dyDescent="0.2">
      <c r="A62" s="8"/>
      <c r="B62" s="162" t="s">
        <v>364</v>
      </c>
      <c r="C62" s="12"/>
      <c r="D62" s="12"/>
      <c r="E62" s="12"/>
      <c r="F62" s="12"/>
      <c r="G62" s="233"/>
      <c r="H62" s="27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</row>
    <row r="63" spans="1:49" ht="13.5" hidden="1" customHeight="1" thickBot="1" x14ac:dyDescent="0.25">
      <c r="A63" s="201"/>
      <c r="B63" s="11" t="s">
        <v>365</v>
      </c>
      <c r="C63" s="214"/>
      <c r="D63" s="214"/>
      <c r="E63" s="214"/>
      <c r="F63" s="214"/>
      <c r="G63" s="254"/>
      <c r="H63" s="27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</row>
    <row r="64" spans="1:49" ht="23.25" customHeight="1" thickBot="1" x14ac:dyDescent="0.4">
      <c r="A64" s="262"/>
      <c r="B64" s="263" t="s">
        <v>5</v>
      </c>
      <c r="C64" s="273">
        <f>SUM(C9+C55)</f>
        <v>91595</v>
      </c>
      <c r="D64" s="273">
        <f>SUM(D9+D55)</f>
        <v>111594</v>
      </c>
      <c r="E64" s="273">
        <f>SUM(E9+E55)</f>
        <v>103205</v>
      </c>
      <c r="F64" s="273">
        <f>SUM(F9+F55)</f>
        <v>103205</v>
      </c>
      <c r="G64" s="252">
        <f>SUM(G9+G55)</f>
        <v>103205</v>
      </c>
      <c r="H64" s="28"/>
      <c r="I64" s="7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</row>
    <row r="65" spans="1:49" ht="20.25" customHeight="1" x14ac:dyDescent="0.25">
      <c r="A65" s="167" t="s">
        <v>194</v>
      </c>
      <c r="B65" s="164" t="s">
        <v>352</v>
      </c>
      <c r="C65" s="206">
        <f>SUM(C66+C73)</f>
        <v>90662</v>
      </c>
      <c r="D65" s="206">
        <f>SUM(D66+D73)</f>
        <v>36344</v>
      </c>
      <c r="E65" s="206">
        <f>SUM(E66+E73)</f>
        <v>27249</v>
      </c>
      <c r="F65" s="206">
        <f>SUM(F66+F73)</f>
        <v>27250</v>
      </c>
      <c r="G65" s="248">
        <f>SUM(G66+G73)</f>
        <v>27251</v>
      </c>
      <c r="H65" s="27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</row>
    <row r="66" spans="1:49" ht="18" customHeight="1" x14ac:dyDescent="0.25">
      <c r="A66" s="13" t="s">
        <v>191</v>
      </c>
      <c r="B66" s="160" t="s">
        <v>732</v>
      </c>
      <c r="C66" s="168">
        <f>C67</f>
        <v>89678</v>
      </c>
      <c r="D66" s="168">
        <f>D67</f>
        <v>11177</v>
      </c>
      <c r="E66" s="168">
        <f>SUM(E67:E72)</f>
        <v>10100</v>
      </c>
      <c r="F66" s="168">
        <f>SUM(F67:F72)</f>
        <v>10100</v>
      </c>
      <c r="G66" s="168">
        <f>SUM(G67:G72)</f>
        <v>10100</v>
      </c>
      <c r="H66" s="27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</row>
    <row r="67" spans="1:49" x14ac:dyDescent="0.2">
      <c r="A67" s="8"/>
      <c r="B67" s="161" t="s">
        <v>10</v>
      </c>
      <c r="C67" s="12">
        <f>SUM(C68:C72)</f>
        <v>89678</v>
      </c>
      <c r="D67" s="12">
        <f>SUM(D68:D72)</f>
        <v>11177</v>
      </c>
      <c r="E67" s="31">
        <f>SUM('2.működés'!E103+'2.működés'!E104+'2.működés'!E105+'2.működés'!E106+'2.működés'!E108)</f>
        <v>10100</v>
      </c>
      <c r="F67" s="31">
        <f>SUM('2.működés'!F103+'2.működés'!F104+'2.működés'!F105+'2.működés'!F106+'2.működés'!F108)</f>
        <v>10100</v>
      </c>
      <c r="G67" s="31">
        <f>SUM('2.működés'!G103+'2.működés'!G104+'2.működés'!G105+'2.működés'!G106+'2.működés'!G108)</f>
        <v>10100</v>
      </c>
      <c r="H67" s="27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</row>
    <row r="68" spans="1:49" x14ac:dyDescent="0.2">
      <c r="A68" s="8"/>
      <c r="B68" s="8" t="s">
        <v>734</v>
      </c>
      <c r="C68" s="12">
        <f>'2.működés'!C103</f>
        <v>36308</v>
      </c>
      <c r="D68" s="12">
        <f>'2.működés'!D103</f>
        <v>0</v>
      </c>
      <c r="E68" s="55"/>
      <c r="F68" s="55"/>
      <c r="G68" s="55"/>
      <c r="H68" s="27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</row>
    <row r="69" spans="1:49" x14ac:dyDescent="0.2">
      <c r="A69" s="8"/>
      <c r="B69" s="8" t="s">
        <v>735</v>
      </c>
      <c r="C69" s="12">
        <f>'2.működés'!C104</f>
        <v>4536</v>
      </c>
      <c r="D69" s="12">
        <f>'2.működés'!D104</f>
        <v>0</v>
      </c>
      <c r="E69" s="55"/>
      <c r="F69" s="55"/>
      <c r="G69" s="55"/>
      <c r="H69" s="2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</row>
    <row r="70" spans="1:49" ht="13.5" thickBot="1" x14ac:dyDescent="0.25">
      <c r="A70" s="8"/>
      <c r="B70" s="8" t="s">
        <v>736</v>
      </c>
      <c r="C70" s="12">
        <f>'2.működés'!C105</f>
        <v>37734</v>
      </c>
      <c r="D70" s="12">
        <f>'2.működés'!D105</f>
        <v>0</v>
      </c>
      <c r="E70" s="55"/>
      <c r="F70" s="55"/>
      <c r="G70" s="55"/>
      <c r="H70" s="2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ht="13.5" customHeight="1" thickBot="1" x14ac:dyDescent="0.25">
      <c r="A71" s="8"/>
      <c r="B71" s="8" t="s">
        <v>737</v>
      </c>
      <c r="C71" s="12">
        <f>'2.működés'!C106</f>
        <v>1500</v>
      </c>
      <c r="D71" s="12">
        <f>'2.működés'!D106</f>
        <v>0</v>
      </c>
      <c r="E71" s="268">
        <f>SUM('2.működés'!E111)</f>
        <v>0</v>
      </c>
      <c r="F71" s="268">
        <f>SUM('2.működés'!F111)</f>
        <v>0</v>
      </c>
      <c r="G71" s="268">
        <f>SUM('2.működés'!G111)</f>
        <v>0</v>
      </c>
      <c r="H71" s="27"/>
      <c r="I71" s="7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3.5" customHeight="1" thickBot="1" x14ac:dyDescent="0.25">
      <c r="A72" s="8"/>
      <c r="B72" s="8" t="s">
        <v>738</v>
      </c>
      <c r="C72" s="12">
        <f>'2.működés'!C107</f>
        <v>9600</v>
      </c>
      <c r="D72" s="12">
        <f>'2.működés'!D107</f>
        <v>11177</v>
      </c>
      <c r="E72" s="268">
        <f>SUM('2.működés'!E112)</f>
        <v>0</v>
      </c>
      <c r="F72" s="268">
        <f>SUM('2.működés'!F112)</f>
        <v>0</v>
      </c>
      <c r="G72" s="268">
        <f>SUM('2.működés'!G112)</f>
        <v>0</v>
      </c>
      <c r="H72" s="27"/>
      <c r="I72" s="7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8" customHeight="1" x14ac:dyDescent="0.25">
      <c r="A73" s="13" t="s">
        <v>192</v>
      </c>
      <c r="B73" s="160" t="s">
        <v>733</v>
      </c>
      <c r="C73" s="270">
        <f>SUM(C74:C76)</f>
        <v>984</v>
      </c>
      <c r="D73" s="270">
        <f>SUM(D74:D76)</f>
        <v>25167</v>
      </c>
      <c r="E73" s="270">
        <f>SUM(E74:E76)</f>
        <v>17149</v>
      </c>
      <c r="F73" s="270">
        <f>SUM(F74:F76)</f>
        <v>17150</v>
      </c>
      <c r="G73" s="255">
        <f>SUM(G74:G76)</f>
        <v>17151</v>
      </c>
      <c r="H73" s="27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s="46" customFormat="1" ht="13.5" customHeight="1" x14ac:dyDescent="0.2">
      <c r="A74" s="8"/>
      <c r="B74" s="162" t="s">
        <v>313</v>
      </c>
      <c r="C74" s="12">
        <f>SUM('3.felh'!C41)</f>
        <v>984</v>
      </c>
      <c r="D74" s="12">
        <f>SUM('3.felh'!D41)</f>
        <v>9372</v>
      </c>
      <c r="E74" s="12">
        <f>SUM('3.felh'!E41)</f>
        <v>3623</v>
      </c>
      <c r="F74" s="12">
        <f>SUM('3.felh'!F41)</f>
        <v>3623</v>
      </c>
      <c r="G74" s="233">
        <f>SUM('3.felh'!G41)</f>
        <v>3623</v>
      </c>
      <c r="H74" s="27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s="46" customFormat="1" ht="13.5" customHeight="1" x14ac:dyDescent="0.2">
      <c r="A75" s="8"/>
      <c r="B75" s="162" t="s">
        <v>314</v>
      </c>
      <c r="C75" s="12">
        <f>SUM('3.felh'!C55)</f>
        <v>0</v>
      </c>
      <c r="D75" s="12">
        <f>SUM('3.felh'!D55)</f>
        <v>2271</v>
      </c>
      <c r="E75" s="12">
        <f>SUM('3.felh'!E55)</f>
        <v>0</v>
      </c>
      <c r="F75" s="12">
        <f>SUM('3.felh'!F55)</f>
        <v>0</v>
      </c>
      <c r="G75" s="233">
        <f>SUM('3.felh'!G55)</f>
        <v>0</v>
      </c>
      <c r="H75" s="27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s="46" customFormat="1" ht="13.5" customHeight="1" x14ac:dyDescent="0.2">
      <c r="A76" s="8"/>
      <c r="B76" s="162" t="s">
        <v>315</v>
      </c>
      <c r="C76" s="12">
        <f>SUM(C77:C79)</f>
        <v>0</v>
      </c>
      <c r="D76" s="12">
        <f>SUM(D77:D79)</f>
        <v>13524</v>
      </c>
      <c r="E76" s="12">
        <f>SUM(E77:E79)</f>
        <v>13526</v>
      </c>
      <c r="F76" s="12">
        <f>SUM(F77:F79)</f>
        <v>13527</v>
      </c>
      <c r="G76" s="12">
        <f>SUM(G77:G79)</f>
        <v>13528</v>
      </c>
      <c r="H76" s="27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s="46" customFormat="1" ht="13.5" hidden="1" customHeight="1" thickBot="1" x14ac:dyDescent="0.25">
      <c r="A77" s="8"/>
      <c r="B77" s="162" t="s">
        <v>368</v>
      </c>
      <c r="C77" s="31">
        <f>SUM('3.felh'!C64)</f>
        <v>0</v>
      </c>
      <c r="D77" s="31">
        <f>SUM('3.felh'!D64)</f>
        <v>7828</v>
      </c>
      <c r="E77" s="31">
        <f>SUM('3.felh'!E64)</f>
        <v>7830</v>
      </c>
      <c r="F77" s="31">
        <f>SUM('3.felh'!F64)</f>
        <v>7831</v>
      </c>
      <c r="G77" s="233">
        <f>SUM('3.felh'!G64)</f>
        <v>7832</v>
      </c>
      <c r="H77" s="27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s="46" customFormat="1" ht="13.5" hidden="1" customHeight="1" thickBot="1" x14ac:dyDescent="0.25">
      <c r="A78" s="8"/>
      <c r="B78" s="269" t="s">
        <v>514</v>
      </c>
      <c r="C78" s="268">
        <f>SUM('3.felh'!C65)</f>
        <v>0</v>
      </c>
      <c r="D78" s="268">
        <f>SUM('3.felh'!D65)</f>
        <v>5696</v>
      </c>
      <c r="E78" s="268">
        <f>SUM('3.felh'!E65)</f>
        <v>5696</v>
      </c>
      <c r="F78" s="268">
        <f>SUM('3.felh'!F65)</f>
        <v>5696</v>
      </c>
      <c r="G78" s="268">
        <f>SUM('3.felh'!G65)</f>
        <v>5696</v>
      </c>
      <c r="H78" s="27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s="46" customFormat="1" ht="13.5" hidden="1" customHeight="1" thickBot="1" x14ac:dyDescent="0.25">
      <c r="A79" s="8"/>
      <c r="B79" s="269" t="s">
        <v>513</v>
      </c>
      <c r="C79" s="268">
        <f>'3.felh'!C68+'3.felh'!C66</f>
        <v>0</v>
      </c>
      <c r="D79" s="268">
        <f>'3.felh'!D68+'3.felh'!D66</f>
        <v>0</v>
      </c>
      <c r="E79" s="268">
        <f>'3.felh'!E68+'3.felh'!E66</f>
        <v>0</v>
      </c>
      <c r="F79" s="268">
        <f>'3.felh'!F68</f>
        <v>0</v>
      </c>
      <c r="G79" s="268">
        <f>'3.felh'!G68</f>
        <v>0</v>
      </c>
      <c r="H79" s="27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21.75" customHeight="1" x14ac:dyDescent="0.25">
      <c r="A80" s="13" t="s">
        <v>193</v>
      </c>
      <c r="B80" s="210" t="s">
        <v>366</v>
      </c>
      <c r="C80" s="205">
        <f>SUM(C81)</f>
        <v>933</v>
      </c>
      <c r="D80" s="205">
        <f>SUM(D81)</f>
        <v>933</v>
      </c>
      <c r="E80" s="205">
        <f>SUM(E81)</f>
        <v>933</v>
      </c>
      <c r="F80" s="205">
        <f>SUM(F81)</f>
        <v>933</v>
      </c>
      <c r="G80" s="244">
        <f>SUM(G81)</f>
        <v>933</v>
      </c>
      <c r="H80" s="27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3.5" customHeight="1" thickBot="1" x14ac:dyDescent="0.25">
      <c r="A81" s="261"/>
      <c r="B81" s="199" t="s">
        <v>574</v>
      </c>
      <c r="C81" s="31">
        <f>SUM('2.működés'!C114)</f>
        <v>933</v>
      </c>
      <c r="D81" s="31">
        <f>SUM('2.működés'!D114)</f>
        <v>933</v>
      </c>
      <c r="E81" s="31">
        <f>SUM('2.működés'!E114)</f>
        <v>933</v>
      </c>
      <c r="F81" s="31">
        <f>SUM('2.működés'!F114)</f>
        <v>933</v>
      </c>
      <c r="G81" s="31">
        <f>SUM('2.működés'!G114)</f>
        <v>933</v>
      </c>
      <c r="H81" s="27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21.75" customHeight="1" thickBot="1" x14ac:dyDescent="0.4">
      <c r="A82" s="262"/>
      <c r="B82" s="264" t="s">
        <v>8</v>
      </c>
      <c r="C82" s="273">
        <f>SUM(C65+C80)</f>
        <v>91595</v>
      </c>
      <c r="D82" s="273">
        <f>SUM(D65+D80)</f>
        <v>37277</v>
      </c>
      <c r="E82" s="273">
        <f>SUM(E65+E80)</f>
        <v>28182</v>
      </c>
      <c r="F82" s="273">
        <f>SUM(F65+F80)</f>
        <v>28183</v>
      </c>
      <c r="G82" s="252">
        <f>SUM(G65+G80)</f>
        <v>28184</v>
      </c>
      <c r="H82" s="28"/>
      <c r="I82" s="7"/>
      <c r="J82" s="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15.75" customHeight="1" x14ac:dyDescent="0.2">
      <c r="G83" s="7"/>
      <c r="H83" s="27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5.75" hidden="1" customHeight="1" x14ac:dyDescent="0.2">
      <c r="C84" s="76">
        <f>C64-C82</f>
        <v>0</v>
      </c>
      <c r="D84" s="76">
        <f>D64-D82</f>
        <v>74317</v>
      </c>
      <c r="E84" s="76">
        <f>E64-E82</f>
        <v>75023</v>
      </c>
      <c r="F84" s="76">
        <f>F64-F82</f>
        <v>75022</v>
      </c>
      <c r="G84" s="76">
        <f>G64-G82</f>
        <v>75021</v>
      </c>
      <c r="H84" s="27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5.75" customHeight="1" x14ac:dyDescent="0.2">
      <c r="C85" s="76"/>
      <c r="G85" s="2"/>
      <c r="H85" s="27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5.75" customHeight="1" x14ac:dyDescent="0.2">
      <c r="C86" s="76"/>
      <c r="D86" s="76"/>
      <c r="E86" s="76"/>
      <c r="F86" s="76"/>
      <c r="G86" s="76">
        <f>G64-G82</f>
        <v>75021</v>
      </c>
      <c r="H86" s="27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5.75" customHeight="1" x14ac:dyDescent="0.2">
      <c r="G87" s="2"/>
      <c r="H87" s="2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5.75" customHeight="1" x14ac:dyDescent="0.2">
      <c r="G88" s="2"/>
      <c r="H88" s="27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5.75" customHeight="1" x14ac:dyDescent="0.2">
      <c r="B89" s="2"/>
      <c r="C89" s="2"/>
      <c r="D89" s="2"/>
      <c r="E89" s="2"/>
      <c r="F89" s="2"/>
      <c r="G89" s="2"/>
      <c r="H89" s="27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5.75" customHeight="1" x14ac:dyDescent="0.2">
      <c r="B90" s="2"/>
      <c r="C90" s="2"/>
      <c r="D90" s="2"/>
      <c r="E90" s="2"/>
      <c r="F90" s="2"/>
      <c r="G90" s="2"/>
      <c r="H90" s="27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5.75" customHeight="1" x14ac:dyDescent="0.2">
      <c r="B91" s="2"/>
      <c r="C91" s="2"/>
      <c r="D91" s="2"/>
      <c r="E91" s="2"/>
      <c r="F91" s="2"/>
      <c r="G91" s="2"/>
      <c r="H91" s="27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5.75" customHeight="1" x14ac:dyDescent="0.2">
      <c r="B92" s="2"/>
      <c r="C92" s="2"/>
      <c r="D92" s="2"/>
      <c r="E92" s="2"/>
      <c r="F92" s="2"/>
      <c r="G92" s="2"/>
      <c r="H92" s="27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5.75" customHeight="1" x14ac:dyDescent="0.2">
      <c r="B93" s="2"/>
      <c r="C93" s="2"/>
      <c r="D93" s="2"/>
      <c r="E93" s="2"/>
      <c r="F93" s="2"/>
      <c r="G93" s="2"/>
      <c r="H93" s="27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5.75" customHeight="1" x14ac:dyDescent="0.2">
      <c r="B94" s="2"/>
      <c r="C94" s="2"/>
      <c r="D94" s="2"/>
      <c r="E94" s="2"/>
      <c r="F94" s="2"/>
      <c r="G94" s="2"/>
      <c r="H94" s="27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5.75" customHeight="1" x14ac:dyDescent="0.2">
      <c r="B95" s="2"/>
      <c r="C95" s="2"/>
      <c r="D95" s="2"/>
      <c r="E95" s="2"/>
      <c r="F95" s="2"/>
      <c r="G95" s="2"/>
      <c r="H95" s="27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5.75" customHeight="1" x14ac:dyDescent="0.2">
      <c r="B96" s="2"/>
      <c r="C96" s="2"/>
      <c r="D96" s="2"/>
      <c r="E96" s="2"/>
      <c r="F96" s="2"/>
      <c r="G96" s="2"/>
      <c r="H96" s="27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2:49" ht="15.75" customHeight="1" x14ac:dyDescent="0.2">
      <c r="B97" s="2"/>
      <c r="C97" s="2"/>
      <c r="D97" s="2"/>
      <c r="E97" s="2"/>
      <c r="F97" s="2"/>
      <c r="G97" s="2"/>
      <c r="H97" s="27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2:49" ht="15.75" customHeight="1" x14ac:dyDescent="0.2">
      <c r="B98" s="2"/>
      <c r="C98" s="2"/>
      <c r="D98" s="2"/>
      <c r="E98" s="2"/>
      <c r="F98" s="2"/>
      <c r="G98" s="2"/>
      <c r="H98" s="27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2:49" ht="15.75" customHeight="1" x14ac:dyDescent="0.2">
      <c r="B99" s="2"/>
      <c r="C99" s="2"/>
      <c r="D99" s="2"/>
      <c r="E99" s="2"/>
      <c r="F99" s="2"/>
      <c r="G99" s="2"/>
      <c r="H99" s="27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2:49" ht="15.75" customHeight="1" x14ac:dyDescent="0.2">
      <c r="B100" s="2"/>
      <c r="C100" s="2"/>
      <c r="D100" s="2"/>
      <c r="E100" s="2"/>
      <c r="F100" s="2"/>
      <c r="G100" s="2"/>
      <c r="H100" s="27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2:49" ht="15.75" customHeight="1" x14ac:dyDescent="0.2">
      <c r="B101" s="2"/>
      <c r="C101" s="2"/>
      <c r="D101" s="2"/>
      <c r="E101" s="2"/>
      <c r="F101" s="2"/>
      <c r="G101" s="2"/>
      <c r="H101" s="27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2:49" ht="15.75" customHeight="1" x14ac:dyDescent="0.2">
      <c r="B102" s="2"/>
      <c r="C102" s="2"/>
      <c r="D102" s="2"/>
      <c r="E102" s="2"/>
      <c r="F102" s="2"/>
      <c r="G102" s="2"/>
      <c r="H102" s="27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2:49" ht="15.75" customHeight="1" x14ac:dyDescent="0.2">
      <c r="B103" s="2"/>
      <c r="C103" s="2"/>
      <c r="D103" s="2"/>
      <c r="E103" s="2"/>
      <c r="F103" s="2"/>
      <c r="G103" s="2"/>
      <c r="H103" s="27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2:49" ht="15.75" customHeight="1" x14ac:dyDescent="0.2">
      <c r="B104" s="2"/>
      <c r="C104" s="2"/>
      <c r="D104" s="2"/>
      <c r="E104" s="2"/>
      <c r="F104" s="2"/>
      <c r="G104" s="2"/>
      <c r="H104" s="27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2:49" ht="15.75" customHeight="1" x14ac:dyDescent="0.2">
      <c r="B105" s="2"/>
      <c r="C105" s="2"/>
      <c r="D105" s="2"/>
      <c r="E105" s="2"/>
      <c r="F105" s="2"/>
      <c r="G105" s="2"/>
      <c r="H105" s="27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2:49" ht="15.75" customHeight="1" x14ac:dyDescent="0.2">
      <c r="B106" s="2"/>
      <c r="C106" s="2"/>
      <c r="D106" s="2"/>
      <c r="E106" s="2"/>
      <c r="F106" s="2"/>
      <c r="G106" s="2"/>
      <c r="H106" s="27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2:49" ht="15.75" customHeight="1" x14ac:dyDescent="0.2">
      <c r="B107" s="2"/>
      <c r="C107" s="2"/>
      <c r="D107" s="2"/>
      <c r="E107" s="2"/>
      <c r="F107" s="2"/>
      <c r="G107" s="2"/>
      <c r="H107" s="27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2:49" ht="15.75" customHeight="1" x14ac:dyDescent="0.2">
      <c r="B108" s="2"/>
      <c r="C108" s="2"/>
      <c r="D108" s="2"/>
      <c r="E108" s="2"/>
      <c r="F108" s="2"/>
      <c r="G108" s="2"/>
      <c r="H108" s="2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2:49" ht="15.75" customHeight="1" x14ac:dyDescent="0.2">
      <c r="B109" s="2"/>
      <c r="C109" s="2"/>
      <c r="D109" s="2"/>
      <c r="E109" s="2"/>
      <c r="F109" s="2"/>
      <c r="G109" s="2"/>
      <c r="H109" s="27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2:49" ht="15.75" customHeight="1" x14ac:dyDescent="0.2">
      <c r="B110" s="2"/>
      <c r="C110" s="2"/>
      <c r="D110" s="2"/>
      <c r="E110" s="2"/>
      <c r="F110" s="2"/>
      <c r="G110" s="2"/>
      <c r="H110" s="2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2:49" ht="15.75" customHeight="1" x14ac:dyDescent="0.2">
      <c r="B111" s="2"/>
      <c r="C111" s="2"/>
      <c r="D111" s="2"/>
      <c r="E111" s="2"/>
      <c r="F111" s="2"/>
      <c r="G111" s="2"/>
      <c r="H111" s="27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2:49" ht="15.75" customHeight="1" x14ac:dyDescent="0.2">
      <c r="B112" s="2"/>
      <c r="C112" s="2"/>
      <c r="D112" s="2"/>
      <c r="E112" s="2"/>
      <c r="F112" s="2"/>
      <c r="G112" s="2"/>
      <c r="H112" s="2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2:49" ht="15.75" customHeight="1" x14ac:dyDescent="0.2">
      <c r="B113" s="2"/>
      <c r="C113" s="2"/>
      <c r="D113" s="2"/>
      <c r="E113" s="2"/>
      <c r="F113" s="2"/>
      <c r="G113" s="2"/>
      <c r="H113" s="2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2:49" ht="15.75" customHeight="1" x14ac:dyDescent="0.2">
      <c r="B114" s="2"/>
      <c r="C114" s="2"/>
      <c r="D114" s="2"/>
      <c r="E114" s="2"/>
      <c r="F114" s="2"/>
      <c r="G114" s="2"/>
      <c r="H114" s="2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2:49" ht="15.75" customHeight="1" x14ac:dyDescent="0.2">
      <c r="B115" s="2"/>
      <c r="C115" s="2"/>
      <c r="D115" s="2"/>
      <c r="E115" s="2"/>
      <c r="F115" s="2"/>
      <c r="G115" s="2"/>
      <c r="H115" s="2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2:49" ht="15.75" customHeight="1" x14ac:dyDescent="0.2">
      <c r="B116" s="2"/>
      <c r="C116" s="2"/>
      <c r="D116" s="2"/>
      <c r="E116" s="2"/>
      <c r="F116" s="2"/>
      <c r="G116" s="2"/>
      <c r="H116" s="2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2:49" ht="15.75" customHeight="1" x14ac:dyDescent="0.2">
      <c r="B117" s="2"/>
      <c r="C117" s="2"/>
      <c r="D117" s="2"/>
      <c r="E117" s="2"/>
      <c r="F117" s="2"/>
      <c r="G117" s="2"/>
      <c r="H117" s="2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2:49" ht="15.75" customHeight="1" x14ac:dyDescent="0.2">
      <c r="B118" s="2"/>
      <c r="C118" s="2"/>
      <c r="D118" s="2"/>
      <c r="E118" s="2"/>
      <c r="F118" s="2"/>
      <c r="G118" s="2"/>
      <c r="H118" s="2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2:49" ht="15.75" customHeight="1" x14ac:dyDescent="0.2">
      <c r="B119" s="2"/>
      <c r="C119" s="2"/>
      <c r="D119" s="2"/>
      <c r="E119" s="2"/>
      <c r="F119" s="2"/>
      <c r="G119" s="2"/>
      <c r="H119" s="2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2:49" ht="15.75" customHeight="1" x14ac:dyDescent="0.2">
      <c r="B120" s="2"/>
      <c r="C120" s="2"/>
      <c r="D120" s="2"/>
      <c r="E120" s="2"/>
      <c r="F120" s="2"/>
      <c r="G120" s="2"/>
      <c r="H120" s="2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2:49" ht="15.75" customHeight="1" x14ac:dyDescent="0.2">
      <c r="B121" s="2"/>
      <c r="C121" s="2"/>
      <c r="D121" s="2"/>
      <c r="E121" s="2"/>
      <c r="F121" s="2"/>
      <c r="G121" s="2"/>
      <c r="H121" s="2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2:49" ht="15.75" customHeight="1" x14ac:dyDescent="0.2">
      <c r="B122" s="2"/>
      <c r="C122" s="2"/>
      <c r="D122" s="2"/>
      <c r="E122" s="2"/>
      <c r="F122" s="2"/>
      <c r="G122" s="2"/>
      <c r="H122" s="2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2:49" ht="15.75" customHeight="1" x14ac:dyDescent="0.2">
      <c r="B123" s="2"/>
      <c r="C123" s="2"/>
      <c r="D123" s="2"/>
      <c r="E123" s="2"/>
      <c r="F123" s="2"/>
      <c r="G123" s="2"/>
      <c r="H123" s="2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2:49" ht="15.75" customHeight="1" x14ac:dyDescent="0.2">
      <c r="B124" s="2"/>
      <c r="C124" s="2"/>
      <c r="D124" s="2"/>
      <c r="E124" s="2"/>
      <c r="F124" s="2"/>
      <c r="G124" s="2"/>
      <c r="H124" s="2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2:49" ht="15.75" customHeight="1" x14ac:dyDescent="0.2">
      <c r="B125" s="2"/>
      <c r="C125" s="2"/>
      <c r="D125" s="2"/>
      <c r="E125" s="2"/>
      <c r="F125" s="2"/>
      <c r="G125" s="2"/>
      <c r="H125" s="2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2:49" ht="15.75" customHeight="1" x14ac:dyDescent="0.2">
      <c r="B126" s="2"/>
      <c r="C126" s="2"/>
      <c r="D126" s="2"/>
      <c r="E126" s="2"/>
      <c r="F126" s="2"/>
      <c r="G126" s="2"/>
      <c r="H126" s="2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2:49" ht="15.75" customHeight="1" x14ac:dyDescent="0.2">
      <c r="B127" s="2"/>
      <c r="C127" s="2"/>
      <c r="D127" s="2"/>
      <c r="E127" s="2"/>
      <c r="F127" s="2"/>
      <c r="G127" s="2"/>
      <c r="H127" s="2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2:49" ht="15.75" customHeight="1" x14ac:dyDescent="0.2">
      <c r="B128" s="2"/>
      <c r="C128" s="2"/>
      <c r="D128" s="2"/>
      <c r="E128" s="2"/>
      <c r="F128" s="2"/>
      <c r="G128" s="2"/>
      <c r="H128" s="2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2:49" ht="15.75" customHeight="1" x14ac:dyDescent="0.2">
      <c r="B129" s="2"/>
      <c r="C129" s="2"/>
      <c r="D129" s="2"/>
      <c r="E129" s="2"/>
      <c r="F129" s="2"/>
      <c r="G129" s="2"/>
      <c r="H129" s="27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2:49" ht="15.75" customHeight="1" x14ac:dyDescent="0.2">
      <c r="B130" s="2"/>
      <c r="C130" s="2"/>
      <c r="D130" s="2"/>
      <c r="E130" s="2"/>
      <c r="F130" s="2"/>
      <c r="G130" s="2"/>
      <c r="H130" s="2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2:49" ht="15.75" customHeight="1" x14ac:dyDescent="0.2">
      <c r="B131" s="2"/>
      <c r="C131" s="2"/>
      <c r="D131" s="2"/>
      <c r="E131" s="2"/>
      <c r="F131" s="2"/>
      <c r="G131" s="2"/>
      <c r="H131" s="27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2:49" ht="15.75" customHeight="1" x14ac:dyDescent="0.2">
      <c r="B132" s="2"/>
      <c r="C132" s="2"/>
      <c r="D132" s="2"/>
      <c r="E132" s="2"/>
      <c r="F132" s="2"/>
      <c r="G132" s="2"/>
      <c r="H132" s="2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2:49" ht="15.75" customHeight="1" x14ac:dyDescent="0.2">
      <c r="B133" s="2"/>
      <c r="C133" s="2"/>
      <c r="D133" s="2"/>
      <c r="E133" s="2"/>
      <c r="F133" s="2"/>
      <c r="G133" s="2"/>
      <c r="H133" s="2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2:49" ht="15.75" customHeight="1" x14ac:dyDescent="0.2">
      <c r="B134" s="2"/>
      <c r="C134" s="2"/>
      <c r="D134" s="2"/>
      <c r="E134" s="2"/>
      <c r="F134" s="2"/>
      <c r="G134" s="2"/>
      <c r="H134" s="2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2:49" ht="15.75" customHeight="1" x14ac:dyDescent="0.2">
      <c r="B135" s="2"/>
      <c r="C135" s="2"/>
      <c r="D135" s="2"/>
      <c r="E135" s="2"/>
      <c r="F135" s="2"/>
      <c r="G135" s="2"/>
      <c r="H135" s="2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2:49" ht="15.75" customHeight="1" x14ac:dyDescent="0.2">
      <c r="B136" s="2"/>
      <c r="C136" s="2"/>
      <c r="D136" s="2"/>
      <c r="E136" s="2"/>
      <c r="F136" s="2"/>
      <c r="G136" s="2"/>
      <c r="H136" s="2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2:49" ht="15.75" customHeight="1" x14ac:dyDescent="0.2">
      <c r="B137" s="2"/>
      <c r="C137" s="2"/>
      <c r="D137" s="2"/>
      <c r="E137" s="2"/>
      <c r="F137" s="2"/>
      <c r="G137" s="2"/>
      <c r="H137" s="2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2:49" ht="15.75" customHeight="1" x14ac:dyDescent="0.2">
      <c r="B138" s="2"/>
      <c r="C138" s="2"/>
      <c r="D138" s="2"/>
      <c r="E138" s="2"/>
      <c r="F138" s="2"/>
      <c r="G138" s="2"/>
      <c r="H138" s="2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2:49" ht="15.75" customHeight="1" x14ac:dyDescent="0.2">
      <c r="B139" s="2"/>
      <c r="C139" s="2"/>
      <c r="D139" s="2"/>
      <c r="E139" s="2"/>
      <c r="F139" s="2"/>
      <c r="G139" s="2"/>
      <c r="H139" s="2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2:49" ht="15.75" customHeight="1" x14ac:dyDescent="0.2">
      <c r="B140" s="2"/>
      <c r="C140" s="2"/>
      <c r="D140" s="2"/>
      <c r="E140" s="2"/>
      <c r="F140" s="2"/>
      <c r="G140" s="2"/>
      <c r="H140" s="2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2:49" ht="15.75" customHeight="1" x14ac:dyDescent="0.2">
      <c r="B141" s="2"/>
      <c r="C141" s="2"/>
      <c r="D141" s="2"/>
      <c r="E141" s="2"/>
      <c r="F141" s="2"/>
      <c r="G141" s="2"/>
      <c r="H141" s="27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2:49" ht="15.75" customHeight="1" x14ac:dyDescent="0.2">
      <c r="B142" s="2"/>
      <c r="C142" s="2"/>
      <c r="D142" s="2"/>
      <c r="E142" s="2"/>
      <c r="F142" s="2"/>
      <c r="G142" s="2"/>
      <c r="H142" s="2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2:49" ht="15.75" customHeight="1" x14ac:dyDescent="0.2">
      <c r="B143" s="2"/>
      <c r="C143" s="2"/>
      <c r="D143" s="2"/>
      <c r="E143" s="2"/>
      <c r="F143" s="2"/>
      <c r="G143" s="2"/>
      <c r="H143" s="27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2:49" ht="15.75" customHeight="1" x14ac:dyDescent="0.2">
      <c r="B144" s="2"/>
      <c r="C144" s="2"/>
      <c r="D144" s="2"/>
      <c r="E144" s="2"/>
      <c r="F144" s="2"/>
      <c r="G144" s="2"/>
      <c r="H144" s="2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2:49" ht="15.75" customHeight="1" x14ac:dyDescent="0.2">
      <c r="B145" s="2"/>
      <c r="C145" s="2"/>
      <c r="D145" s="2"/>
      <c r="E145" s="2"/>
      <c r="F145" s="2"/>
      <c r="G145" s="2"/>
      <c r="H145" s="27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2:49" ht="15.75" customHeight="1" x14ac:dyDescent="0.2">
      <c r="B146" s="2"/>
      <c r="C146" s="2"/>
      <c r="D146" s="2"/>
      <c r="E146" s="2"/>
      <c r="F146" s="2"/>
      <c r="G146" s="2"/>
      <c r="H146" s="27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2:49" ht="15.75" customHeight="1" x14ac:dyDescent="0.2">
      <c r="B147" s="2"/>
      <c r="C147" s="2"/>
      <c r="D147" s="2"/>
      <c r="E147" s="2"/>
      <c r="F147" s="2"/>
      <c r="G147" s="2"/>
      <c r="H147" s="2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2:49" ht="15.75" customHeight="1" x14ac:dyDescent="0.2">
      <c r="B148" s="2"/>
      <c r="C148" s="2"/>
      <c r="D148" s="2"/>
      <c r="E148" s="2"/>
      <c r="F148" s="2"/>
      <c r="G148" s="2"/>
      <c r="H148" s="2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2:49" ht="15.75" customHeight="1" x14ac:dyDescent="0.2">
      <c r="B149" s="2"/>
      <c r="C149" s="2"/>
      <c r="D149" s="2"/>
      <c r="E149" s="2"/>
      <c r="F149" s="2"/>
      <c r="G149" s="2"/>
      <c r="H149" s="2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2:49" ht="15.75" customHeight="1" x14ac:dyDescent="0.2">
      <c r="B150" s="2"/>
      <c r="C150" s="2"/>
      <c r="D150" s="2"/>
      <c r="E150" s="2"/>
      <c r="F150" s="2"/>
      <c r="G150" s="2"/>
      <c r="H150" s="2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2:49" ht="15.75" customHeight="1" x14ac:dyDescent="0.2">
      <c r="B151" s="2"/>
      <c r="C151" s="2"/>
      <c r="D151" s="2"/>
      <c r="E151" s="2"/>
      <c r="F151" s="2"/>
      <c r="G151" s="2"/>
      <c r="H151" s="2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2:49" ht="15.75" customHeight="1" x14ac:dyDescent="0.2">
      <c r="B152" s="2"/>
      <c r="C152" s="2"/>
      <c r="D152" s="2"/>
      <c r="E152" s="2"/>
      <c r="F152" s="2"/>
      <c r="G152" s="2"/>
      <c r="H152" s="2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2:49" ht="15.75" customHeight="1" x14ac:dyDescent="0.2">
      <c r="B153" s="2"/>
      <c r="C153" s="2"/>
      <c r="D153" s="2"/>
      <c r="E153" s="2"/>
      <c r="F153" s="2"/>
      <c r="G153" s="2"/>
      <c r="H153" s="2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2:49" ht="15.75" customHeight="1" x14ac:dyDescent="0.2">
      <c r="B154" s="2"/>
      <c r="C154" s="2"/>
      <c r="D154" s="2"/>
      <c r="E154" s="2"/>
      <c r="F154" s="2"/>
      <c r="G154" s="2"/>
      <c r="H154" s="2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2:49" ht="15.75" customHeight="1" x14ac:dyDescent="0.2">
      <c r="B155" s="2"/>
      <c r="C155" s="2"/>
      <c r="D155" s="2"/>
      <c r="E155" s="2"/>
      <c r="F155" s="2"/>
      <c r="G155" s="2"/>
      <c r="H155" s="2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2:49" ht="15.75" customHeight="1" x14ac:dyDescent="0.2">
      <c r="B156" s="2"/>
      <c r="C156" s="2"/>
      <c r="D156" s="2"/>
      <c r="E156" s="2"/>
      <c r="F156" s="2"/>
      <c r="G156" s="2"/>
      <c r="H156" s="2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2:49" ht="15.75" customHeight="1" x14ac:dyDescent="0.2">
      <c r="B157" s="2"/>
      <c r="C157" s="2"/>
      <c r="D157" s="2"/>
      <c r="E157" s="2"/>
      <c r="F157" s="2"/>
      <c r="G157" s="2"/>
      <c r="H157" s="2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2:49" ht="15.75" customHeight="1" x14ac:dyDescent="0.2">
      <c r="B158" s="2"/>
      <c r="C158" s="2"/>
      <c r="D158" s="2"/>
      <c r="E158" s="2"/>
      <c r="F158" s="2"/>
      <c r="G158" s="2"/>
      <c r="H158" s="2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2:49" ht="15.75" customHeight="1" x14ac:dyDescent="0.2">
      <c r="B159" s="2"/>
      <c r="C159" s="2"/>
      <c r="D159" s="2"/>
      <c r="E159" s="2"/>
      <c r="F159" s="2"/>
      <c r="G159" s="2"/>
      <c r="H159" s="2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2:49" ht="15.75" customHeight="1" x14ac:dyDescent="0.2">
      <c r="B160" s="2"/>
      <c r="C160" s="2"/>
      <c r="D160" s="2"/>
      <c r="E160" s="2"/>
      <c r="F160" s="2"/>
      <c r="G160" s="2"/>
      <c r="H160" s="2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2:49" ht="15.75" customHeight="1" x14ac:dyDescent="0.2">
      <c r="B161" s="2"/>
      <c r="C161" s="2"/>
      <c r="D161" s="2"/>
      <c r="E161" s="2"/>
      <c r="F161" s="2"/>
      <c r="G161" s="2"/>
      <c r="H161" s="2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2:49" ht="15.75" customHeight="1" x14ac:dyDescent="0.2">
      <c r="B162" s="2"/>
      <c r="C162" s="2"/>
      <c r="D162" s="2"/>
      <c r="E162" s="2"/>
      <c r="F162" s="2"/>
      <c r="G162" s="2"/>
      <c r="H162" s="2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2:49" ht="15.75" customHeight="1" x14ac:dyDescent="0.2">
      <c r="B163" s="2"/>
      <c r="C163" s="2"/>
      <c r="D163" s="2"/>
      <c r="E163" s="2"/>
      <c r="F163" s="2"/>
      <c r="G163" s="2"/>
      <c r="H163" s="2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2:49" ht="15.75" customHeight="1" x14ac:dyDescent="0.2">
      <c r="B164" s="2"/>
      <c r="C164" s="2"/>
      <c r="D164" s="2"/>
      <c r="E164" s="2"/>
      <c r="F164" s="2"/>
      <c r="G164" s="2"/>
      <c r="H164" s="2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2:49" ht="15.75" customHeight="1" x14ac:dyDescent="0.2">
      <c r="B165" s="2"/>
      <c r="C165" s="2"/>
      <c r="D165" s="2"/>
      <c r="E165" s="2"/>
      <c r="F165" s="2"/>
      <c r="G165" s="2"/>
      <c r="H165" s="2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2:49" ht="15.75" customHeight="1" x14ac:dyDescent="0.2">
      <c r="B166" s="2"/>
      <c r="C166" s="2"/>
      <c r="D166" s="2"/>
      <c r="E166" s="2"/>
      <c r="F166" s="2"/>
      <c r="G166" s="2"/>
      <c r="H166" s="2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2:49" ht="15.75" customHeight="1" x14ac:dyDescent="0.2">
      <c r="B167" s="2"/>
      <c r="C167" s="2"/>
      <c r="D167" s="2"/>
      <c r="E167" s="2"/>
      <c r="F167" s="2"/>
      <c r="G167" s="2"/>
      <c r="H167" s="2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2:49" ht="15.75" customHeight="1" x14ac:dyDescent="0.2">
      <c r="B168" s="2"/>
      <c r="C168" s="2"/>
      <c r="D168" s="2"/>
      <c r="E168" s="2"/>
      <c r="F168" s="2"/>
      <c r="G168" s="28"/>
      <c r="H168" s="2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2:49" ht="15.75" customHeight="1" x14ac:dyDescent="0.2">
      <c r="B169" s="2"/>
      <c r="C169" s="2"/>
      <c r="D169" s="2"/>
      <c r="E169" s="2"/>
      <c r="F169" s="2"/>
      <c r="G169" s="28"/>
      <c r="H169" s="2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2:49" ht="15.75" customHeight="1" x14ac:dyDescent="0.2">
      <c r="B170" s="2"/>
      <c r="C170" s="2"/>
      <c r="D170" s="2"/>
      <c r="E170" s="2"/>
      <c r="F170" s="2"/>
      <c r="G170" s="28"/>
      <c r="H170" s="2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2:49" ht="15.75" customHeight="1" x14ac:dyDescent="0.2">
      <c r="B171" s="2"/>
      <c r="C171" s="2"/>
      <c r="D171" s="2"/>
      <c r="E171" s="2"/>
      <c r="F171" s="2"/>
      <c r="G171" s="28"/>
      <c r="H171" s="2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2:49" ht="15.75" customHeight="1" x14ac:dyDescent="0.2">
      <c r="B172" s="2"/>
      <c r="C172" s="2"/>
      <c r="D172" s="2"/>
      <c r="E172" s="2"/>
      <c r="F172" s="2"/>
      <c r="G172" s="28"/>
      <c r="H172" s="2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2:49" ht="15.75" customHeight="1" x14ac:dyDescent="0.2">
      <c r="B173" s="2"/>
      <c r="C173" s="2"/>
      <c r="D173" s="2"/>
      <c r="E173" s="2"/>
      <c r="F173" s="2"/>
      <c r="G173" s="28"/>
      <c r="H173" s="2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2:49" ht="15.75" customHeight="1" x14ac:dyDescent="0.2">
      <c r="B174" s="2"/>
      <c r="C174" s="2"/>
      <c r="D174" s="2"/>
      <c r="E174" s="2"/>
      <c r="F174" s="2"/>
      <c r="G174" s="28"/>
      <c r="H174" s="2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2:49" ht="15.75" customHeight="1" x14ac:dyDescent="0.2">
      <c r="B175" s="2"/>
      <c r="C175" s="2"/>
      <c r="D175" s="2"/>
      <c r="E175" s="2"/>
      <c r="F175" s="2"/>
      <c r="G175" s="28"/>
      <c r="H175" s="2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2:49" ht="15.75" customHeight="1" x14ac:dyDescent="0.2">
      <c r="B176" s="2"/>
      <c r="C176" s="2"/>
      <c r="D176" s="2"/>
      <c r="E176" s="2"/>
      <c r="F176" s="2"/>
      <c r="G176" s="28"/>
      <c r="H176" s="2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2:49" ht="15.75" customHeight="1" x14ac:dyDescent="0.2">
      <c r="B177" s="2"/>
      <c r="C177" s="2"/>
      <c r="D177" s="2"/>
      <c r="E177" s="2"/>
      <c r="F177" s="2"/>
      <c r="G177" s="28"/>
      <c r="H177" s="2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2:49" ht="15.75" customHeight="1" x14ac:dyDescent="0.2">
      <c r="B178" s="2"/>
      <c r="C178" s="2"/>
      <c r="D178" s="2"/>
      <c r="E178" s="2"/>
      <c r="F178" s="2"/>
      <c r="G178" s="28"/>
      <c r="H178" s="2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2:49" ht="15.75" customHeight="1" x14ac:dyDescent="0.2">
      <c r="B179" s="2"/>
      <c r="C179" s="2"/>
      <c r="D179" s="2"/>
      <c r="E179" s="2"/>
      <c r="F179" s="2"/>
      <c r="G179" s="28"/>
      <c r="H179" s="2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2:49" ht="15.75" customHeight="1" x14ac:dyDescent="0.2">
      <c r="B180" s="2"/>
      <c r="C180" s="2"/>
      <c r="D180" s="2"/>
      <c r="E180" s="2"/>
      <c r="F180" s="2"/>
      <c r="G180" s="28"/>
      <c r="H180" s="2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2:49" ht="15.75" customHeight="1" x14ac:dyDescent="0.2">
      <c r="B181" s="2"/>
      <c r="C181" s="2"/>
      <c r="D181" s="2"/>
      <c r="E181" s="2"/>
      <c r="F181" s="2"/>
      <c r="G181" s="28"/>
      <c r="H181" s="2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2:49" ht="15.75" customHeight="1" x14ac:dyDescent="0.2">
      <c r="B182" s="2"/>
      <c r="C182" s="2"/>
      <c r="D182" s="2"/>
      <c r="E182" s="2"/>
      <c r="F182" s="2"/>
      <c r="G182" s="28"/>
      <c r="H182" s="2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2:49" ht="15.75" customHeight="1" x14ac:dyDescent="0.2">
      <c r="B183" s="2"/>
      <c r="C183" s="2"/>
      <c r="D183" s="2"/>
      <c r="E183" s="2"/>
      <c r="F183" s="2"/>
      <c r="G183" s="28"/>
      <c r="H183" s="2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2:49" ht="15.75" customHeight="1" x14ac:dyDescent="0.2">
      <c r="B184" s="2"/>
      <c r="C184" s="2"/>
      <c r="D184" s="2"/>
      <c r="E184" s="2"/>
      <c r="F184" s="2"/>
      <c r="G184" s="28"/>
      <c r="H184" s="2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2:49" ht="15.75" customHeight="1" x14ac:dyDescent="0.2">
      <c r="B185" s="2"/>
      <c r="C185" s="2"/>
      <c r="D185" s="2"/>
      <c r="E185" s="2"/>
      <c r="F185" s="2"/>
      <c r="G185" s="28"/>
      <c r="H185" s="2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2:49" ht="15.75" customHeight="1" x14ac:dyDescent="0.2">
      <c r="B186" s="2"/>
      <c r="C186" s="2"/>
      <c r="D186" s="2"/>
      <c r="E186" s="2"/>
      <c r="F186" s="2"/>
      <c r="G186" s="28"/>
      <c r="H186" s="2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2:49" ht="15.75" customHeight="1" x14ac:dyDescent="0.2">
      <c r="B187" s="2"/>
      <c r="C187" s="2"/>
      <c r="D187" s="2"/>
      <c r="E187" s="2"/>
      <c r="F187" s="2"/>
      <c r="G187" s="28"/>
      <c r="H187" s="2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2:49" ht="15.75" customHeight="1" x14ac:dyDescent="0.2">
      <c r="B188" s="2"/>
      <c r="C188" s="2"/>
      <c r="D188" s="2"/>
      <c r="E188" s="2"/>
      <c r="F188" s="2"/>
      <c r="G188" s="28"/>
      <c r="H188" s="2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2:49" ht="15.75" customHeight="1" x14ac:dyDescent="0.2">
      <c r="B189" s="2"/>
      <c r="C189" s="2"/>
      <c r="D189" s="2"/>
      <c r="E189" s="2"/>
      <c r="F189" s="2"/>
      <c r="G189" s="28"/>
      <c r="H189" s="2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2:49" ht="15.75" customHeight="1" x14ac:dyDescent="0.2">
      <c r="B190" s="2"/>
      <c r="C190" s="2"/>
      <c r="D190" s="2"/>
      <c r="E190" s="2"/>
      <c r="F190" s="2"/>
      <c r="G190" s="28"/>
      <c r="H190" s="2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2:49" ht="15.75" customHeight="1" x14ac:dyDescent="0.2">
      <c r="B191" s="2"/>
      <c r="C191" s="2"/>
      <c r="D191" s="2"/>
      <c r="E191" s="2"/>
      <c r="F191" s="2"/>
      <c r="G191" s="28"/>
      <c r="H191" s="2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2:49" ht="15.75" customHeight="1" x14ac:dyDescent="0.2">
      <c r="B192" s="2"/>
      <c r="C192" s="2"/>
      <c r="D192" s="2"/>
      <c r="E192" s="2"/>
      <c r="F192" s="2"/>
      <c r="G192" s="28"/>
      <c r="H192" s="2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2:49" ht="15.75" customHeight="1" x14ac:dyDescent="0.2">
      <c r="B193" s="2"/>
      <c r="C193" s="2"/>
      <c r="D193" s="2"/>
      <c r="E193" s="2"/>
      <c r="F193" s="2"/>
      <c r="G193" s="28"/>
      <c r="H193" s="2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2:49" ht="15.75" customHeight="1" x14ac:dyDescent="0.2">
      <c r="B194" s="2"/>
      <c r="C194" s="2"/>
      <c r="D194" s="2"/>
      <c r="E194" s="2"/>
      <c r="F194" s="2"/>
      <c r="G194" s="28"/>
      <c r="H194" s="2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2:49" ht="15.75" customHeight="1" x14ac:dyDescent="0.2">
      <c r="B195" s="2"/>
      <c r="C195" s="2"/>
      <c r="D195" s="2"/>
      <c r="E195" s="2"/>
      <c r="F195" s="2"/>
      <c r="G195" s="28"/>
      <c r="H195" s="2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2:49" ht="15.75" customHeight="1" x14ac:dyDescent="0.2">
      <c r="B196" s="2"/>
      <c r="C196" s="2"/>
      <c r="D196" s="2"/>
      <c r="E196" s="2"/>
      <c r="F196" s="2"/>
      <c r="G196" s="28"/>
      <c r="H196" s="2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2:49" ht="15.75" customHeight="1" x14ac:dyDescent="0.2">
      <c r="B197" s="2"/>
      <c r="C197" s="2"/>
      <c r="D197" s="2"/>
      <c r="E197" s="2"/>
      <c r="F197" s="2"/>
      <c r="G197" s="28"/>
      <c r="H197" s="2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2:49" ht="15.75" customHeight="1" x14ac:dyDescent="0.2">
      <c r="B198" s="2"/>
      <c r="C198" s="2"/>
      <c r="D198" s="2"/>
      <c r="E198" s="2"/>
      <c r="F198" s="2"/>
      <c r="G198" s="28"/>
      <c r="H198" s="2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2:49" ht="15.75" customHeight="1" x14ac:dyDescent="0.2">
      <c r="B199" s="2"/>
      <c r="C199" s="2"/>
      <c r="D199" s="2"/>
      <c r="E199" s="2"/>
      <c r="F199" s="2"/>
      <c r="G199" s="28"/>
      <c r="H199" s="2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2:49" ht="15.75" customHeight="1" x14ac:dyDescent="0.2">
      <c r="B200" s="2"/>
      <c r="C200" s="2"/>
      <c r="D200" s="2"/>
      <c r="E200" s="2"/>
      <c r="F200" s="2"/>
      <c r="G200" s="28"/>
      <c r="H200" s="2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2:49" ht="15.75" customHeight="1" x14ac:dyDescent="0.2">
      <c r="B201" s="2"/>
      <c r="C201" s="2"/>
      <c r="D201" s="2"/>
      <c r="E201" s="2"/>
      <c r="F201" s="2"/>
      <c r="G201" s="28"/>
      <c r="H201" s="2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2:49" ht="15.75" customHeight="1" x14ac:dyDescent="0.2">
      <c r="B202" s="2"/>
      <c r="C202" s="2"/>
      <c r="D202" s="2"/>
      <c r="E202" s="2"/>
      <c r="F202" s="2"/>
      <c r="G202" s="28"/>
      <c r="H202" s="2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2:49" ht="15.75" customHeight="1" x14ac:dyDescent="0.2">
      <c r="B203" s="2"/>
      <c r="C203" s="2"/>
      <c r="D203" s="2"/>
      <c r="E203" s="2"/>
      <c r="F203" s="2"/>
      <c r="G203" s="28"/>
      <c r="H203" s="2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2:49" ht="15.75" customHeight="1" x14ac:dyDescent="0.2">
      <c r="B204" s="2"/>
      <c r="C204" s="2"/>
      <c r="D204" s="2"/>
      <c r="E204" s="2"/>
      <c r="F204" s="2"/>
      <c r="G204" s="28"/>
      <c r="H204" s="2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2:49" ht="15.75" customHeight="1" x14ac:dyDescent="0.2">
      <c r="B205" s="2"/>
      <c r="C205" s="2"/>
      <c r="D205" s="2"/>
      <c r="E205" s="2"/>
      <c r="F205" s="2"/>
      <c r="G205" s="28"/>
      <c r="H205" s="2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2:49" ht="15.75" customHeight="1" x14ac:dyDescent="0.2">
      <c r="B206" s="2"/>
      <c r="C206" s="2"/>
      <c r="D206" s="2"/>
      <c r="E206" s="2"/>
      <c r="F206" s="2"/>
      <c r="G206" s="28"/>
      <c r="H206" s="2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2:49" ht="15.75" customHeight="1" x14ac:dyDescent="0.2">
      <c r="B207" s="2"/>
      <c r="C207" s="2"/>
      <c r="D207" s="2"/>
      <c r="E207" s="2"/>
      <c r="F207" s="2"/>
      <c r="G207" s="28"/>
      <c r="H207" s="2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2:49" ht="15.75" customHeight="1" x14ac:dyDescent="0.2">
      <c r="B208" s="2"/>
      <c r="C208" s="2"/>
      <c r="D208" s="2"/>
      <c r="E208" s="2"/>
      <c r="F208" s="2"/>
      <c r="G208" s="28"/>
      <c r="H208" s="2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2:49" ht="15.75" customHeight="1" x14ac:dyDescent="0.2">
      <c r="B209" s="2"/>
      <c r="C209" s="2"/>
      <c r="D209" s="2"/>
      <c r="E209" s="2"/>
      <c r="F209" s="2"/>
      <c r="G209" s="28"/>
      <c r="H209" s="2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2:49" ht="15.75" customHeight="1" x14ac:dyDescent="0.2">
      <c r="B210" s="2"/>
      <c r="C210" s="2"/>
      <c r="D210" s="2"/>
      <c r="E210" s="2"/>
      <c r="F210" s="2"/>
      <c r="G210" s="28"/>
      <c r="H210" s="2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2:49" ht="15.75" customHeight="1" x14ac:dyDescent="0.2">
      <c r="B211" s="2"/>
      <c r="C211" s="2"/>
      <c r="D211" s="2"/>
      <c r="E211" s="2"/>
      <c r="F211" s="2"/>
      <c r="G211" s="28"/>
      <c r="H211" s="2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2:49" ht="15.75" customHeight="1" x14ac:dyDescent="0.2">
      <c r="B212" s="2"/>
      <c r="C212" s="2"/>
      <c r="D212" s="2"/>
      <c r="E212" s="2"/>
      <c r="F212" s="2"/>
      <c r="G212" s="28"/>
      <c r="H212" s="2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2:49" ht="15.75" customHeight="1" x14ac:dyDescent="0.2">
      <c r="B213" s="2"/>
      <c r="C213" s="2"/>
      <c r="D213" s="2"/>
      <c r="E213" s="2"/>
      <c r="F213" s="2"/>
      <c r="G213" s="28"/>
      <c r="H213" s="2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2:49" ht="15.75" customHeight="1" x14ac:dyDescent="0.2">
      <c r="B214" s="2"/>
      <c r="C214" s="2"/>
      <c r="D214" s="2"/>
      <c r="E214" s="2"/>
      <c r="F214" s="2"/>
      <c r="G214" s="28"/>
      <c r="H214" s="2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2:49" ht="15.75" customHeight="1" x14ac:dyDescent="0.2">
      <c r="B215" s="2"/>
      <c r="C215" s="2"/>
      <c r="D215" s="2"/>
      <c r="E215" s="2"/>
      <c r="F215" s="2"/>
      <c r="G215" s="28"/>
      <c r="H215" s="2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2:49" ht="15.75" customHeight="1" x14ac:dyDescent="0.2">
      <c r="B216" s="2"/>
      <c r="C216" s="2"/>
      <c r="D216" s="2"/>
      <c r="E216" s="2"/>
      <c r="F216" s="2"/>
      <c r="G216" s="28"/>
      <c r="H216" s="2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2:49" ht="15.75" customHeight="1" x14ac:dyDescent="0.2">
      <c r="B217" s="2"/>
      <c r="C217" s="2"/>
      <c r="D217" s="2"/>
      <c r="E217" s="2"/>
      <c r="F217" s="2"/>
      <c r="G217" s="28"/>
      <c r="H217" s="2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2:49" ht="15.75" customHeight="1" x14ac:dyDescent="0.2">
      <c r="B218" s="2"/>
      <c r="C218" s="2"/>
      <c r="D218" s="2"/>
      <c r="E218" s="2"/>
      <c r="F218" s="2"/>
      <c r="G218" s="28"/>
      <c r="H218" s="2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2:49" ht="15.75" customHeight="1" x14ac:dyDescent="0.2">
      <c r="B219" s="2"/>
      <c r="C219" s="2"/>
      <c r="D219" s="2"/>
      <c r="E219" s="2"/>
      <c r="F219" s="2"/>
      <c r="G219" s="28"/>
      <c r="H219" s="2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2:49" ht="15.75" customHeight="1" x14ac:dyDescent="0.2">
      <c r="B220" s="2"/>
      <c r="C220" s="2"/>
      <c r="D220" s="2"/>
      <c r="E220" s="2"/>
      <c r="F220" s="2"/>
      <c r="G220" s="28"/>
      <c r="H220" s="2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2:49" ht="15.75" customHeight="1" x14ac:dyDescent="0.2">
      <c r="B221" s="2"/>
      <c r="C221" s="2"/>
      <c r="D221" s="2"/>
      <c r="E221" s="2"/>
      <c r="F221" s="2"/>
      <c r="G221" s="28"/>
      <c r="H221" s="2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2:49" ht="15.75" customHeight="1" x14ac:dyDescent="0.2">
      <c r="B222" s="2"/>
      <c r="C222" s="2"/>
      <c r="D222" s="2"/>
      <c r="E222" s="2"/>
      <c r="F222" s="2"/>
      <c r="G222" s="28"/>
      <c r="H222" s="2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2:49" ht="15.75" customHeight="1" x14ac:dyDescent="0.2">
      <c r="B223" s="2"/>
      <c r="C223" s="2"/>
      <c r="D223" s="2"/>
      <c r="E223" s="2"/>
      <c r="F223" s="2"/>
      <c r="G223" s="28"/>
      <c r="H223" s="2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2:49" ht="15.75" customHeight="1" x14ac:dyDescent="0.2">
      <c r="B224" s="2"/>
      <c r="C224" s="2"/>
      <c r="D224" s="2"/>
      <c r="E224" s="2"/>
      <c r="F224" s="2"/>
      <c r="G224" s="28"/>
      <c r="H224" s="2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2:49" ht="15.75" customHeight="1" x14ac:dyDescent="0.2">
      <c r="B225" s="2"/>
      <c r="C225" s="2"/>
      <c r="D225" s="2"/>
      <c r="E225" s="2"/>
      <c r="F225" s="2"/>
      <c r="G225" s="28"/>
      <c r="H225" s="2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2:49" ht="15.75" customHeight="1" x14ac:dyDescent="0.2">
      <c r="B226" s="2"/>
      <c r="C226" s="2"/>
      <c r="D226" s="2"/>
      <c r="E226" s="2"/>
      <c r="F226" s="2"/>
      <c r="G226" s="28"/>
      <c r="H226" s="2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2:49" ht="15.75" customHeight="1" x14ac:dyDescent="0.2">
      <c r="B227" s="2"/>
      <c r="C227" s="2"/>
      <c r="D227" s="2"/>
      <c r="E227" s="2"/>
      <c r="F227" s="2"/>
      <c r="G227" s="28"/>
      <c r="H227" s="2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2:49" ht="15.75" customHeight="1" x14ac:dyDescent="0.2">
      <c r="B228" s="2"/>
      <c r="C228" s="2"/>
      <c r="D228" s="2"/>
      <c r="E228" s="2"/>
      <c r="F228" s="2"/>
      <c r="G228" s="28"/>
      <c r="H228" s="2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2:49" ht="15.75" customHeight="1" x14ac:dyDescent="0.2">
      <c r="B229" s="2"/>
      <c r="C229" s="2"/>
      <c r="D229" s="2"/>
      <c r="E229" s="2"/>
      <c r="F229" s="2"/>
      <c r="G229" s="28"/>
      <c r="H229" s="2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2:49" ht="15.75" customHeight="1" x14ac:dyDescent="0.2">
      <c r="B230" s="2"/>
      <c r="C230" s="2"/>
      <c r="D230" s="2"/>
      <c r="E230" s="2"/>
      <c r="F230" s="2"/>
      <c r="G230" s="28"/>
      <c r="H230" s="2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2:49" ht="15.75" customHeight="1" x14ac:dyDescent="0.2">
      <c r="B231" s="2"/>
      <c r="C231" s="2"/>
      <c r="D231" s="2"/>
      <c r="E231" s="2"/>
      <c r="F231" s="2"/>
      <c r="G231" s="28"/>
      <c r="H231" s="2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2:49" ht="15.75" customHeight="1" x14ac:dyDescent="0.2">
      <c r="B232" s="2"/>
      <c r="C232" s="2"/>
      <c r="D232" s="2"/>
      <c r="E232" s="2"/>
      <c r="F232" s="2"/>
      <c r="G232" s="28"/>
      <c r="H232" s="2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2:49" ht="15.75" customHeight="1" x14ac:dyDescent="0.2">
      <c r="B233" s="2"/>
      <c r="C233" s="2"/>
      <c r="D233" s="2"/>
      <c r="E233" s="2"/>
      <c r="F233" s="2"/>
      <c r="G233" s="28"/>
      <c r="H233" s="2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2:49" ht="15.75" customHeight="1" x14ac:dyDescent="0.2">
      <c r="B234" s="2"/>
      <c r="C234" s="2"/>
      <c r="D234" s="2"/>
      <c r="E234" s="2"/>
      <c r="F234" s="2"/>
      <c r="G234" s="28"/>
      <c r="H234" s="2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2:49" ht="15.75" customHeight="1" x14ac:dyDescent="0.2">
      <c r="B235" s="2"/>
      <c r="C235" s="2"/>
      <c r="D235" s="2"/>
      <c r="E235" s="2"/>
      <c r="F235" s="2"/>
      <c r="G235" s="28"/>
      <c r="H235" s="2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2:49" ht="15.75" customHeight="1" x14ac:dyDescent="0.2">
      <c r="B236" s="2"/>
      <c r="C236" s="2"/>
      <c r="D236" s="2"/>
      <c r="E236" s="2"/>
      <c r="F236" s="2"/>
      <c r="G236" s="28"/>
      <c r="H236" s="2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2:49" ht="15.75" customHeight="1" x14ac:dyDescent="0.2">
      <c r="B237" s="2"/>
      <c r="C237" s="2"/>
      <c r="D237" s="2"/>
      <c r="E237" s="2"/>
      <c r="F237" s="2"/>
      <c r="G237" s="28"/>
      <c r="H237" s="2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2:49" ht="15.75" customHeight="1" x14ac:dyDescent="0.2">
      <c r="B238" s="2"/>
      <c r="C238" s="2"/>
      <c r="D238" s="2"/>
      <c r="E238" s="2"/>
      <c r="F238" s="2"/>
      <c r="G238" s="28"/>
      <c r="H238" s="2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2:49" ht="15.75" customHeight="1" x14ac:dyDescent="0.2">
      <c r="B239" s="2"/>
      <c r="C239" s="2"/>
      <c r="D239" s="2"/>
      <c r="E239" s="2"/>
      <c r="F239" s="2"/>
      <c r="G239" s="28"/>
      <c r="H239" s="2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2:49" ht="15.75" customHeight="1" x14ac:dyDescent="0.2">
      <c r="B240" s="2"/>
      <c r="C240" s="2"/>
      <c r="D240" s="2"/>
      <c r="E240" s="2"/>
      <c r="F240" s="2"/>
      <c r="G240" s="28"/>
      <c r="H240" s="2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2:49" ht="15.75" customHeight="1" x14ac:dyDescent="0.2">
      <c r="B241" s="2"/>
      <c r="C241" s="2"/>
      <c r="D241" s="2"/>
      <c r="E241" s="2"/>
      <c r="F241" s="2"/>
      <c r="G241" s="28"/>
      <c r="H241" s="2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2:49" ht="15.75" customHeight="1" x14ac:dyDescent="0.2">
      <c r="B242" s="2"/>
      <c r="C242" s="2"/>
      <c r="D242" s="2"/>
      <c r="E242" s="2"/>
      <c r="F242" s="2"/>
      <c r="G242" s="28"/>
      <c r="H242" s="2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2:49" ht="15.75" customHeight="1" x14ac:dyDescent="0.2">
      <c r="B243" s="2"/>
      <c r="C243" s="2"/>
      <c r="D243" s="2"/>
      <c r="E243" s="2"/>
      <c r="F243" s="2"/>
      <c r="G243" s="28"/>
      <c r="H243" s="2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2:49" ht="15.75" customHeight="1" x14ac:dyDescent="0.2">
      <c r="B244" s="2"/>
      <c r="C244" s="2"/>
      <c r="D244" s="2"/>
      <c r="E244" s="2"/>
      <c r="F244" s="2"/>
      <c r="G244" s="28"/>
      <c r="H244" s="2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2:49" ht="15.75" customHeight="1" x14ac:dyDescent="0.2">
      <c r="B245" s="2"/>
      <c r="C245" s="2"/>
      <c r="D245" s="2"/>
      <c r="E245" s="2"/>
      <c r="F245" s="2"/>
      <c r="G245" s="28"/>
      <c r="H245" s="2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2:49" ht="15.75" customHeight="1" x14ac:dyDescent="0.2">
      <c r="B246" s="2"/>
      <c r="C246" s="2"/>
      <c r="D246" s="2"/>
      <c r="E246" s="2"/>
      <c r="F246" s="2"/>
      <c r="G246" s="28"/>
      <c r="H246" s="2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2:49" ht="15.75" customHeight="1" x14ac:dyDescent="0.2">
      <c r="B247" s="2"/>
      <c r="C247" s="2"/>
      <c r="D247" s="2"/>
      <c r="E247" s="2"/>
      <c r="F247" s="2"/>
      <c r="G247" s="28"/>
      <c r="H247" s="2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2:49" ht="15.75" customHeight="1" x14ac:dyDescent="0.2">
      <c r="B248" s="2"/>
      <c r="C248" s="2"/>
      <c r="D248" s="2"/>
      <c r="E248" s="2"/>
      <c r="F248" s="2"/>
      <c r="G248" s="28"/>
      <c r="H248" s="2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2:49" ht="15.75" customHeight="1" x14ac:dyDescent="0.2">
      <c r="B249" s="2"/>
      <c r="C249" s="2"/>
      <c r="D249" s="2"/>
      <c r="E249" s="2"/>
      <c r="F249" s="2"/>
      <c r="G249" s="28"/>
      <c r="H249" s="2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2:49" ht="15.75" customHeight="1" x14ac:dyDescent="0.2">
      <c r="B250" s="2"/>
      <c r="C250" s="2"/>
      <c r="D250" s="2"/>
      <c r="E250" s="2"/>
      <c r="F250" s="2"/>
      <c r="G250" s="28"/>
      <c r="H250" s="27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2:49" ht="15.75" customHeight="1" x14ac:dyDescent="0.2">
      <c r="B251" s="2"/>
      <c r="C251" s="2"/>
      <c r="D251" s="2"/>
      <c r="E251" s="2"/>
      <c r="F251" s="2"/>
      <c r="G251" s="28"/>
      <c r="H251" s="2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2:49" ht="15.75" customHeight="1" x14ac:dyDescent="0.2">
      <c r="B252" s="2"/>
      <c r="C252" s="2"/>
      <c r="D252" s="2"/>
      <c r="E252" s="2"/>
      <c r="F252" s="2"/>
      <c r="G252" s="28"/>
      <c r="H252" s="2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2:49" ht="15.75" customHeight="1" x14ac:dyDescent="0.2">
      <c r="B253" s="2"/>
      <c r="C253" s="2"/>
      <c r="D253" s="2"/>
      <c r="E253" s="2"/>
      <c r="F253" s="2"/>
      <c r="G253" s="28"/>
      <c r="H253" s="2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2:49" ht="15.75" customHeight="1" x14ac:dyDescent="0.2">
      <c r="B254" s="2"/>
      <c r="C254" s="2"/>
      <c r="D254" s="2"/>
      <c r="E254" s="2"/>
      <c r="F254" s="2"/>
      <c r="G254" s="28"/>
      <c r="H254" s="2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2:49" ht="15.75" customHeight="1" x14ac:dyDescent="0.2">
      <c r="B255" s="2"/>
      <c r="C255" s="2"/>
      <c r="D255" s="2"/>
      <c r="E255" s="2"/>
      <c r="F255" s="2"/>
      <c r="G255" s="28"/>
      <c r="H255" s="2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2:49" ht="15.75" customHeight="1" x14ac:dyDescent="0.2">
      <c r="B256" s="2"/>
      <c r="C256" s="2"/>
      <c r="D256" s="2"/>
      <c r="E256" s="2"/>
      <c r="F256" s="2"/>
      <c r="G256" s="28"/>
      <c r="H256" s="2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2:49" ht="15.75" customHeight="1" x14ac:dyDescent="0.2">
      <c r="B257" s="2"/>
      <c r="C257" s="2"/>
      <c r="D257" s="2"/>
      <c r="E257" s="2"/>
      <c r="F257" s="2"/>
      <c r="G257" s="28"/>
      <c r="H257" s="2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2:49" ht="15.75" customHeight="1" x14ac:dyDescent="0.2">
      <c r="B258" s="2"/>
      <c r="C258" s="2"/>
      <c r="D258" s="2"/>
      <c r="E258" s="2"/>
      <c r="F258" s="2"/>
      <c r="G258" s="28"/>
      <c r="H258" s="2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2:49" ht="15.75" customHeight="1" x14ac:dyDescent="0.2">
      <c r="B259" s="2"/>
      <c r="C259" s="2"/>
      <c r="D259" s="2"/>
      <c r="E259" s="2"/>
      <c r="F259" s="2"/>
      <c r="G259" s="28"/>
      <c r="H259" s="2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2:49" ht="15.75" customHeight="1" x14ac:dyDescent="0.2">
      <c r="B260" s="2"/>
      <c r="C260" s="2"/>
      <c r="D260" s="2"/>
      <c r="E260" s="2"/>
      <c r="F260" s="2"/>
      <c r="G260" s="28"/>
      <c r="H260" s="2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2:49" ht="15.75" customHeight="1" x14ac:dyDescent="0.2">
      <c r="B261" s="2"/>
      <c r="C261" s="2"/>
      <c r="D261" s="2"/>
      <c r="E261" s="2"/>
      <c r="F261" s="2"/>
      <c r="G261" s="28"/>
      <c r="H261" s="2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2:49" ht="15.75" customHeight="1" x14ac:dyDescent="0.2">
      <c r="B262" s="2"/>
      <c r="C262" s="2"/>
      <c r="D262" s="2"/>
      <c r="E262" s="2"/>
      <c r="F262" s="2"/>
      <c r="G262" s="28"/>
      <c r="H262" s="2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2:49" ht="15.75" customHeight="1" x14ac:dyDescent="0.2">
      <c r="B263" s="2"/>
      <c r="C263" s="2"/>
      <c r="D263" s="2"/>
      <c r="E263" s="2"/>
      <c r="F263" s="2"/>
      <c r="G263" s="28"/>
      <c r="H263" s="2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2:49" ht="15.75" customHeight="1" x14ac:dyDescent="0.2">
      <c r="B264" s="2"/>
      <c r="C264" s="2"/>
      <c r="D264" s="2"/>
      <c r="E264" s="2"/>
      <c r="F264" s="2"/>
      <c r="G264" s="28"/>
      <c r="H264" s="2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2:49" ht="15.75" customHeight="1" x14ac:dyDescent="0.2">
      <c r="B265" s="2"/>
      <c r="C265" s="2"/>
      <c r="D265" s="2"/>
      <c r="E265" s="2"/>
      <c r="F265" s="2"/>
      <c r="G265" s="28"/>
      <c r="H265" s="2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2:49" ht="15.75" customHeight="1" x14ac:dyDescent="0.2">
      <c r="B266" s="2"/>
      <c r="C266" s="2"/>
      <c r="D266" s="2"/>
      <c r="E266" s="2"/>
      <c r="F266" s="2"/>
      <c r="G266" s="28"/>
      <c r="H266" s="2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2:49" ht="15.75" customHeight="1" x14ac:dyDescent="0.2">
      <c r="B267" s="2"/>
      <c r="C267" s="2"/>
      <c r="D267" s="2"/>
      <c r="E267" s="2"/>
      <c r="F267" s="2"/>
      <c r="G267" s="28"/>
      <c r="H267" s="2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49" ht="15.75" customHeight="1" x14ac:dyDescent="0.2">
      <c r="B268" s="2"/>
      <c r="C268" s="2"/>
      <c r="D268" s="2"/>
      <c r="E268" s="2"/>
      <c r="F268" s="2"/>
      <c r="G268" s="28"/>
      <c r="H268" s="2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49" ht="15.75" customHeight="1" x14ac:dyDescent="0.2">
      <c r="B269" s="2"/>
      <c r="C269" s="2"/>
      <c r="D269" s="2"/>
      <c r="E269" s="2"/>
      <c r="F269" s="2"/>
      <c r="G269" s="28"/>
      <c r="H269" s="2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2:49" ht="15.75" customHeight="1" x14ac:dyDescent="0.2">
      <c r="B270" s="2"/>
      <c r="C270" s="2"/>
      <c r="D270" s="2"/>
      <c r="E270" s="2"/>
      <c r="F270" s="2"/>
      <c r="G270" s="28"/>
      <c r="H270" s="2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2:49" ht="15.75" customHeight="1" x14ac:dyDescent="0.2">
      <c r="B271" s="2"/>
      <c r="C271" s="2"/>
      <c r="D271" s="2"/>
      <c r="E271" s="2"/>
      <c r="F271" s="2"/>
      <c r="G271" s="28"/>
      <c r="H271" s="2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2:49" ht="15.75" customHeight="1" x14ac:dyDescent="0.2">
      <c r="B272" s="2"/>
      <c r="C272" s="2"/>
      <c r="D272" s="2"/>
      <c r="E272" s="2"/>
      <c r="F272" s="2"/>
      <c r="G272" s="28"/>
      <c r="H272" s="2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2:49" ht="15.75" customHeight="1" x14ac:dyDescent="0.2">
      <c r="B273" s="2"/>
      <c r="C273" s="2"/>
      <c r="D273" s="2"/>
      <c r="E273" s="2"/>
      <c r="F273" s="2"/>
      <c r="G273" s="28"/>
      <c r="H273" s="2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2:49" ht="15.75" customHeight="1" x14ac:dyDescent="0.2">
      <c r="B274" s="2"/>
      <c r="C274" s="2"/>
      <c r="D274" s="2"/>
      <c r="E274" s="2"/>
      <c r="F274" s="2"/>
      <c r="G274" s="28"/>
      <c r="H274" s="2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2:49" ht="15.75" customHeight="1" x14ac:dyDescent="0.2">
      <c r="B275" s="2"/>
      <c r="C275" s="2"/>
      <c r="D275" s="2"/>
      <c r="E275" s="2"/>
      <c r="F275" s="2"/>
      <c r="G275" s="28"/>
      <c r="H275" s="2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2:49" ht="15.75" customHeight="1" x14ac:dyDescent="0.2">
      <c r="B276" s="2"/>
      <c r="C276" s="2"/>
      <c r="D276" s="2"/>
      <c r="E276" s="2"/>
      <c r="F276" s="2"/>
      <c r="G276" s="28"/>
      <c r="H276" s="2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2:49" ht="15.75" customHeight="1" x14ac:dyDescent="0.2">
      <c r="B277" s="2"/>
      <c r="C277" s="2"/>
      <c r="D277" s="2"/>
      <c r="E277" s="2"/>
      <c r="F277" s="2"/>
      <c r="G277" s="28"/>
      <c r="H277" s="2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2:49" ht="15.75" customHeight="1" x14ac:dyDescent="0.2">
      <c r="B278" s="2"/>
      <c r="C278" s="2"/>
      <c r="D278" s="2"/>
      <c r="E278" s="2"/>
      <c r="F278" s="2"/>
      <c r="G278" s="28"/>
      <c r="H278" s="2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2:49" ht="15.75" customHeight="1" x14ac:dyDescent="0.2">
      <c r="B279" s="2"/>
      <c r="C279" s="2"/>
      <c r="D279" s="2"/>
      <c r="E279" s="2"/>
      <c r="F279" s="2"/>
      <c r="G279" s="28"/>
      <c r="H279" s="2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2:49" ht="15.75" customHeight="1" x14ac:dyDescent="0.2">
      <c r="B280" s="2"/>
      <c r="C280" s="2"/>
      <c r="D280" s="2"/>
      <c r="E280" s="2"/>
      <c r="F280" s="2"/>
      <c r="G280" s="28"/>
      <c r="H280" s="2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2:49" ht="15.75" customHeight="1" x14ac:dyDescent="0.2">
      <c r="B281" s="2"/>
      <c r="C281" s="2"/>
      <c r="D281" s="2"/>
      <c r="E281" s="2"/>
      <c r="F281" s="2"/>
      <c r="G281" s="28"/>
      <c r="H281" s="2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2:49" ht="15.75" customHeight="1" x14ac:dyDescent="0.2">
      <c r="B282" s="2"/>
      <c r="C282" s="2"/>
      <c r="D282" s="2"/>
      <c r="E282" s="2"/>
      <c r="F282" s="2"/>
      <c r="G282" s="28"/>
      <c r="H282" s="2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2:49" ht="15.75" customHeight="1" x14ac:dyDescent="0.2">
      <c r="B283" s="2"/>
      <c r="C283" s="2"/>
      <c r="D283" s="2"/>
      <c r="E283" s="2"/>
      <c r="F283" s="2"/>
      <c r="G283" s="28"/>
      <c r="H283" s="2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2:49" ht="15.75" customHeight="1" x14ac:dyDescent="0.2">
      <c r="B284" s="2"/>
      <c r="C284" s="2"/>
      <c r="D284" s="2"/>
      <c r="E284" s="2"/>
      <c r="F284" s="2"/>
      <c r="G284" s="28"/>
      <c r="H284" s="2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2:49" ht="15.75" customHeight="1" x14ac:dyDescent="0.2">
      <c r="B285" s="2"/>
      <c r="C285" s="2"/>
      <c r="D285" s="2"/>
      <c r="E285" s="2"/>
      <c r="F285" s="2"/>
      <c r="G285" s="28"/>
      <c r="H285" s="2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2:49" ht="15.75" customHeight="1" x14ac:dyDescent="0.2">
      <c r="B286" s="2"/>
      <c r="C286" s="2"/>
      <c r="D286" s="2"/>
      <c r="E286" s="2"/>
      <c r="F286" s="2"/>
      <c r="G286" s="28"/>
      <c r="H286" s="2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2:49" ht="15.75" customHeight="1" x14ac:dyDescent="0.2">
      <c r="B287" s="2"/>
      <c r="C287" s="2"/>
      <c r="D287" s="2"/>
      <c r="E287" s="2"/>
      <c r="F287" s="2"/>
      <c r="G287" s="28"/>
      <c r="H287" s="2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2:49" ht="15.75" customHeight="1" x14ac:dyDescent="0.2">
      <c r="B288" s="2"/>
      <c r="C288" s="2"/>
      <c r="D288" s="2"/>
      <c r="E288" s="2"/>
      <c r="F288" s="2"/>
      <c r="G288" s="28"/>
      <c r="H288" s="2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2:49" ht="15.75" customHeight="1" x14ac:dyDescent="0.2">
      <c r="B289" s="2"/>
      <c r="C289" s="2"/>
      <c r="D289" s="2"/>
      <c r="E289" s="2"/>
      <c r="F289" s="2"/>
      <c r="G289" s="28"/>
      <c r="H289" s="2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2:49" ht="15.75" customHeight="1" x14ac:dyDescent="0.2">
      <c r="B290" s="2"/>
      <c r="C290" s="2"/>
      <c r="D290" s="2"/>
      <c r="E290" s="2"/>
      <c r="F290" s="2"/>
      <c r="G290" s="28"/>
      <c r="H290" s="2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2:49" ht="15.75" customHeight="1" x14ac:dyDescent="0.2">
      <c r="B291" s="2"/>
      <c r="C291" s="2"/>
      <c r="D291" s="2"/>
      <c r="E291" s="2"/>
      <c r="F291" s="2"/>
      <c r="G291" s="28"/>
      <c r="H291" s="2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2:49" ht="15.75" customHeight="1" x14ac:dyDescent="0.2">
      <c r="B292" s="2"/>
      <c r="C292" s="2"/>
      <c r="D292" s="2"/>
      <c r="E292" s="2"/>
      <c r="F292" s="2"/>
      <c r="G292" s="28"/>
      <c r="H292" s="2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2:49" ht="15.75" customHeight="1" x14ac:dyDescent="0.2">
      <c r="B293" s="2"/>
      <c r="C293" s="2"/>
      <c r="D293" s="2"/>
      <c r="E293" s="2"/>
      <c r="F293" s="2"/>
      <c r="G293" s="28"/>
      <c r="H293" s="2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2:49" ht="15.75" customHeight="1" x14ac:dyDescent="0.2">
      <c r="B294" s="2"/>
      <c r="C294" s="2"/>
      <c r="D294" s="2"/>
      <c r="E294" s="2"/>
      <c r="F294" s="2"/>
      <c r="G294" s="28"/>
      <c r="H294" s="2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2:49" ht="15.75" customHeight="1" x14ac:dyDescent="0.2">
      <c r="B295" s="2"/>
      <c r="C295" s="2"/>
      <c r="D295" s="2"/>
      <c r="E295" s="2"/>
      <c r="F295" s="2"/>
      <c r="G295" s="28"/>
      <c r="H295" s="2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</row>
    <row r="296" spans="2:49" ht="15.75" customHeight="1" x14ac:dyDescent="0.2">
      <c r="B296" s="2"/>
      <c r="C296" s="2"/>
      <c r="D296" s="2"/>
      <c r="E296" s="2"/>
      <c r="F296" s="2"/>
      <c r="G296" s="28"/>
      <c r="H296" s="2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</row>
    <row r="297" spans="2:49" ht="15.75" customHeight="1" x14ac:dyDescent="0.2">
      <c r="B297" s="2"/>
      <c r="C297" s="2"/>
      <c r="D297" s="2"/>
      <c r="E297" s="2"/>
      <c r="F297" s="2"/>
      <c r="G297" s="28"/>
      <c r="H297" s="2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</row>
    <row r="298" spans="2:49" ht="15.75" customHeight="1" x14ac:dyDescent="0.2">
      <c r="B298" s="2"/>
      <c r="C298" s="2"/>
      <c r="D298" s="2"/>
      <c r="E298" s="2"/>
      <c r="F298" s="2"/>
      <c r="G298" s="28"/>
      <c r="H298" s="2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</row>
    <row r="299" spans="2:49" ht="15.75" customHeight="1" x14ac:dyDescent="0.2">
      <c r="B299" s="2"/>
      <c r="C299" s="2"/>
      <c r="D299" s="2"/>
      <c r="E299" s="2"/>
      <c r="F299" s="2"/>
      <c r="G299" s="28"/>
      <c r="H299" s="2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</row>
    <row r="300" spans="2:49" ht="15.75" customHeight="1" x14ac:dyDescent="0.2">
      <c r="B300" s="2"/>
      <c r="C300" s="2"/>
      <c r="D300" s="2"/>
      <c r="E300" s="2"/>
      <c r="F300" s="2"/>
      <c r="G300" s="28"/>
      <c r="H300" s="2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</row>
    <row r="301" spans="2:49" ht="15.75" customHeight="1" x14ac:dyDescent="0.2">
      <c r="B301" s="2"/>
      <c r="C301" s="2"/>
      <c r="D301" s="2"/>
      <c r="E301" s="2"/>
      <c r="F301" s="2"/>
      <c r="G301" s="28"/>
      <c r="H301" s="2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</row>
    <row r="302" spans="2:49" ht="15.75" customHeight="1" x14ac:dyDescent="0.2">
      <c r="B302" s="2"/>
      <c r="C302" s="2"/>
      <c r="D302" s="2"/>
      <c r="E302" s="2"/>
      <c r="F302" s="2"/>
      <c r="G302" s="28"/>
      <c r="H302" s="2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</row>
    <row r="303" spans="2:49" ht="15.75" customHeight="1" x14ac:dyDescent="0.2">
      <c r="B303" s="2"/>
      <c r="C303" s="2"/>
      <c r="D303" s="2"/>
      <c r="E303" s="2"/>
      <c r="F303" s="2"/>
      <c r="G303" s="28"/>
      <c r="H303" s="2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</row>
    <row r="304" spans="2:49" ht="15.75" customHeight="1" x14ac:dyDescent="0.2">
      <c r="B304" s="2"/>
      <c r="C304" s="2"/>
      <c r="D304" s="2"/>
      <c r="E304" s="2"/>
      <c r="F304" s="2"/>
      <c r="G304" s="28"/>
      <c r="H304" s="2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</row>
    <row r="305" spans="2:49" ht="15.75" customHeight="1" x14ac:dyDescent="0.2">
      <c r="B305" s="2"/>
      <c r="C305" s="2"/>
      <c r="D305" s="2"/>
      <c r="E305" s="2"/>
      <c r="F305" s="2"/>
      <c r="G305" s="28"/>
      <c r="H305" s="2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</row>
    <row r="306" spans="2:49" ht="15.75" customHeight="1" x14ac:dyDescent="0.2">
      <c r="B306" s="2"/>
      <c r="C306" s="2"/>
      <c r="D306" s="2"/>
      <c r="E306" s="2"/>
      <c r="F306" s="2"/>
      <c r="G306" s="28"/>
      <c r="H306" s="2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</row>
    <row r="307" spans="2:49" ht="15.75" customHeight="1" x14ac:dyDescent="0.2">
      <c r="B307" s="2"/>
      <c r="C307" s="2"/>
      <c r="D307" s="2"/>
      <c r="E307" s="2"/>
      <c r="F307" s="2"/>
      <c r="G307" s="28"/>
      <c r="H307" s="2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</row>
    <row r="308" spans="2:49" ht="15.75" customHeight="1" x14ac:dyDescent="0.2">
      <c r="B308" s="2"/>
      <c r="C308" s="2"/>
      <c r="D308" s="2"/>
      <c r="E308" s="2"/>
      <c r="F308" s="2"/>
      <c r="G308" s="28"/>
      <c r="H308" s="2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</row>
    <row r="309" spans="2:49" ht="15.75" customHeight="1" x14ac:dyDescent="0.2">
      <c r="B309" s="2"/>
      <c r="C309" s="2"/>
      <c r="D309" s="2"/>
      <c r="E309" s="2"/>
      <c r="F309" s="2"/>
      <c r="G309" s="28"/>
      <c r="H309" s="2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</row>
    <row r="310" spans="2:49" ht="15.75" customHeight="1" x14ac:dyDescent="0.2">
      <c r="B310" s="2"/>
      <c r="C310" s="2"/>
      <c r="D310" s="2"/>
      <c r="E310" s="2"/>
      <c r="F310" s="2"/>
      <c r="G310" s="28"/>
      <c r="H310" s="2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</row>
    <row r="311" spans="2:49" ht="15.75" customHeight="1" x14ac:dyDescent="0.2">
      <c r="B311" s="2"/>
      <c r="C311" s="2"/>
      <c r="D311" s="2"/>
      <c r="E311" s="2"/>
      <c r="F311" s="2"/>
      <c r="G311" s="28"/>
      <c r="H311" s="2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</row>
    <row r="312" spans="2:49" ht="15.75" customHeight="1" x14ac:dyDescent="0.2">
      <c r="B312" s="2"/>
      <c r="C312" s="2"/>
      <c r="D312" s="2"/>
      <c r="E312" s="2"/>
      <c r="F312" s="2"/>
      <c r="G312" s="28"/>
      <c r="H312" s="2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</row>
    <row r="313" spans="2:49" ht="15.75" customHeight="1" x14ac:dyDescent="0.2">
      <c r="B313" s="2"/>
      <c r="C313" s="2"/>
      <c r="D313" s="2"/>
      <c r="E313" s="2"/>
      <c r="F313" s="2"/>
      <c r="G313" s="28"/>
      <c r="H313" s="2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</row>
    <row r="314" spans="2:49" ht="15.75" customHeight="1" x14ac:dyDescent="0.2">
      <c r="B314" s="2"/>
      <c r="C314" s="2"/>
      <c r="D314" s="2"/>
      <c r="E314" s="2"/>
      <c r="F314" s="2"/>
      <c r="G314" s="28"/>
      <c r="H314" s="2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</row>
    <row r="315" spans="2:49" ht="15.75" customHeight="1" x14ac:dyDescent="0.2">
      <c r="B315" s="2"/>
      <c r="C315" s="2"/>
      <c r="D315" s="2"/>
      <c r="E315" s="2"/>
      <c r="F315" s="2"/>
      <c r="G315" s="28"/>
      <c r="H315" s="2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</row>
    <row r="316" spans="2:49" ht="15.75" customHeight="1" x14ac:dyDescent="0.2">
      <c r="B316" s="2"/>
      <c r="C316" s="2"/>
      <c r="D316" s="2"/>
      <c r="E316" s="2"/>
      <c r="F316" s="2"/>
      <c r="G316" s="28"/>
      <c r="H316" s="2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</row>
    <row r="317" spans="2:49" ht="15.75" customHeight="1" x14ac:dyDescent="0.2">
      <c r="B317" s="2"/>
      <c r="C317" s="2"/>
      <c r="D317" s="2"/>
      <c r="E317" s="2"/>
      <c r="F317" s="2"/>
      <c r="G317" s="28"/>
      <c r="H317" s="2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</row>
    <row r="318" spans="2:49" ht="15.75" customHeight="1" x14ac:dyDescent="0.2">
      <c r="B318" s="2"/>
      <c r="C318" s="2"/>
      <c r="D318" s="2"/>
      <c r="E318" s="2"/>
      <c r="F318" s="2"/>
      <c r="G318" s="28"/>
      <c r="H318" s="2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</row>
    <row r="319" spans="2:49" ht="15.75" customHeight="1" x14ac:dyDescent="0.2">
      <c r="B319" s="2"/>
      <c r="C319" s="2"/>
      <c r="D319" s="2"/>
      <c r="E319" s="2"/>
      <c r="F319" s="2"/>
      <c r="G319" s="28"/>
      <c r="H319" s="2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</row>
    <row r="320" spans="2:49" ht="15.75" customHeight="1" x14ac:dyDescent="0.2">
      <c r="B320" s="2"/>
      <c r="C320" s="2"/>
      <c r="D320" s="2"/>
      <c r="E320" s="2"/>
      <c r="F320" s="2"/>
      <c r="G320" s="28"/>
      <c r="H320" s="2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</row>
    <row r="321" spans="2:49" ht="15.75" customHeight="1" x14ac:dyDescent="0.2">
      <c r="B321" s="2"/>
      <c r="C321" s="2"/>
      <c r="D321" s="2"/>
      <c r="E321" s="2"/>
      <c r="F321" s="2"/>
      <c r="G321" s="28"/>
      <c r="H321" s="2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</row>
    <row r="322" spans="2:49" ht="15.75" customHeight="1" x14ac:dyDescent="0.2">
      <c r="B322" s="2"/>
      <c r="C322" s="2"/>
      <c r="D322" s="2"/>
      <c r="E322" s="2"/>
      <c r="F322" s="2"/>
      <c r="G322" s="28"/>
      <c r="H322" s="2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</row>
    <row r="323" spans="2:49" ht="15.75" customHeight="1" x14ac:dyDescent="0.2">
      <c r="B323" s="2"/>
      <c r="C323" s="2"/>
      <c r="D323" s="2"/>
      <c r="E323" s="2"/>
      <c r="F323" s="2"/>
      <c r="G323" s="28"/>
      <c r="H323" s="2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</row>
    <row r="324" spans="2:49" ht="15.75" customHeight="1" x14ac:dyDescent="0.2">
      <c r="B324" s="2"/>
      <c r="C324" s="2"/>
      <c r="D324" s="2"/>
      <c r="E324" s="2"/>
      <c r="F324" s="2"/>
      <c r="G324" s="28"/>
      <c r="H324" s="2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</row>
    <row r="325" spans="2:49" ht="15.75" customHeight="1" x14ac:dyDescent="0.2">
      <c r="B325" s="2"/>
      <c r="C325" s="2"/>
      <c r="D325" s="2"/>
      <c r="E325" s="2"/>
      <c r="F325" s="2"/>
      <c r="G325" s="28"/>
      <c r="H325" s="2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</row>
    <row r="326" spans="2:49" ht="15.75" customHeight="1" x14ac:dyDescent="0.2">
      <c r="B326" s="2"/>
      <c r="C326" s="2"/>
      <c r="D326" s="2"/>
      <c r="E326" s="2"/>
      <c r="F326" s="2"/>
      <c r="G326" s="28"/>
      <c r="H326" s="2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</row>
    <row r="327" spans="2:49" ht="15.75" customHeight="1" x14ac:dyDescent="0.2">
      <c r="B327" s="2"/>
      <c r="C327" s="2"/>
      <c r="D327" s="2"/>
      <c r="E327" s="2"/>
      <c r="F327" s="2"/>
      <c r="G327" s="28"/>
      <c r="H327" s="2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</row>
    <row r="328" spans="2:49" ht="15.75" customHeight="1" x14ac:dyDescent="0.2">
      <c r="B328" s="2"/>
      <c r="C328" s="2"/>
      <c r="D328" s="2"/>
      <c r="E328" s="2"/>
      <c r="F328" s="2"/>
      <c r="G328" s="28"/>
      <c r="H328" s="2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</row>
    <row r="329" spans="2:49" ht="15.75" customHeight="1" x14ac:dyDescent="0.2">
      <c r="B329" s="2"/>
      <c r="C329" s="2"/>
      <c r="D329" s="2"/>
      <c r="E329" s="2"/>
      <c r="F329" s="2"/>
      <c r="G329" s="28"/>
      <c r="H329" s="2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</row>
    <row r="330" spans="2:49" ht="15.75" customHeight="1" x14ac:dyDescent="0.2">
      <c r="B330" s="2"/>
      <c r="C330" s="2"/>
      <c r="D330" s="2"/>
      <c r="E330" s="2"/>
      <c r="F330" s="2"/>
      <c r="G330" s="28"/>
      <c r="H330" s="2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</row>
    <row r="331" spans="2:49" ht="15.75" customHeight="1" x14ac:dyDescent="0.2">
      <c r="B331" s="2"/>
      <c r="C331" s="2"/>
      <c r="D331" s="2"/>
      <c r="E331" s="2"/>
      <c r="F331" s="2"/>
      <c r="G331" s="28"/>
      <c r="H331" s="2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</row>
    <row r="332" spans="2:49" ht="15.75" customHeight="1" x14ac:dyDescent="0.2">
      <c r="B332" s="2"/>
      <c r="C332" s="2"/>
      <c r="D332" s="2"/>
      <c r="E332" s="2"/>
      <c r="F332" s="2"/>
      <c r="G332" s="28"/>
      <c r="H332" s="2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</row>
    <row r="333" spans="2:49" ht="15.75" customHeight="1" x14ac:dyDescent="0.2">
      <c r="B333" s="2"/>
      <c r="C333" s="2"/>
      <c r="D333" s="2"/>
      <c r="E333" s="2"/>
      <c r="F333" s="2"/>
      <c r="G333" s="28"/>
      <c r="H333" s="2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</row>
    <row r="334" spans="2:49" ht="15.75" customHeight="1" x14ac:dyDescent="0.2">
      <c r="B334" s="2"/>
      <c r="C334" s="2"/>
      <c r="D334" s="2"/>
      <c r="E334" s="2"/>
      <c r="F334" s="2"/>
      <c r="G334" s="28"/>
      <c r="H334" s="2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</row>
    <row r="335" spans="2:49" ht="15.75" customHeight="1" x14ac:dyDescent="0.2">
      <c r="B335" s="2"/>
      <c r="C335" s="2"/>
      <c r="D335" s="2"/>
      <c r="E335" s="2"/>
      <c r="F335" s="2"/>
      <c r="G335" s="28"/>
      <c r="H335" s="2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</row>
    <row r="336" spans="2:49" ht="15.75" customHeight="1" x14ac:dyDescent="0.2">
      <c r="B336" s="2"/>
      <c r="C336" s="2"/>
      <c r="D336" s="2"/>
      <c r="E336" s="2"/>
      <c r="F336" s="2"/>
      <c r="G336" s="28"/>
      <c r="H336" s="2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</row>
    <row r="337" spans="2:49" ht="15.75" customHeight="1" x14ac:dyDescent="0.2">
      <c r="B337" s="2"/>
      <c r="C337" s="2"/>
      <c r="D337" s="2"/>
      <c r="E337" s="2"/>
      <c r="F337" s="2"/>
      <c r="G337" s="28"/>
      <c r="H337" s="2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</row>
    <row r="338" spans="2:49" ht="15.75" customHeight="1" x14ac:dyDescent="0.2">
      <c r="B338" s="2"/>
      <c r="C338" s="2"/>
      <c r="D338" s="2"/>
      <c r="E338" s="2"/>
      <c r="F338" s="2"/>
      <c r="G338" s="28"/>
      <c r="H338" s="2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</row>
    <row r="339" spans="2:49" ht="15.75" customHeight="1" x14ac:dyDescent="0.2">
      <c r="B339" s="2"/>
      <c r="C339" s="2"/>
      <c r="D339" s="2"/>
      <c r="E339" s="2"/>
      <c r="F339" s="2"/>
      <c r="G339" s="28"/>
      <c r="H339" s="2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</row>
    <row r="340" spans="2:49" ht="15.75" customHeight="1" x14ac:dyDescent="0.2">
      <c r="B340" s="2"/>
      <c r="C340" s="2"/>
      <c r="D340" s="2"/>
      <c r="E340" s="2"/>
      <c r="F340" s="2"/>
      <c r="G340" s="28"/>
      <c r="H340" s="2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</row>
    <row r="341" spans="2:49" ht="15.75" customHeight="1" x14ac:dyDescent="0.2">
      <c r="B341" s="2"/>
      <c r="C341" s="2"/>
      <c r="D341" s="2"/>
      <c r="E341" s="2"/>
      <c r="F341" s="2"/>
      <c r="G341" s="28"/>
      <c r="H341" s="2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</row>
    <row r="342" spans="2:49" ht="15.75" customHeight="1" x14ac:dyDescent="0.2">
      <c r="B342" s="2"/>
      <c r="C342" s="2"/>
      <c r="D342" s="2"/>
      <c r="E342" s="2"/>
      <c r="F342" s="2"/>
      <c r="G342" s="28"/>
      <c r="H342" s="2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</row>
    <row r="343" spans="2:49" ht="15.75" customHeight="1" x14ac:dyDescent="0.2">
      <c r="B343" s="2"/>
      <c r="C343" s="2"/>
      <c r="D343" s="2"/>
      <c r="E343" s="2"/>
      <c r="F343" s="2"/>
      <c r="G343" s="28"/>
      <c r="H343" s="2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</row>
    <row r="344" spans="2:49" ht="15.75" customHeight="1" x14ac:dyDescent="0.2">
      <c r="B344" s="2"/>
      <c r="C344" s="2"/>
      <c r="D344" s="2"/>
      <c r="E344" s="2"/>
      <c r="F344" s="2"/>
      <c r="G344" s="28"/>
      <c r="H344" s="2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</row>
    <row r="345" spans="2:49" ht="15.75" customHeight="1" x14ac:dyDescent="0.2">
      <c r="B345" s="2"/>
      <c r="C345" s="2"/>
      <c r="D345" s="2"/>
      <c r="E345" s="2"/>
      <c r="F345" s="2"/>
      <c r="G345" s="28"/>
      <c r="H345" s="2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</row>
    <row r="346" spans="2:49" ht="15.75" customHeight="1" x14ac:dyDescent="0.2">
      <c r="B346" s="2"/>
      <c r="C346" s="2"/>
      <c r="D346" s="2"/>
      <c r="E346" s="2"/>
      <c r="F346" s="2"/>
      <c r="G346" s="28"/>
      <c r="H346" s="2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</row>
    <row r="347" spans="2:49" ht="15.75" customHeight="1" x14ac:dyDescent="0.2">
      <c r="B347" s="2"/>
      <c r="C347" s="2"/>
      <c r="D347" s="2"/>
      <c r="E347" s="2"/>
      <c r="F347" s="2"/>
      <c r="G347" s="28"/>
      <c r="H347" s="2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</row>
    <row r="348" spans="2:49" ht="15.75" customHeight="1" x14ac:dyDescent="0.2">
      <c r="B348" s="2"/>
      <c r="C348" s="2"/>
      <c r="D348" s="2"/>
      <c r="E348" s="2"/>
      <c r="F348" s="2"/>
      <c r="G348" s="28"/>
      <c r="H348" s="2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</row>
    <row r="349" spans="2:49" ht="15.75" customHeight="1" x14ac:dyDescent="0.2">
      <c r="B349" s="2"/>
      <c r="C349" s="2"/>
      <c r="D349" s="2"/>
      <c r="E349" s="2"/>
      <c r="F349" s="2"/>
      <c r="G349" s="28"/>
      <c r="H349" s="2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</row>
    <row r="350" spans="2:49" ht="15.75" customHeight="1" x14ac:dyDescent="0.2">
      <c r="B350" s="2"/>
      <c r="C350" s="2"/>
      <c r="D350" s="2"/>
      <c r="E350" s="2"/>
      <c r="F350" s="2"/>
      <c r="G350" s="28"/>
      <c r="H350" s="2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</row>
    <row r="351" spans="2:49" ht="15.75" customHeight="1" x14ac:dyDescent="0.2">
      <c r="B351" s="2"/>
      <c r="C351" s="2"/>
      <c r="D351" s="2"/>
      <c r="E351" s="2"/>
      <c r="F351" s="2"/>
      <c r="G351" s="28"/>
      <c r="H351" s="2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</row>
    <row r="352" spans="2:49" ht="15.75" customHeight="1" x14ac:dyDescent="0.2">
      <c r="B352" s="2"/>
      <c r="C352" s="2"/>
      <c r="D352" s="2"/>
      <c r="E352" s="2"/>
      <c r="F352" s="2"/>
      <c r="G352" s="28"/>
      <c r="H352" s="2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</row>
    <row r="353" spans="2:49" ht="15.75" customHeight="1" x14ac:dyDescent="0.2">
      <c r="B353" s="2"/>
      <c r="C353" s="2"/>
      <c r="D353" s="2"/>
      <c r="E353" s="2"/>
      <c r="F353" s="2"/>
      <c r="G353" s="28"/>
      <c r="H353" s="2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</row>
    <row r="354" spans="2:49" ht="15.75" customHeight="1" x14ac:dyDescent="0.2">
      <c r="B354" s="2"/>
      <c r="C354" s="2"/>
      <c r="D354" s="2"/>
      <c r="E354" s="2"/>
      <c r="F354" s="2"/>
      <c r="G354" s="28"/>
      <c r="H354" s="2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</row>
    <row r="355" spans="2:49" ht="15.75" customHeight="1" x14ac:dyDescent="0.2">
      <c r="B355" s="2"/>
      <c r="C355" s="2"/>
      <c r="D355" s="2"/>
      <c r="E355" s="2"/>
      <c r="F355" s="2"/>
      <c r="G355" s="28"/>
      <c r="H355" s="2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</row>
    <row r="356" spans="2:49" ht="15.75" customHeight="1" x14ac:dyDescent="0.2">
      <c r="B356" s="2"/>
      <c r="C356" s="2"/>
      <c r="D356" s="2"/>
      <c r="E356" s="2"/>
      <c r="F356" s="2"/>
      <c r="G356" s="28"/>
      <c r="H356" s="2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</row>
    <row r="357" spans="2:49" ht="15.75" customHeight="1" x14ac:dyDescent="0.2">
      <c r="B357" s="2"/>
      <c r="C357" s="2"/>
      <c r="D357" s="2"/>
      <c r="E357" s="2"/>
      <c r="F357" s="2"/>
      <c r="G357" s="28"/>
      <c r="H357" s="2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</row>
    <row r="358" spans="2:49" ht="15.75" customHeight="1" x14ac:dyDescent="0.2">
      <c r="B358" s="2"/>
      <c r="C358" s="2"/>
      <c r="D358" s="2"/>
      <c r="E358" s="2"/>
      <c r="F358" s="2"/>
      <c r="G358" s="28"/>
      <c r="H358" s="2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</row>
    <row r="359" spans="2:49" ht="15.75" customHeight="1" x14ac:dyDescent="0.2">
      <c r="B359" s="2"/>
      <c r="C359" s="2"/>
      <c r="D359" s="2"/>
      <c r="E359" s="2"/>
      <c r="F359" s="2"/>
      <c r="G359" s="28"/>
      <c r="H359" s="2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</row>
    <row r="360" spans="2:49" ht="15.75" customHeight="1" x14ac:dyDescent="0.2">
      <c r="B360" s="2"/>
      <c r="C360" s="2"/>
      <c r="D360" s="2"/>
      <c r="E360" s="2"/>
      <c r="F360" s="2"/>
      <c r="G360" s="28"/>
      <c r="H360" s="2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</row>
    <row r="361" spans="2:49" ht="15.75" customHeight="1" x14ac:dyDescent="0.2">
      <c r="B361" s="2"/>
      <c r="C361" s="2"/>
      <c r="D361" s="2"/>
      <c r="E361" s="2"/>
      <c r="F361" s="2"/>
      <c r="G361" s="28"/>
      <c r="H361" s="2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</row>
    <row r="362" spans="2:49" ht="15.75" customHeight="1" x14ac:dyDescent="0.2">
      <c r="B362" s="2"/>
      <c r="C362" s="2"/>
      <c r="D362" s="2"/>
      <c r="E362" s="2"/>
      <c r="F362" s="2"/>
      <c r="G362" s="28"/>
      <c r="H362" s="2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</row>
    <row r="363" spans="2:49" ht="15.75" customHeight="1" x14ac:dyDescent="0.2">
      <c r="B363" s="2"/>
      <c r="C363" s="2"/>
      <c r="D363" s="2"/>
      <c r="E363" s="2"/>
      <c r="F363" s="2"/>
      <c r="G363" s="28"/>
      <c r="H363" s="2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</row>
    <row r="364" spans="2:49" ht="15.75" customHeight="1" x14ac:dyDescent="0.2">
      <c r="B364" s="2"/>
      <c r="C364" s="2"/>
      <c r="D364" s="2"/>
      <c r="E364" s="2"/>
      <c r="F364" s="2"/>
      <c r="G364" s="28"/>
      <c r="H364" s="2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</row>
    <row r="365" spans="2:49" ht="15.75" customHeight="1" x14ac:dyDescent="0.2">
      <c r="B365" s="2"/>
      <c r="C365" s="2"/>
      <c r="D365" s="2"/>
      <c r="E365" s="2"/>
      <c r="F365" s="2"/>
      <c r="G365" s="28"/>
      <c r="H365" s="2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</row>
    <row r="366" spans="2:49" ht="15.75" customHeight="1" x14ac:dyDescent="0.2">
      <c r="B366" s="2"/>
      <c r="C366" s="2"/>
      <c r="D366" s="2"/>
      <c r="E366" s="2"/>
      <c r="F366" s="2"/>
      <c r="G366" s="28"/>
      <c r="H366" s="2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</row>
    <row r="367" spans="2:49" ht="15.75" customHeight="1" x14ac:dyDescent="0.2">
      <c r="B367" s="2"/>
      <c r="C367" s="2"/>
      <c r="D367" s="2"/>
      <c r="E367" s="2"/>
      <c r="F367" s="2"/>
      <c r="G367" s="28"/>
      <c r="H367" s="2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</row>
    <row r="368" spans="2:49" ht="15.75" customHeight="1" x14ac:dyDescent="0.2">
      <c r="B368" s="2"/>
      <c r="C368" s="2"/>
      <c r="D368" s="2"/>
      <c r="E368" s="2"/>
      <c r="F368" s="2"/>
      <c r="G368" s="28"/>
      <c r="H368" s="2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</row>
    <row r="369" spans="2:49" ht="15.75" customHeight="1" x14ac:dyDescent="0.2">
      <c r="B369" s="2"/>
      <c r="C369" s="2"/>
      <c r="D369" s="2"/>
      <c r="E369" s="2"/>
      <c r="F369" s="2"/>
      <c r="G369" s="28"/>
      <c r="H369" s="2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</row>
    <row r="370" spans="2:49" ht="15.75" customHeight="1" x14ac:dyDescent="0.2">
      <c r="B370" s="2"/>
      <c r="C370" s="2"/>
      <c r="D370" s="2"/>
      <c r="E370" s="2"/>
      <c r="F370" s="2"/>
      <c r="G370" s="28"/>
      <c r="H370" s="2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</row>
    <row r="371" spans="2:49" ht="15.75" customHeight="1" x14ac:dyDescent="0.2">
      <c r="B371" s="2"/>
      <c r="C371" s="2"/>
      <c r="D371" s="2"/>
      <c r="E371" s="2"/>
      <c r="F371" s="2"/>
      <c r="G371" s="28"/>
      <c r="H371" s="2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</row>
    <row r="372" spans="2:49" ht="15.75" customHeight="1" x14ac:dyDescent="0.2">
      <c r="B372" s="2"/>
      <c r="C372" s="2"/>
      <c r="D372" s="2"/>
      <c r="E372" s="2"/>
      <c r="F372" s="2"/>
      <c r="G372" s="28"/>
      <c r="H372" s="2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</row>
    <row r="373" spans="2:49" ht="15.75" customHeight="1" x14ac:dyDescent="0.2">
      <c r="B373" s="2"/>
      <c r="C373" s="2"/>
      <c r="D373" s="2"/>
      <c r="E373" s="2"/>
      <c r="F373" s="2"/>
      <c r="G373" s="28"/>
      <c r="H373" s="2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</row>
    <row r="374" spans="2:49" ht="15.75" customHeight="1" x14ac:dyDescent="0.2">
      <c r="B374" s="2"/>
      <c r="C374" s="2"/>
      <c r="D374" s="2"/>
      <c r="E374" s="2"/>
      <c r="F374" s="2"/>
      <c r="G374" s="28"/>
      <c r="H374" s="2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</row>
    <row r="375" spans="2:49" ht="15.75" customHeight="1" x14ac:dyDescent="0.2">
      <c r="B375" s="2"/>
      <c r="C375" s="2"/>
      <c r="D375" s="2"/>
      <c r="E375" s="2"/>
      <c r="F375" s="2"/>
      <c r="G375" s="28"/>
      <c r="H375" s="2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</row>
    <row r="376" spans="2:49" ht="15.75" customHeight="1" x14ac:dyDescent="0.2">
      <c r="B376" s="2"/>
      <c r="C376" s="2"/>
      <c r="D376" s="2"/>
      <c r="E376" s="2"/>
      <c r="F376" s="2"/>
      <c r="G376" s="28"/>
      <c r="H376" s="2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</row>
    <row r="377" spans="2:49" ht="15.75" customHeight="1" x14ac:dyDescent="0.2">
      <c r="B377" s="2"/>
      <c r="C377" s="2"/>
      <c r="D377" s="2"/>
      <c r="E377" s="2"/>
      <c r="F377" s="2"/>
      <c r="G377" s="28"/>
      <c r="H377" s="2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</row>
    <row r="378" spans="2:49" ht="15.75" customHeight="1" x14ac:dyDescent="0.2">
      <c r="B378" s="2"/>
      <c r="C378" s="2"/>
      <c r="D378" s="2"/>
      <c r="E378" s="2"/>
      <c r="F378" s="2"/>
      <c r="G378" s="28"/>
      <c r="H378" s="2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</row>
    <row r="379" spans="2:49" ht="15.75" customHeight="1" x14ac:dyDescent="0.2">
      <c r="B379" s="2"/>
      <c r="C379" s="2"/>
      <c r="D379" s="2"/>
      <c r="E379" s="2"/>
      <c r="F379" s="2"/>
      <c r="G379" s="28"/>
      <c r="H379" s="2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</row>
    <row r="380" spans="2:49" ht="15.75" customHeight="1" x14ac:dyDescent="0.2">
      <c r="B380" s="2"/>
      <c r="C380" s="2"/>
      <c r="D380" s="2"/>
      <c r="E380" s="2"/>
      <c r="F380" s="2"/>
      <c r="G380" s="28"/>
      <c r="H380" s="2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</row>
    <row r="381" spans="2:49" ht="15.75" customHeight="1" x14ac:dyDescent="0.2">
      <c r="B381" s="2"/>
      <c r="C381" s="2"/>
      <c r="D381" s="2"/>
      <c r="E381" s="2"/>
      <c r="F381" s="2"/>
      <c r="G381" s="28"/>
      <c r="H381" s="2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</row>
    <row r="382" spans="2:49" ht="15.75" customHeight="1" x14ac:dyDescent="0.2">
      <c r="B382" s="2"/>
      <c r="C382" s="2"/>
      <c r="D382" s="2"/>
      <c r="E382" s="2"/>
      <c r="F382" s="2"/>
      <c r="G382" s="28"/>
      <c r="H382" s="2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</row>
    <row r="383" spans="2:49" ht="15.75" customHeight="1" x14ac:dyDescent="0.2">
      <c r="B383" s="2"/>
      <c r="C383" s="2"/>
      <c r="D383" s="2"/>
      <c r="E383" s="2"/>
      <c r="F383" s="2"/>
      <c r="G383" s="28"/>
      <c r="H383" s="2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</row>
    <row r="384" spans="2:49" ht="15.75" customHeight="1" x14ac:dyDescent="0.2">
      <c r="B384" s="2"/>
      <c r="C384" s="2"/>
      <c r="D384" s="2"/>
      <c r="E384" s="2"/>
      <c r="F384" s="2"/>
      <c r="G384" s="28"/>
      <c r="H384" s="2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</row>
    <row r="385" spans="2:49" ht="15.75" customHeight="1" x14ac:dyDescent="0.2">
      <c r="B385" s="2"/>
      <c r="C385" s="2"/>
      <c r="D385" s="2"/>
      <c r="E385" s="2"/>
      <c r="F385" s="2"/>
      <c r="G385" s="28"/>
      <c r="H385" s="2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</row>
    <row r="386" spans="2:49" ht="15.75" customHeight="1" x14ac:dyDescent="0.2">
      <c r="B386" s="2"/>
      <c r="C386" s="2"/>
      <c r="D386" s="2"/>
      <c r="E386" s="2"/>
      <c r="F386" s="2"/>
      <c r="G386" s="28"/>
      <c r="H386" s="2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</row>
    <row r="387" spans="2:49" ht="15.75" customHeight="1" x14ac:dyDescent="0.2">
      <c r="B387" s="2"/>
      <c r="C387" s="2"/>
      <c r="D387" s="2"/>
      <c r="E387" s="2"/>
      <c r="F387" s="2"/>
      <c r="G387" s="28"/>
      <c r="H387" s="2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</row>
    <row r="388" spans="2:49" ht="15.75" customHeight="1" x14ac:dyDescent="0.2">
      <c r="B388" s="2"/>
      <c r="C388" s="2"/>
      <c r="D388" s="2"/>
      <c r="E388" s="2"/>
      <c r="F388" s="2"/>
      <c r="G388" s="28"/>
      <c r="H388" s="2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</row>
    <row r="389" spans="2:49" ht="15.75" customHeight="1" x14ac:dyDescent="0.2">
      <c r="B389" s="2"/>
      <c r="C389" s="2"/>
      <c r="D389" s="2"/>
      <c r="E389" s="2"/>
      <c r="F389" s="2"/>
      <c r="G389" s="28"/>
      <c r="H389" s="2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</row>
    <row r="390" spans="2:49" ht="15.75" customHeight="1" x14ac:dyDescent="0.2">
      <c r="B390" s="2"/>
      <c r="C390" s="2"/>
      <c r="D390" s="2"/>
      <c r="E390" s="2"/>
      <c r="F390" s="2"/>
      <c r="G390" s="28"/>
      <c r="H390" s="2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</row>
    <row r="391" spans="2:49" ht="15.75" customHeight="1" x14ac:dyDescent="0.2">
      <c r="B391" s="2"/>
      <c r="C391" s="2"/>
      <c r="D391" s="2"/>
      <c r="E391" s="2"/>
      <c r="F391" s="2"/>
      <c r="G391" s="28"/>
      <c r="H391" s="2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</row>
    <row r="392" spans="2:49" ht="15.75" customHeight="1" x14ac:dyDescent="0.2">
      <c r="B392" s="2"/>
      <c r="C392" s="2"/>
      <c r="D392" s="2"/>
      <c r="E392" s="2"/>
      <c r="F392" s="2"/>
      <c r="G392" s="28"/>
      <c r="H392" s="2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</row>
    <row r="393" spans="2:49" ht="15.75" customHeight="1" x14ac:dyDescent="0.2">
      <c r="B393" s="2"/>
      <c r="C393" s="2"/>
      <c r="D393" s="2"/>
      <c r="E393" s="2"/>
      <c r="F393" s="2"/>
      <c r="G393" s="28"/>
      <c r="H393" s="2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</row>
    <row r="394" spans="2:49" ht="15.75" customHeight="1" x14ac:dyDescent="0.2">
      <c r="B394" s="2"/>
      <c r="C394" s="2"/>
      <c r="D394" s="2"/>
      <c r="E394" s="2"/>
      <c r="F394" s="2"/>
      <c r="G394" s="28"/>
      <c r="H394" s="2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</row>
    <row r="395" spans="2:49" ht="15.75" customHeight="1" x14ac:dyDescent="0.2">
      <c r="B395" s="2"/>
      <c r="C395" s="2"/>
      <c r="D395" s="2"/>
      <c r="E395" s="2"/>
      <c r="F395" s="2"/>
      <c r="G395" s="28"/>
      <c r="H395" s="2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</row>
    <row r="396" spans="2:49" ht="15.75" customHeight="1" x14ac:dyDescent="0.2">
      <c r="B396" s="2"/>
      <c r="C396" s="2"/>
      <c r="D396" s="2"/>
      <c r="E396" s="2"/>
      <c r="F396" s="2"/>
      <c r="G396" s="28"/>
      <c r="H396" s="2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</row>
    <row r="397" spans="2:49" ht="15.75" customHeight="1" x14ac:dyDescent="0.2">
      <c r="B397" s="2"/>
      <c r="C397" s="2"/>
      <c r="D397" s="2"/>
      <c r="E397" s="2"/>
      <c r="F397" s="2"/>
      <c r="G397" s="28"/>
      <c r="H397" s="2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</row>
    <row r="398" spans="2:49" ht="15.75" customHeight="1" x14ac:dyDescent="0.2">
      <c r="B398" s="2"/>
      <c r="C398" s="2"/>
      <c r="D398" s="2"/>
      <c r="E398" s="2"/>
      <c r="F398" s="2"/>
      <c r="G398" s="28"/>
      <c r="H398" s="2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</row>
    <row r="399" spans="2:49" ht="15.75" customHeight="1" x14ac:dyDescent="0.2">
      <c r="B399" s="2"/>
      <c r="C399" s="2"/>
      <c r="D399" s="2"/>
      <c r="E399" s="2"/>
      <c r="F399" s="2"/>
      <c r="G399" s="28"/>
      <c r="H399" s="2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</row>
    <row r="400" spans="2:49" ht="15.75" customHeight="1" x14ac:dyDescent="0.2">
      <c r="B400" s="2"/>
      <c r="C400" s="2"/>
      <c r="D400" s="2"/>
      <c r="E400" s="2"/>
      <c r="F400" s="2"/>
      <c r="G400" s="28"/>
      <c r="H400" s="2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</row>
    <row r="401" spans="2:49" ht="15.75" customHeight="1" x14ac:dyDescent="0.2">
      <c r="B401" s="2"/>
      <c r="C401" s="2"/>
      <c r="D401" s="2"/>
      <c r="E401" s="2"/>
      <c r="F401" s="2"/>
      <c r="G401" s="28"/>
      <c r="H401" s="2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</row>
    <row r="402" spans="2:49" ht="15.75" customHeight="1" x14ac:dyDescent="0.2">
      <c r="B402" s="2"/>
      <c r="C402" s="2"/>
      <c r="D402" s="2"/>
      <c r="E402" s="2"/>
      <c r="F402" s="2"/>
      <c r="G402" s="28"/>
      <c r="H402" s="2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</row>
    <row r="403" spans="2:49" ht="15.75" customHeight="1" x14ac:dyDescent="0.2">
      <c r="B403" s="2"/>
      <c r="C403" s="2"/>
      <c r="D403" s="2"/>
      <c r="E403" s="2"/>
      <c r="F403" s="2"/>
      <c r="G403" s="28"/>
      <c r="H403" s="2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</row>
    <row r="404" spans="2:49" ht="15.75" customHeight="1" x14ac:dyDescent="0.2">
      <c r="B404" s="2"/>
      <c r="C404" s="2"/>
      <c r="D404" s="2"/>
      <c r="E404" s="2"/>
      <c r="F404" s="2"/>
      <c r="G404" s="28"/>
      <c r="H404" s="2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</row>
    <row r="405" spans="2:49" ht="15.75" customHeight="1" x14ac:dyDescent="0.2">
      <c r="B405" s="2"/>
      <c r="C405" s="2"/>
      <c r="D405" s="2"/>
      <c r="E405" s="2"/>
      <c r="F405" s="2"/>
      <c r="G405" s="28"/>
      <c r="H405" s="2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</row>
    <row r="406" spans="2:49" ht="15.75" customHeight="1" x14ac:dyDescent="0.2">
      <c r="B406" s="2"/>
      <c r="C406" s="2"/>
      <c r="D406" s="2"/>
      <c r="E406" s="2"/>
      <c r="F406" s="2"/>
      <c r="G406" s="28"/>
      <c r="H406" s="2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</row>
    <row r="407" spans="2:49" ht="15.75" customHeight="1" x14ac:dyDescent="0.2">
      <c r="B407" s="2"/>
      <c r="C407" s="2"/>
      <c r="D407" s="2"/>
      <c r="E407" s="2"/>
      <c r="F407" s="2"/>
      <c r="G407" s="28"/>
      <c r="H407" s="2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</row>
    <row r="408" spans="2:49" ht="15.75" customHeight="1" x14ac:dyDescent="0.2">
      <c r="B408" s="2"/>
      <c r="C408" s="2"/>
      <c r="D408" s="2"/>
      <c r="E408" s="2"/>
      <c r="F408" s="2"/>
      <c r="G408" s="28"/>
      <c r="H408" s="2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</row>
    <row r="409" spans="2:49" ht="15.75" customHeight="1" x14ac:dyDescent="0.2">
      <c r="B409" s="2"/>
      <c r="C409" s="2"/>
      <c r="D409" s="2"/>
      <c r="E409" s="2"/>
      <c r="F409" s="2"/>
      <c r="G409" s="28"/>
      <c r="H409" s="2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</row>
    <row r="410" spans="2:49" ht="15.75" customHeight="1" x14ac:dyDescent="0.2">
      <c r="B410" s="2"/>
      <c r="C410" s="2"/>
      <c r="D410" s="2"/>
      <c r="E410" s="2"/>
      <c r="F410" s="2"/>
      <c r="G410" s="28"/>
      <c r="H410" s="2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</row>
    <row r="411" spans="2:49" ht="15.75" customHeight="1" x14ac:dyDescent="0.2">
      <c r="B411" s="2"/>
      <c r="C411" s="2"/>
      <c r="D411" s="2"/>
      <c r="E411" s="2"/>
      <c r="F411" s="2"/>
      <c r="G411" s="28"/>
      <c r="H411" s="2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</row>
    <row r="412" spans="2:49" ht="15.75" customHeight="1" x14ac:dyDescent="0.2">
      <c r="B412" s="2"/>
      <c r="C412" s="2"/>
      <c r="D412" s="2"/>
      <c r="E412" s="2"/>
      <c r="F412" s="2"/>
      <c r="G412" s="28"/>
      <c r="H412" s="2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</row>
    <row r="413" spans="2:49" ht="15.75" customHeight="1" x14ac:dyDescent="0.2">
      <c r="B413" s="2"/>
      <c r="C413" s="2"/>
      <c r="D413" s="2"/>
      <c r="E413" s="2"/>
      <c r="F413" s="2"/>
      <c r="G413" s="28"/>
      <c r="H413" s="2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</row>
    <row r="414" spans="2:49" ht="15.75" customHeight="1" x14ac:dyDescent="0.2">
      <c r="B414" s="2"/>
      <c r="C414" s="2"/>
      <c r="D414" s="2"/>
      <c r="E414" s="2"/>
      <c r="F414" s="2"/>
      <c r="G414" s="28"/>
      <c r="H414" s="2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</row>
    <row r="415" spans="2:49" ht="15.75" customHeight="1" x14ac:dyDescent="0.2">
      <c r="B415" s="2"/>
      <c r="C415" s="2"/>
      <c r="D415" s="2"/>
      <c r="E415" s="2"/>
      <c r="F415" s="2"/>
      <c r="G415" s="28"/>
      <c r="H415" s="2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</row>
    <row r="416" spans="2:49" ht="15.75" customHeight="1" x14ac:dyDescent="0.2">
      <c r="B416" s="2"/>
      <c r="C416" s="2"/>
      <c r="D416" s="2"/>
      <c r="E416" s="2"/>
      <c r="F416" s="2"/>
      <c r="G416" s="28"/>
      <c r="H416" s="2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</row>
    <row r="417" spans="2:49" ht="15.75" customHeight="1" x14ac:dyDescent="0.2">
      <c r="B417" s="2"/>
      <c r="C417" s="2"/>
      <c r="D417" s="2"/>
      <c r="E417" s="2"/>
      <c r="F417" s="2"/>
      <c r="G417" s="28"/>
      <c r="H417" s="2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</row>
    <row r="418" spans="2:49" ht="15.75" customHeight="1" x14ac:dyDescent="0.2">
      <c r="B418" s="2"/>
      <c r="C418" s="2"/>
      <c r="D418" s="2"/>
      <c r="E418" s="2"/>
      <c r="F418" s="2"/>
      <c r="G418" s="28"/>
      <c r="H418" s="2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</row>
    <row r="419" spans="2:49" ht="15.75" customHeight="1" x14ac:dyDescent="0.2">
      <c r="B419" s="2"/>
      <c r="C419" s="2"/>
      <c r="D419" s="2"/>
      <c r="E419" s="2"/>
      <c r="F419" s="2"/>
      <c r="G419" s="28"/>
      <c r="H419" s="2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</row>
    <row r="420" spans="2:49" ht="15.75" customHeight="1" x14ac:dyDescent="0.2">
      <c r="B420" s="2"/>
      <c r="C420" s="2"/>
      <c r="D420" s="2"/>
      <c r="E420" s="2"/>
      <c r="F420" s="2"/>
      <c r="G420" s="28"/>
      <c r="H420" s="2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</row>
    <row r="421" spans="2:49" ht="15.75" customHeight="1" x14ac:dyDescent="0.2">
      <c r="B421" s="2"/>
      <c r="C421" s="2"/>
      <c r="D421" s="2"/>
      <c r="E421" s="2"/>
      <c r="F421" s="2"/>
      <c r="G421" s="28"/>
      <c r="H421" s="2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</row>
    <row r="422" spans="2:49" ht="15.75" customHeight="1" x14ac:dyDescent="0.2">
      <c r="B422" s="2"/>
      <c r="C422" s="2"/>
      <c r="D422" s="2"/>
      <c r="E422" s="2"/>
      <c r="F422" s="2"/>
      <c r="G422" s="28"/>
      <c r="H422" s="2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</row>
    <row r="423" spans="2:49" ht="15.75" customHeight="1" x14ac:dyDescent="0.2">
      <c r="B423" s="2"/>
      <c r="C423" s="2"/>
      <c r="D423" s="2"/>
      <c r="E423" s="2"/>
      <c r="F423" s="2"/>
      <c r="G423" s="28"/>
      <c r="H423" s="2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</row>
    <row r="424" spans="2:49" ht="15.75" customHeight="1" x14ac:dyDescent="0.2">
      <c r="B424" s="2"/>
      <c r="C424" s="2"/>
      <c r="D424" s="2"/>
      <c r="E424" s="2"/>
      <c r="F424" s="2"/>
      <c r="G424" s="28"/>
      <c r="H424" s="2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</row>
    <row r="425" spans="2:49" ht="15.75" customHeight="1" x14ac:dyDescent="0.2">
      <c r="B425" s="2"/>
      <c r="C425" s="2"/>
      <c r="D425" s="2"/>
      <c r="E425" s="2"/>
      <c r="F425" s="2"/>
      <c r="G425" s="28"/>
      <c r="H425" s="2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</row>
    <row r="426" spans="2:49" ht="15.75" customHeight="1" x14ac:dyDescent="0.2">
      <c r="B426" s="2"/>
      <c r="C426" s="2"/>
      <c r="D426" s="2"/>
      <c r="E426" s="2"/>
      <c r="F426" s="2"/>
      <c r="G426" s="28"/>
      <c r="H426" s="2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</row>
    <row r="427" spans="2:49" ht="15.75" customHeight="1" x14ac:dyDescent="0.2">
      <c r="B427" s="2"/>
      <c r="C427" s="2"/>
      <c r="D427" s="2"/>
      <c r="E427" s="2"/>
      <c r="F427" s="2"/>
      <c r="G427" s="28"/>
      <c r="H427" s="2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</row>
    <row r="428" spans="2:49" ht="15.75" customHeight="1" x14ac:dyDescent="0.2">
      <c r="B428" s="2"/>
      <c r="C428" s="2"/>
      <c r="D428" s="2"/>
      <c r="E428" s="2"/>
      <c r="F428" s="2"/>
      <c r="G428" s="28"/>
      <c r="H428" s="2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</row>
    <row r="429" spans="2:49" ht="15.75" customHeight="1" x14ac:dyDescent="0.2">
      <c r="B429" s="2"/>
      <c r="C429" s="2"/>
      <c r="D429" s="2"/>
      <c r="E429" s="2"/>
      <c r="F429" s="2"/>
      <c r="G429" s="28"/>
      <c r="H429" s="2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</row>
    <row r="430" spans="2:49" ht="15.75" customHeight="1" x14ac:dyDescent="0.2">
      <c r="B430" s="2"/>
      <c r="C430" s="2"/>
      <c r="D430" s="2"/>
      <c r="E430" s="2"/>
      <c r="F430" s="2"/>
      <c r="G430" s="28"/>
      <c r="H430" s="2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</row>
    <row r="431" spans="2:49" ht="15.75" customHeight="1" x14ac:dyDescent="0.2">
      <c r="B431" s="2"/>
      <c r="C431" s="2"/>
      <c r="D431" s="2"/>
      <c r="E431" s="2"/>
      <c r="F431" s="2"/>
      <c r="G431" s="28"/>
      <c r="H431" s="2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</row>
    <row r="432" spans="2:49" ht="15.75" customHeight="1" x14ac:dyDescent="0.2">
      <c r="B432" s="2"/>
      <c r="C432" s="2"/>
      <c r="D432" s="2"/>
      <c r="E432" s="2"/>
      <c r="F432" s="2"/>
      <c r="G432" s="28"/>
      <c r="H432" s="2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</row>
    <row r="433" spans="2:49" ht="15.75" customHeight="1" x14ac:dyDescent="0.2">
      <c r="B433" s="2"/>
      <c r="C433" s="2"/>
      <c r="D433" s="2"/>
      <c r="E433" s="2"/>
      <c r="F433" s="2"/>
      <c r="G433" s="28"/>
      <c r="H433" s="2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</row>
    <row r="434" spans="2:49" ht="15.75" customHeight="1" x14ac:dyDescent="0.2">
      <c r="B434" s="2"/>
      <c r="C434" s="2"/>
      <c r="D434" s="2"/>
      <c r="E434" s="2"/>
      <c r="F434" s="2"/>
      <c r="G434" s="28"/>
      <c r="H434" s="2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</row>
    <row r="435" spans="2:49" ht="15.75" customHeight="1" x14ac:dyDescent="0.2">
      <c r="B435" s="2"/>
      <c r="C435" s="2"/>
      <c r="D435" s="2"/>
      <c r="E435" s="2"/>
      <c r="F435" s="2"/>
      <c r="G435" s="28"/>
      <c r="H435" s="2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</row>
    <row r="436" spans="2:49" ht="15.75" customHeight="1" x14ac:dyDescent="0.2">
      <c r="B436" s="2"/>
      <c r="C436" s="2"/>
      <c r="D436" s="2"/>
      <c r="E436" s="2"/>
      <c r="F436" s="2"/>
      <c r="G436" s="28"/>
      <c r="H436" s="2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</row>
    <row r="437" spans="2:49" ht="15.75" customHeight="1" x14ac:dyDescent="0.2">
      <c r="B437" s="2"/>
      <c r="C437" s="2"/>
      <c r="D437" s="2"/>
      <c r="E437" s="2"/>
      <c r="F437" s="2"/>
      <c r="G437" s="28"/>
      <c r="H437" s="2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</row>
    <row r="438" spans="2:49" ht="15.75" customHeight="1" x14ac:dyDescent="0.2">
      <c r="B438" s="2"/>
      <c r="C438" s="2"/>
      <c r="D438" s="2"/>
      <c r="E438" s="2"/>
      <c r="F438" s="2"/>
      <c r="G438" s="28"/>
      <c r="H438" s="2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</row>
    <row r="439" spans="2:49" ht="15.75" customHeight="1" x14ac:dyDescent="0.2">
      <c r="B439" s="2"/>
      <c r="C439" s="2"/>
      <c r="D439" s="2"/>
      <c r="E439" s="2"/>
      <c r="F439" s="2"/>
      <c r="G439" s="28"/>
      <c r="H439" s="2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</row>
    <row r="440" spans="2:49" ht="15.75" customHeight="1" x14ac:dyDescent="0.2">
      <c r="B440" s="2"/>
      <c r="C440" s="2"/>
      <c r="D440" s="2"/>
      <c r="E440" s="2"/>
      <c r="F440" s="2"/>
      <c r="G440" s="28"/>
      <c r="H440" s="2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</row>
    <row r="441" spans="2:49" ht="15.75" customHeight="1" x14ac:dyDescent="0.2">
      <c r="B441" s="2"/>
      <c r="C441" s="2"/>
      <c r="D441" s="2"/>
      <c r="E441" s="2"/>
      <c r="F441" s="2"/>
      <c r="G441" s="28"/>
      <c r="H441" s="2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</row>
    <row r="442" spans="2:49" ht="15.75" customHeight="1" x14ac:dyDescent="0.2">
      <c r="B442" s="2"/>
      <c r="C442" s="2"/>
      <c r="D442" s="2"/>
      <c r="E442" s="2"/>
      <c r="F442" s="2"/>
      <c r="G442" s="28"/>
      <c r="H442" s="2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</row>
    <row r="443" spans="2:49" ht="15.75" customHeight="1" x14ac:dyDescent="0.2">
      <c r="B443" s="2"/>
      <c r="C443" s="2"/>
      <c r="D443" s="2"/>
      <c r="E443" s="2"/>
      <c r="F443" s="2"/>
      <c r="G443" s="28"/>
      <c r="H443" s="2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</row>
    <row r="444" spans="2:49" ht="15.75" customHeight="1" x14ac:dyDescent="0.2">
      <c r="B444" s="2"/>
      <c r="C444" s="2"/>
      <c r="D444" s="2"/>
      <c r="E444" s="2"/>
      <c r="F444" s="2"/>
      <c r="G444" s="28"/>
      <c r="H444" s="2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</row>
    <row r="445" spans="2:49" ht="15.75" customHeight="1" x14ac:dyDescent="0.2">
      <c r="B445" s="2"/>
      <c r="C445" s="2"/>
      <c r="D445" s="2"/>
      <c r="E445" s="2"/>
      <c r="F445" s="2"/>
      <c r="G445" s="28"/>
      <c r="H445" s="2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</row>
    <row r="446" spans="2:49" ht="15.75" customHeight="1" x14ac:dyDescent="0.2">
      <c r="B446" s="2"/>
      <c r="C446" s="2"/>
      <c r="D446" s="2"/>
      <c r="E446" s="2"/>
      <c r="F446" s="2"/>
      <c r="G446" s="28"/>
      <c r="H446" s="2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</row>
    <row r="447" spans="2:49" ht="15.75" customHeight="1" x14ac:dyDescent="0.2">
      <c r="B447" s="2"/>
      <c r="C447" s="2"/>
      <c r="D447" s="2"/>
      <c r="E447" s="2"/>
      <c r="F447" s="2"/>
      <c r="G447" s="28"/>
      <c r="H447" s="2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</row>
    <row r="448" spans="2:49" ht="15.75" customHeight="1" x14ac:dyDescent="0.2">
      <c r="B448" s="2"/>
      <c r="C448" s="2"/>
      <c r="D448" s="2"/>
      <c r="E448" s="2"/>
      <c r="F448" s="2"/>
      <c r="G448" s="28"/>
      <c r="H448" s="2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</row>
    <row r="449" spans="2:49" ht="15.75" customHeight="1" x14ac:dyDescent="0.2">
      <c r="B449" s="2"/>
      <c r="C449" s="2"/>
      <c r="D449" s="2"/>
      <c r="E449" s="2"/>
      <c r="F449" s="2"/>
      <c r="G449" s="28"/>
      <c r="H449" s="2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</row>
    <row r="450" spans="2:49" ht="15.75" customHeight="1" x14ac:dyDescent="0.2">
      <c r="B450" s="2"/>
      <c r="C450" s="2"/>
      <c r="D450" s="2"/>
      <c r="E450" s="2"/>
      <c r="F450" s="2"/>
      <c r="G450" s="28"/>
      <c r="H450" s="2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</row>
    <row r="451" spans="2:49" ht="15.75" customHeight="1" x14ac:dyDescent="0.2">
      <c r="B451" s="2"/>
      <c r="C451" s="2"/>
      <c r="D451" s="2"/>
      <c r="E451" s="2"/>
      <c r="F451" s="2"/>
      <c r="G451" s="28"/>
      <c r="H451" s="2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</row>
    <row r="452" spans="2:49" ht="15.75" customHeight="1" x14ac:dyDescent="0.2">
      <c r="B452" s="2"/>
      <c r="C452" s="2"/>
      <c r="D452" s="2"/>
      <c r="E452" s="2"/>
      <c r="F452" s="2"/>
      <c r="G452" s="28"/>
      <c r="H452" s="2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</row>
    <row r="453" spans="2:49" ht="15.75" customHeight="1" x14ac:dyDescent="0.2">
      <c r="B453" s="2"/>
      <c r="C453" s="2"/>
      <c r="D453" s="2"/>
      <c r="E453" s="2"/>
      <c r="F453" s="2"/>
      <c r="G453" s="28"/>
      <c r="H453" s="2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</row>
    <row r="454" spans="2:49" ht="15.75" customHeight="1" x14ac:dyDescent="0.2">
      <c r="B454" s="2"/>
      <c r="C454" s="2"/>
      <c r="D454" s="2"/>
      <c r="E454" s="2"/>
      <c r="F454" s="2"/>
      <c r="G454" s="28"/>
      <c r="H454" s="2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</row>
    <row r="455" spans="2:49" ht="15.75" customHeight="1" x14ac:dyDescent="0.2">
      <c r="B455" s="2"/>
      <c r="C455" s="2"/>
      <c r="D455" s="2"/>
      <c r="E455" s="2"/>
      <c r="F455" s="2"/>
      <c r="G455" s="28"/>
      <c r="H455" s="2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</row>
    <row r="456" spans="2:49" ht="15.75" customHeight="1" x14ac:dyDescent="0.2">
      <c r="B456" s="2"/>
      <c r="C456" s="2"/>
      <c r="D456" s="2"/>
      <c r="E456" s="2"/>
      <c r="F456" s="2"/>
      <c r="G456" s="28"/>
      <c r="H456" s="2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</row>
    <row r="457" spans="2:49" ht="15.75" customHeight="1" x14ac:dyDescent="0.2">
      <c r="B457" s="2"/>
      <c r="C457" s="2"/>
      <c r="D457" s="2"/>
      <c r="E457" s="2"/>
      <c r="F457" s="2"/>
      <c r="G457" s="28"/>
      <c r="H457" s="2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</row>
    <row r="458" spans="2:49" ht="15.75" customHeight="1" x14ac:dyDescent="0.2">
      <c r="B458" s="2"/>
      <c r="C458" s="2"/>
      <c r="D458" s="2"/>
      <c r="E458" s="2"/>
      <c r="F458" s="2"/>
      <c r="G458" s="28"/>
      <c r="H458" s="2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</row>
    <row r="459" spans="2:49" ht="15.75" customHeight="1" x14ac:dyDescent="0.2">
      <c r="B459" s="2"/>
      <c r="C459" s="2"/>
      <c r="D459" s="2"/>
      <c r="E459" s="2"/>
      <c r="F459" s="2"/>
      <c r="G459" s="28"/>
      <c r="H459" s="2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</row>
    <row r="460" spans="2:49" ht="15.75" customHeight="1" x14ac:dyDescent="0.2">
      <c r="B460" s="2"/>
      <c r="C460" s="2"/>
      <c r="D460" s="2"/>
      <c r="E460" s="2"/>
      <c r="F460" s="2"/>
      <c r="G460" s="28"/>
      <c r="H460" s="2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</row>
    <row r="461" spans="2:49" ht="15.75" customHeight="1" x14ac:dyDescent="0.2">
      <c r="B461" s="2"/>
      <c r="C461" s="2"/>
      <c r="D461" s="2"/>
      <c r="E461" s="2"/>
      <c r="F461" s="2"/>
      <c r="G461" s="28"/>
      <c r="H461" s="2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</row>
    <row r="462" spans="2:49" ht="15.75" customHeight="1" x14ac:dyDescent="0.2">
      <c r="B462" s="2"/>
      <c r="C462" s="2"/>
      <c r="D462" s="2"/>
      <c r="E462" s="2"/>
      <c r="F462" s="2"/>
      <c r="G462" s="28"/>
      <c r="H462" s="2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</row>
    <row r="463" spans="2:49" ht="15.75" customHeight="1" x14ac:dyDescent="0.2">
      <c r="B463" s="2"/>
      <c r="C463" s="2"/>
      <c r="D463" s="2"/>
      <c r="E463" s="2"/>
      <c r="F463" s="2"/>
      <c r="G463" s="28"/>
      <c r="H463" s="2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</row>
    <row r="464" spans="2:49" ht="15.75" customHeight="1" x14ac:dyDescent="0.2">
      <c r="B464" s="2"/>
      <c r="C464" s="2"/>
      <c r="D464" s="2"/>
      <c r="E464" s="2"/>
      <c r="F464" s="2"/>
      <c r="G464" s="28"/>
      <c r="H464" s="2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</row>
    <row r="465" spans="2:49" ht="15.75" customHeight="1" x14ac:dyDescent="0.2">
      <c r="B465" s="2"/>
      <c r="C465" s="2"/>
      <c r="D465" s="2"/>
      <c r="E465" s="2"/>
      <c r="F465" s="2"/>
      <c r="G465" s="28"/>
      <c r="H465" s="2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</row>
    <row r="466" spans="2:49" ht="15.75" customHeight="1" x14ac:dyDescent="0.2">
      <c r="B466" s="2"/>
      <c r="C466" s="2"/>
      <c r="D466" s="2"/>
      <c r="E466" s="2"/>
      <c r="F466" s="2"/>
      <c r="G466" s="28"/>
      <c r="H466" s="2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</row>
    <row r="467" spans="2:49" ht="15.75" customHeight="1" x14ac:dyDescent="0.2">
      <c r="B467" s="2"/>
      <c r="C467" s="2"/>
      <c r="D467" s="2"/>
      <c r="E467" s="2"/>
      <c r="F467" s="2"/>
      <c r="G467" s="28"/>
      <c r="H467" s="2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</row>
    <row r="468" spans="2:49" ht="15.75" customHeight="1" x14ac:dyDescent="0.2">
      <c r="B468" s="2"/>
      <c r="C468" s="2"/>
      <c r="D468" s="2"/>
      <c r="E468" s="2"/>
      <c r="F468" s="2"/>
      <c r="G468" s="28"/>
      <c r="H468" s="2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</row>
    <row r="469" spans="2:49" ht="15.75" customHeight="1" x14ac:dyDescent="0.2">
      <c r="B469" s="2"/>
      <c r="C469" s="2"/>
      <c r="D469" s="2"/>
      <c r="E469" s="2"/>
      <c r="F469" s="2"/>
      <c r="G469" s="28"/>
      <c r="H469" s="2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</row>
    <row r="470" spans="2:49" ht="15.75" customHeight="1" x14ac:dyDescent="0.2">
      <c r="B470" s="2"/>
      <c r="C470" s="2"/>
      <c r="D470" s="2"/>
      <c r="E470" s="2"/>
      <c r="F470" s="2"/>
      <c r="G470" s="28"/>
      <c r="H470" s="2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</row>
    <row r="471" spans="2:49" ht="15.75" customHeight="1" x14ac:dyDescent="0.2">
      <c r="B471" s="2"/>
      <c r="C471" s="2"/>
      <c r="D471" s="2"/>
      <c r="E471" s="2"/>
      <c r="F471" s="2"/>
      <c r="G471" s="28"/>
      <c r="H471" s="2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</row>
    <row r="472" spans="2:49" ht="15.75" customHeight="1" x14ac:dyDescent="0.2">
      <c r="B472" s="2"/>
      <c r="C472" s="2"/>
      <c r="D472" s="2"/>
      <c r="E472" s="2"/>
      <c r="F472" s="2"/>
      <c r="G472" s="28"/>
      <c r="H472" s="2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</row>
    <row r="473" spans="2:49" ht="15.75" customHeight="1" x14ac:dyDescent="0.2">
      <c r="B473" s="2"/>
      <c r="C473" s="2"/>
      <c r="D473" s="2"/>
      <c r="E473" s="2"/>
      <c r="F473" s="2"/>
      <c r="G473" s="28"/>
      <c r="H473" s="2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</row>
    <row r="474" spans="2:49" ht="15.75" customHeight="1" x14ac:dyDescent="0.2">
      <c r="B474" s="2"/>
      <c r="C474" s="2"/>
      <c r="D474" s="2"/>
      <c r="E474" s="2"/>
      <c r="F474" s="2"/>
      <c r="G474" s="28"/>
      <c r="H474" s="2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</row>
    <row r="475" spans="2:49" ht="15.75" customHeight="1" x14ac:dyDescent="0.2">
      <c r="B475" s="2"/>
      <c r="C475" s="2"/>
      <c r="D475" s="2"/>
      <c r="E475" s="2"/>
      <c r="F475" s="2"/>
      <c r="G475" s="28"/>
      <c r="H475" s="2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</row>
    <row r="476" spans="2:49" ht="15.75" customHeight="1" x14ac:dyDescent="0.2">
      <c r="B476" s="2"/>
      <c r="C476" s="2"/>
      <c r="D476" s="2"/>
      <c r="E476" s="2"/>
      <c r="F476" s="2"/>
      <c r="G476" s="28"/>
      <c r="H476" s="2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</row>
    <row r="477" spans="2:49" ht="15.75" customHeight="1" x14ac:dyDescent="0.2">
      <c r="B477" s="2"/>
      <c r="C477" s="2"/>
      <c r="D477" s="2"/>
      <c r="E477" s="2"/>
      <c r="F477" s="2"/>
      <c r="G477" s="28"/>
      <c r="H477" s="2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</row>
    <row r="478" spans="2:49" ht="15.75" customHeight="1" x14ac:dyDescent="0.2">
      <c r="B478" s="2"/>
      <c r="C478" s="2"/>
      <c r="D478" s="2"/>
      <c r="E478" s="2"/>
      <c r="F478" s="2"/>
      <c r="G478" s="28"/>
      <c r="H478" s="2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</row>
    <row r="479" spans="2:49" ht="15.75" customHeight="1" x14ac:dyDescent="0.2">
      <c r="B479" s="2"/>
      <c r="C479" s="2"/>
      <c r="D479" s="2"/>
      <c r="E479" s="2"/>
      <c r="F479" s="2"/>
      <c r="G479" s="28"/>
      <c r="H479" s="2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</row>
    <row r="480" spans="2:49" ht="15.75" customHeight="1" x14ac:dyDescent="0.2">
      <c r="B480" s="2"/>
      <c r="C480" s="2"/>
      <c r="D480" s="2"/>
      <c r="E480" s="2"/>
      <c r="F480" s="2"/>
      <c r="G480" s="28"/>
      <c r="H480" s="2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</row>
    <row r="481" spans="2:49" ht="15.75" customHeight="1" x14ac:dyDescent="0.2">
      <c r="B481" s="2"/>
      <c r="C481" s="2"/>
      <c r="D481" s="2"/>
      <c r="E481" s="2"/>
      <c r="F481" s="2"/>
      <c r="G481" s="28"/>
      <c r="H481" s="2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</row>
    <row r="482" spans="2:49" ht="15.75" customHeight="1" x14ac:dyDescent="0.2">
      <c r="B482" s="2"/>
      <c r="C482" s="2"/>
      <c r="D482" s="2"/>
      <c r="E482" s="2"/>
      <c r="F482" s="2"/>
      <c r="G482" s="28"/>
      <c r="H482" s="2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</row>
    <row r="483" spans="2:49" ht="15.75" customHeight="1" x14ac:dyDescent="0.2">
      <c r="B483" s="2"/>
      <c r="C483" s="2"/>
      <c r="D483" s="2"/>
      <c r="E483" s="2"/>
      <c r="F483" s="2"/>
      <c r="G483" s="28"/>
      <c r="H483" s="2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</row>
    <row r="484" spans="2:49" ht="15.75" customHeight="1" x14ac:dyDescent="0.2">
      <c r="B484" s="2"/>
      <c r="C484" s="2"/>
      <c r="D484" s="2"/>
      <c r="E484" s="2"/>
      <c r="F484" s="2"/>
      <c r="G484" s="28"/>
      <c r="H484" s="2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</row>
    <row r="485" spans="2:49" ht="15.75" customHeight="1" x14ac:dyDescent="0.2">
      <c r="B485" s="2"/>
      <c r="C485" s="2"/>
      <c r="D485" s="2"/>
      <c r="E485" s="2"/>
      <c r="F485" s="2"/>
      <c r="G485" s="28"/>
      <c r="H485" s="2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</row>
    <row r="486" spans="2:49" ht="15.75" customHeight="1" x14ac:dyDescent="0.2">
      <c r="B486" s="2"/>
      <c r="C486" s="2"/>
      <c r="D486" s="2"/>
      <c r="E486" s="2"/>
      <c r="F486" s="2"/>
      <c r="G486" s="28"/>
      <c r="H486" s="2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</row>
    <row r="487" spans="2:49" ht="15.75" customHeight="1" x14ac:dyDescent="0.2">
      <c r="B487" s="2"/>
      <c r="C487" s="2"/>
      <c r="D487" s="2"/>
      <c r="E487" s="2"/>
      <c r="F487" s="2"/>
      <c r="G487" s="28"/>
      <c r="H487" s="2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</row>
    <row r="488" spans="2:49" ht="15.75" customHeight="1" x14ac:dyDescent="0.2">
      <c r="B488" s="2"/>
      <c r="C488" s="2"/>
      <c r="D488" s="2"/>
      <c r="E488" s="2"/>
      <c r="F488" s="2"/>
      <c r="G488" s="28"/>
      <c r="H488" s="2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</row>
    <row r="489" spans="2:49" ht="15.75" customHeight="1" x14ac:dyDescent="0.2">
      <c r="B489" s="2"/>
      <c r="C489" s="2"/>
      <c r="D489" s="2"/>
      <c r="E489" s="2"/>
      <c r="F489" s="2"/>
      <c r="G489" s="28"/>
      <c r="H489" s="2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</row>
    <row r="490" spans="2:49" ht="15.75" customHeight="1" x14ac:dyDescent="0.2">
      <c r="B490" s="2"/>
      <c r="C490" s="2"/>
      <c r="D490" s="2"/>
      <c r="E490" s="2"/>
      <c r="F490" s="2"/>
      <c r="G490" s="28"/>
      <c r="H490" s="2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</row>
    <row r="491" spans="2:49" ht="15.75" customHeight="1" x14ac:dyDescent="0.2">
      <c r="B491" s="2"/>
      <c r="C491" s="2"/>
      <c r="D491" s="2"/>
      <c r="E491" s="2"/>
      <c r="F491" s="2"/>
      <c r="G491" s="28"/>
      <c r="H491" s="2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</row>
    <row r="492" spans="2:49" ht="15.75" customHeight="1" x14ac:dyDescent="0.2">
      <c r="B492" s="2"/>
      <c r="C492" s="2"/>
      <c r="D492" s="2"/>
      <c r="E492" s="2"/>
      <c r="F492" s="2"/>
      <c r="G492" s="28"/>
      <c r="H492" s="2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</row>
    <row r="493" spans="2:49" ht="15.75" customHeight="1" x14ac:dyDescent="0.2">
      <c r="B493" s="2"/>
      <c r="C493" s="2"/>
      <c r="D493" s="2"/>
      <c r="E493" s="2"/>
      <c r="F493" s="2"/>
      <c r="G493" s="28"/>
      <c r="H493" s="2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</row>
    <row r="494" spans="2:49" ht="15.75" customHeight="1" x14ac:dyDescent="0.2">
      <c r="B494" s="2"/>
      <c r="C494" s="2"/>
      <c r="D494" s="2"/>
      <c r="E494" s="2"/>
      <c r="F494" s="2"/>
      <c r="G494" s="28"/>
      <c r="H494" s="2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</row>
    <row r="495" spans="2:49" ht="15.75" customHeight="1" x14ac:dyDescent="0.2">
      <c r="B495" s="2"/>
      <c r="C495" s="2"/>
      <c r="D495" s="2"/>
      <c r="E495" s="2"/>
      <c r="F495" s="2"/>
      <c r="G495" s="28"/>
      <c r="H495" s="2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</row>
    <row r="496" spans="2:49" ht="15.75" customHeight="1" x14ac:dyDescent="0.2">
      <c r="B496" s="2"/>
      <c r="C496" s="2"/>
      <c r="D496" s="2"/>
      <c r="E496" s="2"/>
      <c r="F496" s="2"/>
      <c r="G496" s="28"/>
      <c r="H496" s="2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</row>
    <row r="497" spans="2:49" ht="15.75" customHeight="1" x14ac:dyDescent="0.2">
      <c r="B497" s="2"/>
      <c r="C497" s="2"/>
      <c r="D497" s="2"/>
      <c r="E497" s="2"/>
      <c r="F497" s="2"/>
      <c r="G497" s="28"/>
      <c r="H497" s="2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</row>
    <row r="498" spans="2:49" ht="15.75" customHeight="1" x14ac:dyDescent="0.2">
      <c r="B498" s="2"/>
      <c r="C498" s="2"/>
      <c r="D498" s="2"/>
      <c r="E498" s="2"/>
      <c r="F498" s="2"/>
      <c r="G498" s="28"/>
      <c r="H498" s="2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</row>
    <row r="499" spans="2:49" ht="15.75" customHeight="1" x14ac:dyDescent="0.2">
      <c r="B499" s="2"/>
      <c r="C499" s="2"/>
      <c r="D499" s="2"/>
      <c r="E499" s="2"/>
      <c r="F499" s="2"/>
      <c r="G499" s="28"/>
      <c r="H499" s="2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</row>
    <row r="500" spans="2:49" ht="15.75" customHeight="1" x14ac:dyDescent="0.2">
      <c r="B500" s="2"/>
      <c r="C500" s="2"/>
      <c r="D500" s="2"/>
      <c r="E500" s="2"/>
      <c r="F500" s="2"/>
      <c r="G500" s="28"/>
      <c r="H500" s="2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</row>
    <row r="501" spans="2:49" ht="15.75" customHeight="1" x14ac:dyDescent="0.2">
      <c r="B501" s="2"/>
      <c r="C501" s="2"/>
      <c r="D501" s="2"/>
      <c r="E501" s="2"/>
      <c r="F501" s="2"/>
      <c r="G501" s="28"/>
      <c r="H501" s="2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</row>
    <row r="502" spans="2:49" ht="15.75" customHeight="1" x14ac:dyDescent="0.2">
      <c r="B502" s="2"/>
      <c r="C502" s="2"/>
      <c r="D502" s="2"/>
      <c r="E502" s="2"/>
      <c r="F502" s="2"/>
      <c r="G502" s="28"/>
      <c r="H502" s="2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</row>
    <row r="503" spans="2:49" ht="15.75" customHeight="1" x14ac:dyDescent="0.2">
      <c r="B503" s="2"/>
      <c r="C503" s="2"/>
      <c r="D503" s="2"/>
      <c r="E503" s="2"/>
      <c r="F503" s="2"/>
      <c r="G503" s="28"/>
      <c r="H503" s="2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</row>
    <row r="504" spans="2:49" ht="15.75" customHeight="1" x14ac:dyDescent="0.2">
      <c r="B504" s="2"/>
      <c r="C504" s="2"/>
      <c r="D504" s="2"/>
      <c r="E504" s="2"/>
      <c r="F504" s="2"/>
      <c r="G504" s="28"/>
      <c r="H504" s="2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</row>
    <row r="505" spans="2:49" ht="15.75" customHeight="1" x14ac:dyDescent="0.2">
      <c r="B505" s="2"/>
      <c r="C505" s="2"/>
      <c r="D505" s="2"/>
      <c r="E505" s="2"/>
      <c r="F505" s="2"/>
      <c r="G505" s="28"/>
      <c r="H505" s="2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</row>
    <row r="506" spans="2:49" ht="15.75" customHeight="1" x14ac:dyDescent="0.2">
      <c r="B506" s="2"/>
      <c r="C506" s="2"/>
      <c r="D506" s="2"/>
      <c r="E506" s="2"/>
      <c r="F506" s="2"/>
      <c r="G506" s="28"/>
      <c r="H506" s="2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</row>
    <row r="507" spans="2:49" ht="15.75" customHeight="1" x14ac:dyDescent="0.2">
      <c r="B507" s="2"/>
      <c r="C507" s="2"/>
      <c r="D507" s="2"/>
      <c r="E507" s="2"/>
      <c r="F507" s="2"/>
      <c r="G507" s="28"/>
      <c r="H507" s="2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</row>
    <row r="508" spans="2:49" ht="15.75" customHeight="1" x14ac:dyDescent="0.2">
      <c r="B508" s="2"/>
      <c r="C508" s="2"/>
      <c r="D508" s="2"/>
      <c r="E508" s="2"/>
      <c r="F508" s="2"/>
      <c r="G508" s="28"/>
      <c r="H508" s="2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</row>
    <row r="509" spans="2:49" ht="15.75" customHeight="1" x14ac:dyDescent="0.2">
      <c r="B509" s="2"/>
      <c r="C509" s="2"/>
      <c r="D509" s="2"/>
      <c r="E509" s="2"/>
      <c r="F509" s="2"/>
      <c r="G509" s="28"/>
      <c r="H509" s="2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</row>
    <row r="510" spans="2:49" ht="15.75" customHeight="1" x14ac:dyDescent="0.2">
      <c r="B510" s="2"/>
      <c r="C510" s="2"/>
      <c r="D510" s="2"/>
      <c r="E510" s="2"/>
      <c r="F510" s="2"/>
      <c r="G510" s="28"/>
      <c r="H510" s="2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</row>
    <row r="511" spans="2:49" ht="15.75" customHeight="1" x14ac:dyDescent="0.2">
      <c r="B511" s="2"/>
      <c r="C511" s="2"/>
      <c r="D511" s="2"/>
      <c r="E511" s="2"/>
      <c r="F511" s="2"/>
      <c r="G511" s="28"/>
      <c r="H511" s="2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</row>
    <row r="512" spans="2:49" ht="15.75" customHeight="1" x14ac:dyDescent="0.2">
      <c r="B512" s="2"/>
      <c r="C512" s="2"/>
      <c r="D512" s="2"/>
      <c r="E512" s="2"/>
      <c r="F512" s="2"/>
      <c r="G512" s="28"/>
      <c r="H512" s="2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</row>
    <row r="513" spans="2:49" ht="15.75" customHeight="1" x14ac:dyDescent="0.2">
      <c r="B513" s="2"/>
      <c r="C513" s="2"/>
      <c r="D513" s="2"/>
      <c r="E513" s="2"/>
      <c r="F513" s="2"/>
      <c r="G513" s="28"/>
      <c r="H513" s="2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</row>
    <row r="514" spans="2:49" ht="15.75" customHeight="1" x14ac:dyDescent="0.2">
      <c r="B514" s="2"/>
      <c r="C514" s="2"/>
      <c r="D514" s="2"/>
      <c r="E514" s="2"/>
      <c r="F514" s="2"/>
      <c r="G514" s="28"/>
      <c r="H514" s="2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</row>
    <row r="515" spans="2:49" ht="15.75" customHeight="1" x14ac:dyDescent="0.2">
      <c r="B515" s="2"/>
      <c r="C515" s="2"/>
      <c r="D515" s="2"/>
      <c r="E515" s="2"/>
      <c r="F515" s="2"/>
      <c r="G515" s="28"/>
      <c r="H515" s="2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</row>
    <row r="516" spans="2:49" ht="15.75" customHeight="1" x14ac:dyDescent="0.2">
      <c r="B516" s="2"/>
      <c r="C516" s="2"/>
      <c r="D516" s="2"/>
      <c r="E516" s="2"/>
      <c r="F516" s="2"/>
      <c r="G516" s="28"/>
      <c r="H516" s="2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</row>
    <row r="517" spans="2:49" ht="15.75" customHeight="1" x14ac:dyDescent="0.2">
      <c r="B517" s="2"/>
      <c r="C517" s="2"/>
      <c r="D517" s="2"/>
      <c r="E517" s="2"/>
      <c r="F517" s="2"/>
      <c r="G517" s="28"/>
      <c r="H517" s="2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</row>
    <row r="518" spans="2:49" ht="15.75" customHeight="1" x14ac:dyDescent="0.2">
      <c r="B518" s="2"/>
      <c r="C518" s="2"/>
      <c r="D518" s="2"/>
      <c r="E518" s="2"/>
      <c r="F518" s="2"/>
      <c r="G518" s="28"/>
      <c r="H518" s="2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</row>
    <row r="519" spans="2:49" ht="15.75" customHeight="1" x14ac:dyDescent="0.2">
      <c r="B519" s="2"/>
      <c r="C519" s="2"/>
      <c r="D519" s="2"/>
      <c r="E519" s="2"/>
      <c r="F519" s="2"/>
      <c r="G519" s="28"/>
      <c r="H519" s="2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</row>
    <row r="520" spans="2:49" ht="15.75" customHeight="1" x14ac:dyDescent="0.2">
      <c r="B520" s="2"/>
      <c r="C520" s="2"/>
      <c r="D520" s="2"/>
      <c r="E520" s="2"/>
      <c r="F520" s="2"/>
      <c r="G520" s="28"/>
      <c r="H520" s="2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</row>
    <row r="521" spans="2:49" ht="15.75" customHeight="1" x14ac:dyDescent="0.2">
      <c r="B521" s="2"/>
      <c r="C521" s="2"/>
      <c r="D521" s="2"/>
      <c r="E521" s="2"/>
      <c r="F521" s="2"/>
      <c r="G521" s="28"/>
      <c r="H521" s="2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</row>
    <row r="522" spans="2:49" ht="15.75" customHeight="1" x14ac:dyDescent="0.2">
      <c r="B522" s="2"/>
      <c r="C522" s="2"/>
      <c r="D522" s="2"/>
      <c r="E522" s="2"/>
      <c r="F522" s="2"/>
      <c r="G522" s="28"/>
      <c r="H522" s="2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</row>
    <row r="523" spans="2:49" ht="15.75" customHeight="1" x14ac:dyDescent="0.2">
      <c r="B523" s="2"/>
      <c r="C523" s="2"/>
      <c r="D523" s="2"/>
      <c r="E523" s="2"/>
      <c r="F523" s="2"/>
      <c r="G523" s="28"/>
      <c r="H523" s="2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</row>
    <row r="524" spans="2:49" ht="15.75" customHeight="1" x14ac:dyDescent="0.2">
      <c r="B524" s="2"/>
      <c r="C524" s="2"/>
      <c r="D524" s="2"/>
      <c r="E524" s="2"/>
      <c r="F524" s="2"/>
      <c r="G524" s="28"/>
      <c r="H524" s="2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</row>
    <row r="525" spans="2:49" ht="15.75" customHeight="1" x14ac:dyDescent="0.2">
      <c r="B525" s="2"/>
      <c r="C525" s="2"/>
      <c r="D525" s="2"/>
      <c r="E525" s="2"/>
      <c r="F525" s="2"/>
      <c r="G525" s="28"/>
      <c r="H525" s="2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</row>
    <row r="526" spans="2:49" ht="15.75" customHeight="1" x14ac:dyDescent="0.2">
      <c r="B526" s="2"/>
      <c r="C526" s="2"/>
      <c r="D526" s="2"/>
      <c r="E526" s="2"/>
      <c r="F526" s="2"/>
      <c r="G526" s="28"/>
      <c r="H526" s="2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</row>
    <row r="527" spans="2:49" ht="15.75" customHeight="1" x14ac:dyDescent="0.2">
      <c r="B527" s="2"/>
      <c r="C527" s="2"/>
      <c r="D527" s="2"/>
      <c r="E527" s="2"/>
      <c r="F527" s="2"/>
      <c r="G527" s="28"/>
      <c r="H527" s="2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</row>
    <row r="528" spans="2:49" ht="15.75" customHeight="1" x14ac:dyDescent="0.2">
      <c r="B528" s="2"/>
      <c r="C528" s="2"/>
      <c r="D528" s="2"/>
      <c r="E528" s="2"/>
      <c r="F528" s="2"/>
      <c r="G528" s="28"/>
      <c r="H528" s="2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</row>
    <row r="529" spans="2:49" ht="15.75" customHeight="1" x14ac:dyDescent="0.2">
      <c r="B529" s="2"/>
      <c r="C529" s="2"/>
      <c r="D529" s="2"/>
      <c r="E529" s="2"/>
      <c r="F529" s="2"/>
      <c r="G529" s="28"/>
      <c r="H529" s="2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</row>
    <row r="530" spans="2:49" ht="15.75" customHeight="1" x14ac:dyDescent="0.2">
      <c r="B530" s="2"/>
      <c r="C530" s="2"/>
      <c r="D530" s="2"/>
      <c r="E530" s="2"/>
      <c r="F530" s="2"/>
      <c r="G530" s="28"/>
      <c r="H530" s="2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</row>
    <row r="531" spans="2:49" ht="15.75" customHeight="1" x14ac:dyDescent="0.2">
      <c r="B531" s="2"/>
      <c r="C531" s="2"/>
      <c r="D531" s="2"/>
      <c r="E531" s="2"/>
      <c r="F531" s="2"/>
      <c r="G531" s="28"/>
      <c r="H531" s="2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</row>
    <row r="532" spans="2:49" ht="15.75" customHeight="1" x14ac:dyDescent="0.2">
      <c r="B532" s="2"/>
      <c r="C532" s="2"/>
      <c r="D532" s="2"/>
      <c r="E532" s="2"/>
      <c r="F532" s="2"/>
      <c r="G532" s="28"/>
      <c r="H532" s="2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</row>
    <row r="533" spans="2:49" ht="15.75" customHeight="1" x14ac:dyDescent="0.2">
      <c r="B533" s="2"/>
      <c r="C533" s="2"/>
      <c r="D533" s="2"/>
      <c r="E533" s="2"/>
      <c r="F533" s="2"/>
      <c r="G533" s="28"/>
      <c r="H533" s="2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</row>
    <row r="534" spans="2:49" ht="15.75" customHeight="1" x14ac:dyDescent="0.2">
      <c r="B534" s="2"/>
      <c r="C534" s="2"/>
      <c r="D534" s="2"/>
      <c r="E534" s="2"/>
      <c r="F534" s="2"/>
      <c r="G534" s="28"/>
      <c r="H534" s="2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</row>
    <row r="535" spans="2:49" ht="15.75" customHeight="1" x14ac:dyDescent="0.2">
      <c r="B535" s="2"/>
      <c r="C535" s="2"/>
      <c r="D535" s="2"/>
      <c r="E535" s="2"/>
      <c r="F535" s="2"/>
      <c r="G535" s="28"/>
      <c r="H535" s="2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</row>
    <row r="536" spans="2:49" ht="15.75" customHeight="1" x14ac:dyDescent="0.2">
      <c r="B536" s="2"/>
      <c r="C536" s="2"/>
      <c r="D536" s="2"/>
      <c r="E536" s="2"/>
      <c r="F536" s="2"/>
      <c r="G536" s="28"/>
      <c r="H536" s="2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</row>
    <row r="537" spans="2:49" ht="15.75" customHeight="1" x14ac:dyDescent="0.2">
      <c r="B537" s="2"/>
      <c r="C537" s="2"/>
      <c r="D537" s="2"/>
      <c r="E537" s="2"/>
      <c r="F537" s="2"/>
      <c r="G537" s="28"/>
      <c r="H537" s="2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</row>
    <row r="538" spans="2:49" ht="15.75" customHeight="1" x14ac:dyDescent="0.2">
      <c r="B538" s="2"/>
      <c r="C538" s="2"/>
      <c r="D538" s="2"/>
      <c r="E538" s="2"/>
      <c r="F538" s="2"/>
      <c r="G538" s="28"/>
      <c r="H538" s="2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</row>
    <row r="539" spans="2:49" ht="15.75" customHeight="1" x14ac:dyDescent="0.2">
      <c r="B539" s="2"/>
      <c r="C539" s="2"/>
      <c r="D539" s="2"/>
      <c r="E539" s="2"/>
      <c r="F539" s="2"/>
      <c r="G539" s="28"/>
      <c r="H539" s="2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</row>
    <row r="540" spans="2:49" ht="15.75" customHeight="1" x14ac:dyDescent="0.2">
      <c r="B540" s="2"/>
      <c r="C540" s="2"/>
      <c r="D540" s="2"/>
      <c r="E540" s="2"/>
      <c r="F540" s="2"/>
      <c r="G540" s="28"/>
      <c r="H540" s="2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</row>
    <row r="541" spans="2:49" ht="15.75" customHeight="1" x14ac:dyDescent="0.2">
      <c r="B541" s="2"/>
      <c r="C541" s="2"/>
      <c r="D541" s="2"/>
      <c r="E541" s="2"/>
      <c r="F541" s="2"/>
      <c r="G541" s="28"/>
      <c r="H541" s="2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</row>
    <row r="542" spans="2:49" ht="15.75" customHeight="1" x14ac:dyDescent="0.2">
      <c r="B542" s="2"/>
      <c r="C542" s="2"/>
      <c r="D542" s="2"/>
      <c r="E542" s="2"/>
      <c r="F542" s="2"/>
      <c r="G542" s="28"/>
      <c r="H542" s="2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</row>
    <row r="543" spans="2:49" ht="15.75" customHeight="1" x14ac:dyDescent="0.2">
      <c r="B543" s="2"/>
      <c r="C543" s="2"/>
      <c r="D543" s="2"/>
      <c r="E543" s="2"/>
      <c r="F543" s="2"/>
      <c r="G543" s="28"/>
      <c r="H543" s="2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</row>
    <row r="544" spans="2:49" ht="15.75" customHeight="1" x14ac:dyDescent="0.2">
      <c r="B544" s="2"/>
      <c r="C544" s="2"/>
      <c r="D544" s="2"/>
      <c r="E544" s="2"/>
      <c r="F544" s="2"/>
      <c r="G544" s="28"/>
      <c r="H544" s="2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</row>
    <row r="545" spans="2:49" ht="15.75" customHeight="1" x14ac:dyDescent="0.2">
      <c r="B545" s="2"/>
      <c r="C545" s="2"/>
      <c r="D545" s="2"/>
      <c r="E545" s="2"/>
      <c r="F545" s="2"/>
      <c r="G545" s="28"/>
      <c r="H545" s="2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</row>
    <row r="546" spans="2:49" ht="15.75" customHeight="1" x14ac:dyDescent="0.2">
      <c r="B546" s="2"/>
      <c r="C546" s="2"/>
      <c r="D546" s="2"/>
      <c r="E546" s="2"/>
      <c r="F546" s="2"/>
      <c r="G546" s="28"/>
      <c r="H546" s="2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</row>
    <row r="547" spans="2:49" ht="15.75" customHeight="1" x14ac:dyDescent="0.2">
      <c r="B547" s="2"/>
      <c r="C547" s="2"/>
      <c r="D547" s="2"/>
      <c r="E547" s="2"/>
      <c r="F547" s="2"/>
      <c r="G547" s="28"/>
      <c r="H547" s="2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</row>
    <row r="548" spans="2:49" ht="15.75" customHeight="1" x14ac:dyDescent="0.2">
      <c r="B548" s="2"/>
      <c r="C548" s="2"/>
      <c r="D548" s="2"/>
      <c r="E548" s="2"/>
      <c r="F548" s="2"/>
      <c r="G548" s="28"/>
      <c r="H548" s="2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</row>
    <row r="549" spans="2:49" ht="15.75" customHeight="1" x14ac:dyDescent="0.2">
      <c r="B549" s="2"/>
      <c r="C549" s="2"/>
      <c r="D549" s="2"/>
      <c r="E549" s="2"/>
      <c r="F549" s="2"/>
      <c r="G549" s="28"/>
      <c r="H549" s="2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</row>
    <row r="550" spans="2:49" ht="15.75" customHeight="1" x14ac:dyDescent="0.2">
      <c r="B550" s="2"/>
      <c r="C550" s="2"/>
      <c r="D550" s="2"/>
      <c r="E550" s="2"/>
      <c r="F550" s="2"/>
      <c r="G550" s="28"/>
      <c r="H550" s="2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</row>
    <row r="551" spans="2:49" ht="15.75" customHeight="1" x14ac:dyDescent="0.2">
      <c r="B551" s="2"/>
      <c r="C551" s="2"/>
      <c r="D551" s="2"/>
      <c r="E551" s="2"/>
      <c r="F551" s="2"/>
      <c r="G551" s="28"/>
      <c r="H551" s="2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</row>
    <row r="552" spans="2:49" ht="15.75" customHeight="1" x14ac:dyDescent="0.2">
      <c r="B552" s="2"/>
      <c r="C552" s="2"/>
      <c r="D552" s="2"/>
      <c r="E552" s="2"/>
      <c r="F552" s="2"/>
      <c r="G552" s="28"/>
      <c r="H552" s="2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</row>
    <row r="553" spans="2:49" ht="15.75" customHeight="1" x14ac:dyDescent="0.2">
      <c r="B553" s="2"/>
      <c r="C553" s="2"/>
      <c r="D553" s="2"/>
      <c r="E553" s="2"/>
      <c r="F553" s="2"/>
      <c r="G553" s="28"/>
      <c r="H553" s="2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</row>
    <row r="554" spans="2:49" ht="15.75" customHeight="1" x14ac:dyDescent="0.2">
      <c r="B554" s="2"/>
      <c r="C554" s="2"/>
      <c r="D554" s="2"/>
      <c r="E554" s="2"/>
      <c r="F554" s="2"/>
      <c r="G554" s="28"/>
      <c r="H554" s="2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</row>
    <row r="555" spans="2:49" ht="15.75" customHeight="1" x14ac:dyDescent="0.2">
      <c r="B555" s="2"/>
      <c r="C555" s="2"/>
      <c r="D555" s="2"/>
      <c r="E555" s="2"/>
      <c r="F555" s="2"/>
      <c r="G555" s="28"/>
      <c r="H555" s="2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</row>
    <row r="556" spans="2:49" ht="15.75" customHeight="1" x14ac:dyDescent="0.2">
      <c r="B556" s="2"/>
      <c r="C556" s="2"/>
      <c r="D556" s="2"/>
      <c r="E556" s="2"/>
      <c r="F556" s="2"/>
      <c r="G556" s="28"/>
      <c r="H556" s="2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</row>
    <row r="557" spans="2:49" ht="15.75" customHeight="1" x14ac:dyDescent="0.2">
      <c r="B557" s="2"/>
      <c r="C557" s="2"/>
      <c r="D557" s="2"/>
      <c r="E557" s="2"/>
      <c r="F557" s="2"/>
      <c r="G557" s="28"/>
      <c r="H557" s="2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</row>
    <row r="558" spans="2:49" ht="15.75" customHeight="1" x14ac:dyDescent="0.2">
      <c r="B558" s="2"/>
      <c r="C558" s="2"/>
      <c r="D558" s="2"/>
      <c r="E558" s="2"/>
      <c r="F558" s="2"/>
      <c r="G558" s="28"/>
      <c r="H558" s="2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</row>
    <row r="559" spans="2:49" ht="15.75" customHeight="1" x14ac:dyDescent="0.2">
      <c r="B559" s="2"/>
      <c r="C559" s="2"/>
      <c r="D559" s="2"/>
      <c r="E559" s="2"/>
      <c r="F559" s="2"/>
      <c r="G559" s="28"/>
      <c r="H559" s="2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</row>
    <row r="560" spans="2:49" ht="15.75" customHeight="1" x14ac:dyDescent="0.2">
      <c r="B560" s="2"/>
      <c r="C560" s="2"/>
      <c r="D560" s="2"/>
      <c r="E560" s="2"/>
      <c r="F560" s="2"/>
      <c r="G560" s="28"/>
      <c r="H560" s="2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</row>
    <row r="561" spans="2:49" ht="15.75" customHeight="1" x14ac:dyDescent="0.2">
      <c r="B561" s="2"/>
      <c r="C561" s="2"/>
      <c r="D561" s="2"/>
      <c r="E561" s="2"/>
      <c r="F561" s="2"/>
      <c r="G561" s="28"/>
      <c r="H561" s="2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</row>
    <row r="562" spans="2:49" ht="15.75" customHeight="1" x14ac:dyDescent="0.2">
      <c r="B562" s="2"/>
      <c r="C562" s="2"/>
      <c r="D562" s="2"/>
      <c r="E562" s="2"/>
      <c r="F562" s="2"/>
      <c r="G562" s="28"/>
      <c r="H562" s="2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</row>
    <row r="563" spans="2:49" ht="15.75" customHeight="1" x14ac:dyDescent="0.2">
      <c r="B563" s="2"/>
      <c r="C563" s="2"/>
      <c r="D563" s="2"/>
      <c r="E563" s="2"/>
      <c r="F563" s="2"/>
      <c r="G563" s="28"/>
      <c r="H563" s="2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</row>
    <row r="564" spans="2:49" ht="15.75" customHeight="1" x14ac:dyDescent="0.2">
      <c r="B564" s="2"/>
      <c r="C564" s="2"/>
      <c r="D564" s="2"/>
      <c r="E564" s="2"/>
      <c r="F564" s="2"/>
      <c r="G564" s="28"/>
      <c r="H564" s="2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</row>
    <row r="565" spans="2:49" ht="15.75" customHeight="1" x14ac:dyDescent="0.2">
      <c r="B565" s="2"/>
      <c r="C565" s="2"/>
      <c r="D565" s="2"/>
      <c r="E565" s="2"/>
      <c r="F565" s="2"/>
      <c r="G565" s="28"/>
      <c r="H565" s="2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</row>
    <row r="566" spans="2:49" ht="15.75" customHeight="1" x14ac:dyDescent="0.2">
      <c r="B566" s="2"/>
      <c r="C566" s="2"/>
      <c r="D566" s="2"/>
      <c r="E566" s="2"/>
      <c r="F566" s="2"/>
      <c r="G566" s="28"/>
      <c r="H566" s="2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</row>
    <row r="567" spans="2:49" ht="15.75" customHeight="1" x14ac:dyDescent="0.2">
      <c r="B567" s="2"/>
      <c r="C567" s="2"/>
      <c r="D567" s="2"/>
      <c r="E567" s="2"/>
      <c r="F567" s="2"/>
      <c r="G567" s="28"/>
      <c r="H567" s="2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</row>
    <row r="568" spans="2:49" ht="15.75" customHeight="1" x14ac:dyDescent="0.2">
      <c r="B568" s="2"/>
      <c r="C568" s="2"/>
      <c r="D568" s="2"/>
      <c r="E568" s="2"/>
      <c r="F568" s="2"/>
      <c r="G568" s="28"/>
      <c r="H568" s="2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</row>
    <row r="569" spans="2:49" ht="15.75" customHeight="1" x14ac:dyDescent="0.2">
      <c r="B569" s="2"/>
      <c r="C569" s="2"/>
      <c r="D569" s="2"/>
      <c r="E569" s="2"/>
      <c r="F569" s="2"/>
      <c r="G569" s="28"/>
      <c r="H569" s="2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</row>
    <row r="570" spans="2:49" ht="15.75" customHeight="1" x14ac:dyDescent="0.2">
      <c r="B570" s="2"/>
      <c r="C570" s="2"/>
      <c r="D570" s="2"/>
      <c r="E570" s="2"/>
      <c r="F570" s="2"/>
      <c r="G570" s="28"/>
      <c r="H570" s="2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</row>
    <row r="571" spans="2:49" ht="15.75" customHeight="1" x14ac:dyDescent="0.2">
      <c r="B571" s="2"/>
      <c r="C571" s="2"/>
      <c r="D571" s="2"/>
      <c r="E571" s="2"/>
      <c r="F571" s="2"/>
      <c r="G571" s="28"/>
      <c r="H571" s="2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</row>
    <row r="572" spans="2:49" ht="15.75" customHeight="1" x14ac:dyDescent="0.2">
      <c r="B572" s="2"/>
      <c r="C572" s="2"/>
      <c r="D572" s="2"/>
      <c r="E572" s="2"/>
      <c r="F572" s="2"/>
      <c r="G572" s="28"/>
      <c r="H572" s="2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</row>
    <row r="573" spans="2:49" ht="15.75" customHeight="1" x14ac:dyDescent="0.2">
      <c r="B573" s="2"/>
      <c r="C573" s="2"/>
      <c r="D573" s="2"/>
      <c r="E573" s="2"/>
      <c r="F573" s="2"/>
      <c r="G573" s="28"/>
      <c r="H573" s="2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</row>
    <row r="574" spans="2:49" ht="15.75" customHeight="1" x14ac:dyDescent="0.2">
      <c r="B574" s="2"/>
      <c r="C574" s="2"/>
      <c r="D574" s="2"/>
      <c r="E574" s="2"/>
      <c r="F574" s="2"/>
      <c r="G574" s="28"/>
      <c r="H574" s="2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</row>
    <row r="575" spans="2:49" ht="15.75" customHeight="1" x14ac:dyDescent="0.2">
      <c r="B575" s="2"/>
      <c r="C575" s="2"/>
      <c r="D575" s="2"/>
      <c r="E575" s="2"/>
      <c r="F575" s="2"/>
      <c r="G575" s="28"/>
      <c r="H575" s="2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</row>
    <row r="576" spans="2:49" ht="15.75" customHeight="1" x14ac:dyDescent="0.2">
      <c r="B576" s="2"/>
      <c r="C576" s="2"/>
      <c r="D576" s="2"/>
      <c r="E576" s="2"/>
      <c r="F576" s="2"/>
      <c r="G576" s="28"/>
      <c r="H576" s="2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</row>
    <row r="577" spans="2:49" ht="15.75" customHeight="1" x14ac:dyDescent="0.2">
      <c r="B577" s="2"/>
      <c r="C577" s="2"/>
      <c r="D577" s="2"/>
      <c r="E577" s="2"/>
      <c r="F577" s="2"/>
      <c r="G577" s="28"/>
      <c r="H577" s="2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</row>
    <row r="578" spans="2:49" ht="15.75" customHeight="1" x14ac:dyDescent="0.2">
      <c r="B578" s="2"/>
      <c r="C578" s="2"/>
      <c r="D578" s="2"/>
      <c r="E578" s="2"/>
      <c r="F578" s="2"/>
      <c r="G578" s="28"/>
      <c r="H578" s="2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</row>
    <row r="579" spans="2:49" ht="15.75" customHeight="1" x14ac:dyDescent="0.2">
      <c r="B579" s="2"/>
      <c r="C579" s="2"/>
      <c r="D579" s="2"/>
      <c r="E579" s="2"/>
      <c r="F579" s="2"/>
      <c r="G579" s="28"/>
      <c r="H579" s="2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</row>
    <row r="580" spans="2:49" ht="15.75" customHeight="1" x14ac:dyDescent="0.2">
      <c r="B580" s="2"/>
      <c r="C580" s="2"/>
      <c r="D580" s="2"/>
      <c r="E580" s="2"/>
      <c r="F580" s="2"/>
      <c r="G580" s="28"/>
      <c r="H580" s="2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</row>
    <row r="581" spans="2:49" ht="15.75" customHeight="1" x14ac:dyDescent="0.2">
      <c r="B581" s="2"/>
      <c r="C581" s="2"/>
      <c r="D581" s="2"/>
      <c r="E581" s="2"/>
      <c r="F581" s="2"/>
      <c r="G581" s="28"/>
      <c r="H581" s="2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</row>
    <row r="582" spans="2:49" ht="15.75" customHeight="1" x14ac:dyDescent="0.2">
      <c r="B582" s="2"/>
      <c r="C582" s="2"/>
      <c r="D582" s="2"/>
      <c r="E582" s="2"/>
      <c r="F582" s="2"/>
      <c r="G582" s="28"/>
      <c r="H582" s="2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</row>
    <row r="583" spans="2:49" ht="15.75" customHeight="1" x14ac:dyDescent="0.2">
      <c r="B583" s="2"/>
      <c r="C583" s="2"/>
      <c r="D583" s="2"/>
      <c r="E583" s="2"/>
      <c r="F583" s="2"/>
      <c r="G583" s="28"/>
      <c r="H583" s="2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</row>
    <row r="584" spans="2:49" ht="15.75" customHeight="1" x14ac:dyDescent="0.2">
      <c r="B584" s="2"/>
      <c r="C584" s="2"/>
      <c r="D584" s="2"/>
      <c r="E584" s="2"/>
      <c r="F584" s="2"/>
      <c r="G584" s="28"/>
      <c r="H584" s="2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</row>
    <row r="585" spans="2:49" ht="15.75" customHeight="1" x14ac:dyDescent="0.2">
      <c r="B585" s="2"/>
      <c r="C585" s="2"/>
      <c r="D585" s="2"/>
      <c r="E585" s="2"/>
      <c r="F585" s="2"/>
      <c r="G585" s="28"/>
      <c r="H585" s="2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</row>
    <row r="586" spans="2:49" ht="15.75" customHeight="1" x14ac:dyDescent="0.2">
      <c r="B586" s="2"/>
      <c r="C586" s="2"/>
      <c r="D586" s="2"/>
      <c r="E586" s="2"/>
      <c r="F586" s="2"/>
      <c r="G586" s="28"/>
      <c r="H586" s="2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</row>
    <row r="587" spans="2:49" ht="15.75" customHeight="1" x14ac:dyDescent="0.2">
      <c r="B587" s="2"/>
      <c r="C587" s="2"/>
      <c r="D587" s="2"/>
      <c r="E587" s="2"/>
      <c r="F587" s="2"/>
      <c r="G587" s="28"/>
      <c r="H587" s="2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</row>
    <row r="588" spans="2:49" ht="15.75" customHeight="1" x14ac:dyDescent="0.2">
      <c r="B588" s="2"/>
      <c r="C588" s="2"/>
      <c r="D588" s="2"/>
      <c r="E588" s="2"/>
      <c r="F588" s="2"/>
      <c r="G588" s="28"/>
      <c r="H588" s="2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</row>
    <row r="589" spans="2:49" ht="15.75" customHeight="1" x14ac:dyDescent="0.2">
      <c r="B589" s="2"/>
      <c r="C589" s="2"/>
      <c r="D589" s="2"/>
      <c r="E589" s="2"/>
      <c r="F589" s="2"/>
      <c r="G589" s="28"/>
      <c r="H589" s="2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</row>
    <row r="590" spans="2:49" ht="15.75" customHeight="1" x14ac:dyDescent="0.2">
      <c r="B590" s="2"/>
      <c r="C590" s="2"/>
      <c r="D590" s="2"/>
      <c r="E590" s="2"/>
      <c r="F590" s="2"/>
      <c r="G590" s="28"/>
      <c r="H590" s="2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</row>
    <row r="591" spans="2:49" ht="15.75" customHeight="1" x14ac:dyDescent="0.2">
      <c r="B591" s="2"/>
      <c r="C591" s="2"/>
      <c r="D591" s="2"/>
      <c r="E591" s="2"/>
      <c r="F591" s="2"/>
      <c r="G591" s="28"/>
      <c r="H591" s="2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</row>
    <row r="592" spans="2:49" ht="15.75" customHeight="1" x14ac:dyDescent="0.2">
      <c r="B592" s="2"/>
      <c r="C592" s="2"/>
      <c r="D592" s="2"/>
      <c r="E592" s="2"/>
      <c r="F592" s="2"/>
      <c r="G592" s="28"/>
      <c r="H592" s="2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</row>
    <row r="593" spans="2:49" ht="15.75" customHeight="1" x14ac:dyDescent="0.2">
      <c r="B593" s="2"/>
      <c r="C593" s="2"/>
      <c r="D593" s="2"/>
      <c r="E593" s="2"/>
      <c r="F593" s="2"/>
      <c r="G593" s="28"/>
      <c r="H593" s="2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</row>
    <row r="594" spans="2:49" ht="15.75" customHeight="1" x14ac:dyDescent="0.2">
      <c r="B594" s="2"/>
      <c r="C594" s="2"/>
      <c r="D594" s="2"/>
      <c r="E594" s="2"/>
      <c r="F594" s="2"/>
      <c r="G594" s="28"/>
      <c r="H594" s="2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</row>
    <row r="595" spans="2:49" ht="15.75" customHeight="1" x14ac:dyDescent="0.2">
      <c r="B595" s="2"/>
      <c r="C595" s="2"/>
      <c r="D595" s="2"/>
      <c r="E595" s="2"/>
      <c r="F595" s="2"/>
      <c r="G595" s="28"/>
      <c r="H595" s="2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</row>
    <row r="596" spans="2:49" ht="15.75" customHeight="1" x14ac:dyDescent="0.2">
      <c r="B596" s="2"/>
      <c r="C596" s="2"/>
      <c r="D596" s="2"/>
      <c r="E596" s="2"/>
      <c r="F596" s="2"/>
      <c r="G596" s="28"/>
      <c r="H596" s="2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</row>
    <row r="597" spans="2:49" ht="15.75" customHeight="1" x14ac:dyDescent="0.2">
      <c r="B597" s="2"/>
      <c r="C597" s="2"/>
      <c r="D597" s="2"/>
      <c r="E597" s="2"/>
      <c r="F597" s="2"/>
      <c r="G597" s="28"/>
      <c r="H597" s="2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</row>
    <row r="598" spans="2:49" ht="15.75" customHeight="1" x14ac:dyDescent="0.2">
      <c r="B598" s="2"/>
      <c r="C598" s="2"/>
      <c r="D598" s="2"/>
      <c r="E598" s="2"/>
      <c r="F598" s="2"/>
      <c r="G598" s="28"/>
      <c r="H598" s="2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</row>
    <row r="599" spans="2:49" ht="15.75" customHeight="1" x14ac:dyDescent="0.2">
      <c r="B599" s="2"/>
      <c r="C599" s="2"/>
      <c r="D599" s="2"/>
      <c r="E599" s="2"/>
      <c r="F599" s="2"/>
      <c r="G599" s="28"/>
      <c r="H599" s="2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</row>
    <row r="600" spans="2:49" ht="15.75" customHeight="1" x14ac:dyDescent="0.2">
      <c r="B600" s="2"/>
      <c r="C600" s="2"/>
      <c r="D600" s="2"/>
      <c r="E600" s="2"/>
      <c r="F600" s="2"/>
      <c r="G600" s="28"/>
      <c r="H600" s="2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</row>
    <row r="601" spans="2:49" ht="15.75" customHeight="1" x14ac:dyDescent="0.2">
      <c r="B601" s="2"/>
      <c r="C601" s="2"/>
      <c r="D601" s="2"/>
      <c r="E601" s="2"/>
      <c r="F601" s="2"/>
      <c r="G601" s="28"/>
      <c r="H601" s="2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</row>
    <row r="602" spans="2:49" ht="15.75" customHeight="1" x14ac:dyDescent="0.2">
      <c r="B602" s="2"/>
      <c r="C602" s="2"/>
      <c r="D602" s="2"/>
      <c r="E602" s="2"/>
      <c r="F602" s="2"/>
      <c r="G602" s="28"/>
      <c r="H602" s="2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</row>
    <row r="603" spans="2:49" ht="15.75" customHeight="1" x14ac:dyDescent="0.2">
      <c r="B603" s="2"/>
      <c r="C603" s="2"/>
      <c r="D603" s="2"/>
      <c r="E603" s="2"/>
      <c r="F603" s="2"/>
      <c r="G603" s="28"/>
      <c r="H603" s="2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</row>
    <row r="604" spans="2:49" ht="15.75" customHeight="1" x14ac:dyDescent="0.2">
      <c r="B604" s="2"/>
      <c r="C604" s="2"/>
      <c r="D604" s="2"/>
      <c r="E604" s="2"/>
      <c r="F604" s="2"/>
      <c r="G604" s="28"/>
      <c r="H604" s="2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</row>
    <row r="605" spans="2:49" ht="15.75" customHeight="1" x14ac:dyDescent="0.2">
      <c r="B605" s="2"/>
      <c r="C605" s="2"/>
      <c r="D605" s="2"/>
      <c r="E605" s="2"/>
      <c r="F605" s="2"/>
      <c r="G605" s="28"/>
      <c r="H605" s="2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</row>
    <row r="606" spans="2:49" ht="15.75" customHeight="1" x14ac:dyDescent="0.2">
      <c r="B606" s="2"/>
      <c r="C606" s="2"/>
      <c r="D606" s="2"/>
      <c r="E606" s="2"/>
      <c r="F606" s="2"/>
      <c r="G606" s="28"/>
      <c r="H606" s="2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</row>
    <row r="607" spans="2:49" ht="15.75" customHeight="1" x14ac:dyDescent="0.2">
      <c r="B607" s="2"/>
      <c r="C607" s="2"/>
      <c r="D607" s="2"/>
      <c r="E607" s="2"/>
      <c r="F607" s="2"/>
      <c r="G607" s="28"/>
      <c r="H607" s="2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</row>
    <row r="608" spans="2:49" ht="15.75" customHeight="1" x14ac:dyDescent="0.2">
      <c r="B608" s="2"/>
      <c r="C608" s="2"/>
      <c r="D608" s="2"/>
      <c r="E608" s="2"/>
      <c r="F608" s="2"/>
      <c r="G608" s="28"/>
      <c r="H608" s="2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</row>
    <row r="609" spans="2:49" ht="15.75" customHeight="1" x14ac:dyDescent="0.2">
      <c r="B609" s="2"/>
      <c r="C609" s="2"/>
      <c r="D609" s="2"/>
      <c r="E609" s="2"/>
      <c r="F609" s="2"/>
      <c r="G609" s="28"/>
      <c r="H609" s="2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</row>
    <row r="610" spans="2:49" ht="15.75" customHeight="1" x14ac:dyDescent="0.2">
      <c r="B610" s="2"/>
      <c r="C610" s="2"/>
      <c r="D610" s="2"/>
      <c r="E610" s="2"/>
      <c r="F610" s="2"/>
      <c r="G610" s="28"/>
      <c r="H610" s="2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</row>
    <row r="611" spans="2:49" ht="15.75" customHeight="1" x14ac:dyDescent="0.2">
      <c r="B611" s="2"/>
      <c r="C611" s="2"/>
      <c r="D611" s="2"/>
      <c r="E611" s="2"/>
      <c r="F611" s="2"/>
      <c r="G611" s="28"/>
      <c r="H611" s="2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</row>
    <row r="612" spans="2:49" ht="15.75" customHeight="1" x14ac:dyDescent="0.2">
      <c r="B612" s="2"/>
      <c r="C612" s="2"/>
      <c r="D612" s="2"/>
      <c r="E612" s="2"/>
      <c r="F612" s="2"/>
      <c r="G612" s="28"/>
      <c r="H612" s="2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</row>
    <row r="613" spans="2:49" ht="15.75" customHeight="1" x14ac:dyDescent="0.2">
      <c r="B613" s="2"/>
      <c r="C613" s="2"/>
      <c r="D613" s="2"/>
      <c r="E613" s="2"/>
      <c r="F613" s="2"/>
      <c r="G613" s="28"/>
      <c r="H613" s="2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</row>
    <row r="614" spans="2:49" ht="15.75" customHeight="1" x14ac:dyDescent="0.2">
      <c r="B614" s="2"/>
      <c r="C614" s="2"/>
      <c r="D614" s="2"/>
      <c r="E614" s="2"/>
      <c r="F614" s="2"/>
      <c r="G614" s="28"/>
      <c r="H614" s="2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</row>
    <row r="615" spans="2:49" ht="15.75" customHeight="1" x14ac:dyDescent="0.2">
      <c r="B615" s="2"/>
      <c r="C615" s="2"/>
      <c r="D615" s="2"/>
      <c r="E615" s="2"/>
      <c r="F615" s="2"/>
      <c r="G615" s="28"/>
      <c r="H615" s="2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</row>
    <row r="616" spans="2:49" ht="15.75" customHeight="1" x14ac:dyDescent="0.2">
      <c r="B616" s="2"/>
      <c r="C616" s="2"/>
      <c r="D616" s="2"/>
      <c r="E616" s="2"/>
      <c r="F616" s="2"/>
      <c r="G616" s="28"/>
      <c r="H616" s="2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</row>
    <row r="617" spans="2:49" ht="15.75" customHeight="1" x14ac:dyDescent="0.2">
      <c r="B617" s="2"/>
      <c r="C617" s="2"/>
      <c r="D617" s="2"/>
      <c r="E617" s="2"/>
      <c r="F617" s="2"/>
      <c r="G617" s="28"/>
      <c r="H617" s="2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</row>
    <row r="618" spans="2:49" ht="15.75" customHeight="1" x14ac:dyDescent="0.2">
      <c r="B618" s="2"/>
      <c r="C618" s="2"/>
      <c r="D618" s="2"/>
      <c r="E618" s="2"/>
      <c r="F618" s="2"/>
      <c r="G618" s="28"/>
      <c r="H618" s="2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</row>
    <row r="619" spans="2:49" ht="15.75" customHeight="1" x14ac:dyDescent="0.2">
      <c r="B619" s="2"/>
      <c r="C619" s="2"/>
      <c r="D619" s="2"/>
      <c r="E619" s="2"/>
      <c r="F619" s="2"/>
      <c r="G619" s="28"/>
      <c r="H619" s="2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</row>
    <row r="620" spans="2:49" ht="15.75" customHeight="1" x14ac:dyDescent="0.2">
      <c r="B620" s="2"/>
      <c r="C620" s="2"/>
      <c r="D620" s="2"/>
      <c r="E620" s="2"/>
      <c r="F620" s="2"/>
      <c r="G620" s="28"/>
      <c r="H620" s="2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</row>
    <row r="621" spans="2:49" ht="15.75" customHeight="1" x14ac:dyDescent="0.2">
      <c r="B621" s="2"/>
      <c r="C621" s="2"/>
      <c r="D621" s="2"/>
      <c r="E621" s="2"/>
      <c r="F621" s="2"/>
      <c r="G621" s="28"/>
      <c r="H621" s="2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</row>
    <row r="622" spans="2:49" ht="15.75" customHeight="1" x14ac:dyDescent="0.2">
      <c r="B622" s="2"/>
      <c r="C622" s="2"/>
      <c r="D622" s="2"/>
      <c r="E622" s="2"/>
      <c r="F622" s="2"/>
      <c r="G622" s="28"/>
      <c r="H622" s="2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</row>
    <row r="623" spans="2:49" ht="15.75" customHeight="1" x14ac:dyDescent="0.2">
      <c r="B623" s="2"/>
      <c r="C623" s="2"/>
      <c r="D623" s="2"/>
      <c r="E623" s="2"/>
      <c r="F623" s="2"/>
      <c r="G623" s="28"/>
      <c r="H623" s="2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</row>
    <row r="624" spans="2:49" ht="15.75" customHeight="1" x14ac:dyDescent="0.2">
      <c r="B624" s="2"/>
      <c r="C624" s="2"/>
      <c r="D624" s="2"/>
      <c r="E624" s="2"/>
      <c r="F624" s="2"/>
      <c r="G624" s="28"/>
      <c r="H624" s="2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</row>
    <row r="625" spans="2:49" ht="15.75" customHeight="1" x14ac:dyDescent="0.2">
      <c r="B625" s="2"/>
      <c r="C625" s="2"/>
      <c r="D625" s="2"/>
      <c r="E625" s="2"/>
      <c r="F625" s="2"/>
      <c r="G625" s="28"/>
      <c r="H625" s="2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</row>
    <row r="626" spans="2:49" ht="15.75" customHeight="1" x14ac:dyDescent="0.2">
      <c r="B626" s="2"/>
      <c r="C626" s="2"/>
      <c r="D626" s="2"/>
      <c r="E626" s="2"/>
      <c r="F626" s="2"/>
      <c r="G626" s="28"/>
      <c r="H626" s="2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</row>
    <row r="627" spans="2:49" ht="15.75" customHeight="1" x14ac:dyDescent="0.2">
      <c r="B627" s="2"/>
      <c r="C627" s="2"/>
      <c r="D627" s="2"/>
      <c r="E627" s="2"/>
      <c r="F627" s="2"/>
      <c r="G627" s="28"/>
      <c r="H627" s="2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</row>
    <row r="628" spans="2:49" ht="15.75" customHeight="1" x14ac:dyDescent="0.2">
      <c r="B628" s="2"/>
      <c r="C628" s="2"/>
      <c r="D628" s="2"/>
      <c r="E628" s="2"/>
      <c r="F628" s="2"/>
      <c r="G628" s="28"/>
      <c r="H628" s="2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</row>
    <row r="629" spans="2:49" ht="15.75" customHeight="1" x14ac:dyDescent="0.2">
      <c r="B629" s="2"/>
      <c r="C629" s="2"/>
      <c r="D629" s="2"/>
      <c r="E629" s="2"/>
      <c r="F629" s="2"/>
      <c r="G629" s="28"/>
      <c r="H629" s="2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</row>
    <row r="630" spans="2:49" ht="15.75" customHeight="1" x14ac:dyDescent="0.2">
      <c r="B630" s="2"/>
      <c r="C630" s="2"/>
      <c r="D630" s="2"/>
      <c r="E630" s="2"/>
      <c r="F630" s="2"/>
      <c r="G630" s="28"/>
      <c r="H630" s="2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</row>
    <row r="631" spans="2:49" ht="15.75" customHeight="1" x14ac:dyDescent="0.2">
      <c r="B631" s="2"/>
      <c r="C631" s="2"/>
      <c r="D631" s="2"/>
      <c r="E631" s="2"/>
      <c r="F631" s="2"/>
      <c r="G631" s="28"/>
      <c r="H631" s="2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</row>
    <row r="632" spans="2:49" ht="15.75" customHeight="1" x14ac:dyDescent="0.2">
      <c r="B632" s="2"/>
      <c r="C632" s="2"/>
      <c r="D632" s="2"/>
      <c r="E632" s="2"/>
      <c r="F632" s="2"/>
      <c r="G632" s="28"/>
      <c r="H632" s="2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</row>
    <row r="633" spans="2:49" ht="15.75" customHeight="1" x14ac:dyDescent="0.2">
      <c r="B633" s="2"/>
      <c r="C633" s="2"/>
      <c r="D633" s="2"/>
      <c r="E633" s="2"/>
      <c r="F633" s="2"/>
      <c r="G633" s="28"/>
      <c r="H633" s="2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</row>
    <row r="634" spans="2:49" ht="15.75" customHeight="1" x14ac:dyDescent="0.2">
      <c r="B634" s="2"/>
      <c r="C634" s="2"/>
      <c r="D634" s="2"/>
      <c r="E634" s="2"/>
      <c r="F634" s="2"/>
      <c r="G634" s="28"/>
      <c r="H634" s="2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</row>
    <row r="635" spans="2:49" ht="15.75" customHeight="1" x14ac:dyDescent="0.2">
      <c r="B635" s="2"/>
      <c r="C635" s="2"/>
      <c r="D635" s="2"/>
      <c r="E635" s="2"/>
      <c r="F635" s="2"/>
      <c r="G635" s="28"/>
      <c r="H635" s="2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</row>
    <row r="636" spans="2:49" ht="15.75" customHeight="1" x14ac:dyDescent="0.2">
      <c r="B636" s="2"/>
      <c r="C636" s="2"/>
      <c r="D636" s="2"/>
      <c r="E636" s="2"/>
      <c r="F636" s="2"/>
      <c r="G636" s="28"/>
      <c r="H636" s="2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</row>
    <row r="637" spans="2:49" ht="15.75" customHeight="1" x14ac:dyDescent="0.2">
      <c r="B637" s="2"/>
      <c r="C637" s="2"/>
      <c r="D637" s="2"/>
      <c r="E637" s="2"/>
      <c r="F637" s="2"/>
      <c r="G637" s="28"/>
      <c r="H637" s="2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</row>
    <row r="638" spans="2:49" ht="15.75" customHeight="1" x14ac:dyDescent="0.2">
      <c r="B638" s="2"/>
      <c r="C638" s="2"/>
      <c r="D638" s="2"/>
      <c r="E638" s="2"/>
      <c r="F638" s="2"/>
      <c r="G638" s="28"/>
      <c r="H638" s="2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</row>
    <row r="639" spans="2:49" ht="15.75" customHeight="1" x14ac:dyDescent="0.2">
      <c r="B639" s="2"/>
      <c r="C639" s="2"/>
      <c r="D639" s="2"/>
      <c r="E639" s="2"/>
      <c r="F639" s="2"/>
      <c r="G639" s="28"/>
      <c r="H639" s="2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</row>
    <row r="640" spans="2:49" ht="15.75" customHeight="1" x14ac:dyDescent="0.2">
      <c r="B640" s="2"/>
      <c r="C640" s="2"/>
      <c r="D640" s="2"/>
      <c r="E640" s="2"/>
      <c r="F640" s="2"/>
      <c r="G640" s="28"/>
      <c r="H640" s="2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</row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</sheetData>
  <mergeCells count="2">
    <mergeCell ref="A5:E5"/>
    <mergeCell ref="A6:G6"/>
  </mergeCells>
  <phoneticPr fontId="14" type="noConversion"/>
  <pageMargins left="0.39370078740157483" right="0.15748031496062992" top="0.15748031496062992" bottom="0.15748031496062992" header="0.15748031496062992" footer="0.1574803149606299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777"/>
  <sheetViews>
    <sheetView topLeftCell="A46" zoomScale="90" zoomScaleNormal="90" zoomScaleSheetLayoutView="80" workbookViewId="0">
      <selection activeCell="C77" sqref="C77"/>
    </sheetView>
  </sheetViews>
  <sheetFormatPr defaultRowHeight="12.75" x14ac:dyDescent="0.2"/>
  <cols>
    <col min="1" max="1" width="6.28515625" style="2" customWidth="1"/>
    <col min="2" max="2" width="84.5703125" customWidth="1"/>
    <col min="3" max="3" width="13.28515625" customWidth="1"/>
    <col min="4" max="4" width="13.28515625" hidden="1" customWidth="1"/>
    <col min="5" max="5" width="12.85546875" hidden="1" customWidth="1"/>
    <col min="6" max="6" width="12.7109375" hidden="1" customWidth="1"/>
    <col min="7" max="7" width="13.85546875" style="35" hidden="1" customWidth="1"/>
    <col min="8" max="8" width="4.7109375" customWidth="1"/>
    <col min="9" max="9" width="18.42578125" hidden="1" customWidth="1"/>
    <col min="10" max="16" width="9.140625" hidden="1" customWidth="1"/>
    <col min="17" max="19" width="9.140625" customWidth="1"/>
  </cols>
  <sheetData>
    <row r="1" spans="1:46" ht="15" customHeight="1" x14ac:dyDescent="0.3">
      <c r="A1" s="54"/>
      <c r="B1" s="33"/>
      <c r="C1" s="55" t="s">
        <v>483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15" customHeight="1" x14ac:dyDescent="0.3">
      <c r="A2" s="54"/>
      <c r="B2" s="33"/>
      <c r="C2" s="55" t="str">
        <f>'1.Bev-kiad.'!C2</f>
        <v>a 2/2025.(III.6.) önkormányzati rendelethez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15" customHeight="1" x14ac:dyDescent="0.3">
      <c r="A3" s="54"/>
      <c r="B3" s="33"/>
      <c r="C3" s="55"/>
      <c r="D3" s="55"/>
      <c r="E3" s="5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 ht="19.5" x14ac:dyDescent="0.35">
      <c r="A4" s="447" t="s">
        <v>369</v>
      </c>
      <c r="B4" s="447"/>
      <c r="C4" s="447"/>
      <c r="D4" s="447"/>
      <c r="E4" s="447"/>
      <c r="F4" s="447"/>
      <c r="G4" s="44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19.5" x14ac:dyDescent="0.35">
      <c r="A5" s="447" t="s">
        <v>790</v>
      </c>
      <c r="B5" s="447"/>
      <c r="C5" s="447"/>
      <c r="D5" s="447"/>
      <c r="E5" s="447"/>
      <c r="F5" s="447"/>
      <c r="G5" s="44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13.5" thickBot="1" x14ac:dyDescent="0.25">
      <c r="A6" s="54"/>
      <c r="B6" s="1"/>
      <c r="C6" s="55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ht="53.25" customHeight="1" thickBot="1" x14ac:dyDescent="0.25">
      <c r="A7" s="166" t="s">
        <v>106</v>
      </c>
      <c r="B7" s="158" t="s">
        <v>195</v>
      </c>
      <c r="C7" s="217" t="str">
        <f>'1.Bev-kiad.'!C8</f>
        <v>2025. évi eredeti előirányzat</v>
      </c>
      <c r="D7" s="217" t="str">
        <f>'1.Bev-kiad.'!D8</f>
        <v>Módosított előirányzat 2024.10.havi</v>
      </c>
      <c r="E7" s="217" t="str">
        <f>'1.Bev-kiad.'!E8</f>
        <v>Módosított előirányzat 2024..havi</v>
      </c>
      <c r="F7" s="217" t="str">
        <f>'1.Bev-kiad.'!F8</f>
        <v>Módosított előirányzat 2024.12.31.</v>
      </c>
      <c r="G7" s="42" t="str">
        <f>'1.Bev-kiad.'!G8</f>
        <v>Teljesítés 2024.12.31.</v>
      </c>
      <c r="H7" s="239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ht="20.25" customHeight="1" x14ac:dyDescent="0.2">
      <c r="A8" s="167" t="s">
        <v>107</v>
      </c>
      <c r="B8" s="159" t="s">
        <v>348</v>
      </c>
      <c r="C8" s="207">
        <f>SUM(C9+C65+C79+C91)</f>
        <v>79600</v>
      </c>
      <c r="D8" s="207">
        <f>SUM(D9+D65+D79+D91)</f>
        <v>80087</v>
      </c>
      <c r="E8" s="207">
        <f>SUM(E9+E65+E79+E91)</f>
        <v>77686</v>
      </c>
      <c r="F8" s="207">
        <f>SUM(F9+F65+F79+F91)</f>
        <v>77686</v>
      </c>
      <c r="G8" s="207">
        <f>SUM(G9+G65+G79+G91)</f>
        <v>77686</v>
      </c>
      <c r="H8" s="2"/>
      <c r="I8" s="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18" customHeight="1" x14ac:dyDescent="0.25">
      <c r="A9" s="8" t="s">
        <v>108</v>
      </c>
      <c r="B9" s="22" t="s">
        <v>531</v>
      </c>
      <c r="C9" s="208">
        <f>C10+C62</f>
        <v>36175</v>
      </c>
      <c r="D9" s="208">
        <f>D10+D62</f>
        <v>35581</v>
      </c>
      <c r="E9" s="208">
        <f>E10+E62</f>
        <v>35581</v>
      </c>
      <c r="F9" s="208">
        <f>F10+F62</f>
        <v>35581</v>
      </c>
      <c r="G9" s="208">
        <f>G10+G62</f>
        <v>35581</v>
      </c>
      <c r="H9" s="2"/>
      <c r="I9" s="208">
        <f>I10+I62</f>
        <v>36175000</v>
      </c>
      <c r="J9" s="2"/>
      <c r="K9" s="2"/>
      <c r="L9" s="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13.5" customHeight="1" x14ac:dyDescent="0.2">
      <c r="A10" s="8" t="s">
        <v>109</v>
      </c>
      <c r="B10" s="13" t="s">
        <v>532</v>
      </c>
      <c r="C10" s="5">
        <f>C11+C26+C37+C43+C47+C61</f>
        <v>36175</v>
      </c>
      <c r="D10" s="5">
        <f>D11+D26+D37+D43+D47+D61</f>
        <v>35581</v>
      </c>
      <c r="E10" s="5">
        <f>E11+E26+E37+E43+E47+E61</f>
        <v>35581</v>
      </c>
      <c r="F10" s="5">
        <f>F11+F26+F37+F43+F47+F61</f>
        <v>35581</v>
      </c>
      <c r="G10" s="5">
        <f>G11+G26+G37+G43+G47+G61</f>
        <v>35581</v>
      </c>
      <c r="H10" s="2"/>
      <c r="I10" s="5">
        <f>I11+I26+I37+I43+I47+I61</f>
        <v>36175000</v>
      </c>
      <c r="J10" s="2"/>
      <c r="K10" s="2"/>
      <c r="L10" s="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13.5" customHeight="1" x14ac:dyDescent="0.2">
      <c r="A11" s="8" t="s">
        <v>197</v>
      </c>
      <c r="B11" s="345" t="s">
        <v>533</v>
      </c>
      <c r="C11" s="5">
        <f>C12+C21+C22+C24+C23</f>
        <v>12379</v>
      </c>
      <c r="D11" s="5">
        <f>D12+D21+D22+D24+D23</f>
        <v>12379</v>
      </c>
      <c r="E11" s="5">
        <f>E12+E21+E22+E24+E23</f>
        <v>12379</v>
      </c>
      <c r="F11" s="5">
        <f>F12+F21+F22+F24+F23</f>
        <v>12379</v>
      </c>
      <c r="G11" s="5">
        <f>G12+G21+G22+G24+G23</f>
        <v>12379</v>
      </c>
      <c r="H11" s="7"/>
      <c r="I11" s="5">
        <f>I12+I21+I22+I24+I23</f>
        <v>12378845</v>
      </c>
      <c r="J11" s="2"/>
      <c r="K11" s="2"/>
      <c r="L11" s="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ht="13.5" customHeight="1" x14ac:dyDescent="0.2">
      <c r="A12" s="8"/>
      <c r="B12" s="344" t="s">
        <v>534</v>
      </c>
      <c r="C12" s="12">
        <f>SUM(C13:C20)</f>
        <v>12379</v>
      </c>
      <c r="D12" s="12">
        <f>SUM(D13:D20)</f>
        <v>12379</v>
      </c>
      <c r="E12" s="12">
        <f>SUM(E13:E20)</f>
        <v>12379</v>
      </c>
      <c r="F12" s="12">
        <f>SUM(F13:F20)</f>
        <v>12379</v>
      </c>
      <c r="G12" s="12">
        <f>SUM(G13:G20)</f>
        <v>12379</v>
      </c>
      <c r="H12" s="7"/>
      <c r="I12" s="12">
        <f>SUM(I13:I20)</f>
        <v>12378845</v>
      </c>
      <c r="J12" s="2"/>
      <c r="K12" s="2"/>
      <c r="L12" s="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ht="13.5" customHeight="1" x14ac:dyDescent="0.2">
      <c r="A13" s="8"/>
      <c r="B13" s="344" t="s">
        <v>535</v>
      </c>
      <c r="C13" s="224">
        <v>0</v>
      </c>
      <c r="D13" s="224">
        <v>0</v>
      </c>
      <c r="E13" s="224">
        <v>0</v>
      </c>
      <c r="F13" s="224">
        <v>0</v>
      </c>
      <c r="G13" s="224">
        <v>0</v>
      </c>
      <c r="H13" s="7"/>
      <c r="I13" s="7"/>
      <c r="J13" s="2"/>
      <c r="K13" s="2"/>
      <c r="L13" s="7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ht="13.5" customHeight="1" x14ac:dyDescent="0.2">
      <c r="A14" s="8"/>
      <c r="B14" s="344" t="s">
        <v>802</v>
      </c>
      <c r="C14" s="224">
        <v>2676</v>
      </c>
      <c r="D14" s="224">
        <v>2676</v>
      </c>
      <c r="E14" s="224">
        <v>2676</v>
      </c>
      <c r="F14" s="224">
        <v>2676</v>
      </c>
      <c r="G14" s="224">
        <v>2676</v>
      </c>
      <c r="H14" s="7"/>
      <c r="I14" s="7">
        <v>2675400</v>
      </c>
      <c r="J14" s="2"/>
      <c r="K14" s="2"/>
      <c r="L14" s="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ht="13.5" customHeight="1" x14ac:dyDescent="0.2">
      <c r="A15" s="8"/>
      <c r="B15" s="344" t="s">
        <v>803</v>
      </c>
      <c r="C15" s="224">
        <v>2479</v>
      </c>
      <c r="D15" s="224">
        <v>2479</v>
      </c>
      <c r="E15" s="224">
        <v>2479</v>
      </c>
      <c r="F15" s="224">
        <v>2479</v>
      </c>
      <c r="G15" s="224">
        <v>2479</v>
      </c>
      <c r="H15" s="7"/>
      <c r="I15" s="7">
        <v>2479000</v>
      </c>
      <c r="J15" s="2"/>
      <c r="K15" s="2"/>
      <c r="L15" s="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ht="13.5" customHeight="1" x14ac:dyDescent="0.2">
      <c r="A16" s="8"/>
      <c r="B16" s="344" t="s">
        <v>704</v>
      </c>
      <c r="C16" s="224">
        <v>150</v>
      </c>
      <c r="D16" s="224">
        <v>150</v>
      </c>
      <c r="E16" s="224">
        <v>150</v>
      </c>
      <c r="F16" s="224">
        <v>150</v>
      </c>
      <c r="G16" s="224">
        <v>150</v>
      </c>
      <c r="H16" s="7"/>
      <c r="I16" s="7">
        <v>150000</v>
      </c>
      <c r="J16" s="2"/>
      <c r="K16" s="2"/>
      <c r="L16" s="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ht="13.5" customHeight="1" x14ac:dyDescent="0.2">
      <c r="A17" s="8"/>
      <c r="B17" s="344" t="s">
        <v>536</v>
      </c>
      <c r="C17" s="224">
        <v>1400</v>
      </c>
      <c r="D17" s="224">
        <v>1400</v>
      </c>
      <c r="E17" s="224">
        <v>1400</v>
      </c>
      <c r="F17" s="224">
        <v>1400</v>
      </c>
      <c r="G17" s="224">
        <v>1400</v>
      </c>
      <c r="H17" s="7"/>
      <c r="I17" s="7">
        <v>1400375</v>
      </c>
      <c r="J17" s="2"/>
      <c r="K17" s="2"/>
      <c r="L17" s="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ht="13.5" customHeight="1" x14ac:dyDescent="0.2">
      <c r="A18" s="8"/>
      <c r="B18" s="344" t="s">
        <v>537</v>
      </c>
      <c r="C18" s="224">
        <v>864</v>
      </c>
      <c r="D18" s="224">
        <v>864</v>
      </c>
      <c r="E18" s="224">
        <v>864</v>
      </c>
      <c r="F18" s="224">
        <v>864</v>
      </c>
      <c r="G18" s="224">
        <v>864</v>
      </c>
      <c r="H18" s="7"/>
      <c r="I18" s="7">
        <v>863870</v>
      </c>
      <c r="J18" s="2"/>
      <c r="K18" s="2"/>
      <c r="L18" s="7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ht="13.5" customHeight="1" x14ac:dyDescent="0.2">
      <c r="A19" s="8"/>
      <c r="B19" s="344" t="s">
        <v>538</v>
      </c>
      <c r="C19" s="224">
        <v>4800</v>
      </c>
      <c r="D19" s="224">
        <v>4800</v>
      </c>
      <c r="E19" s="224">
        <v>4800</v>
      </c>
      <c r="F19" s="224">
        <v>4800</v>
      </c>
      <c r="G19" s="224">
        <v>4800</v>
      </c>
      <c r="H19" s="7"/>
      <c r="I19" s="7">
        <v>4800000</v>
      </c>
      <c r="J19" s="2"/>
      <c r="K19" s="2"/>
      <c r="L19" s="7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ht="13.5" customHeight="1" x14ac:dyDescent="0.2">
      <c r="A20" s="8"/>
      <c r="B20" s="344" t="s">
        <v>539</v>
      </c>
      <c r="C20" s="12">
        <v>10</v>
      </c>
      <c r="D20" s="12">
        <v>10</v>
      </c>
      <c r="E20" s="12">
        <v>10</v>
      </c>
      <c r="F20" s="12">
        <v>10</v>
      </c>
      <c r="G20" s="12">
        <v>10</v>
      </c>
      <c r="H20" s="7"/>
      <c r="I20" s="7">
        <v>10200</v>
      </c>
      <c r="J20" s="2"/>
      <c r="K20" s="2"/>
      <c r="L20" s="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ht="13.5" hidden="1" customHeight="1" x14ac:dyDescent="0.2">
      <c r="A21" s="8"/>
      <c r="B21" s="344" t="s">
        <v>540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7"/>
      <c r="I21" s="7"/>
      <c r="J21" s="2"/>
      <c r="K21" s="2"/>
      <c r="L21" s="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ht="13.5" hidden="1" customHeight="1" x14ac:dyDescent="0.2">
      <c r="A22" s="8"/>
      <c r="B22" s="344" t="s">
        <v>541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7"/>
      <c r="I22" s="7"/>
      <c r="J22" s="2"/>
      <c r="K22" s="2"/>
      <c r="L22" s="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ht="13.5" hidden="1" customHeight="1" x14ac:dyDescent="0.2">
      <c r="A23" s="8"/>
      <c r="B23" s="344" t="s">
        <v>627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7"/>
      <c r="I23" s="7">
        <v>0</v>
      </c>
      <c r="J23" s="2"/>
      <c r="K23" s="2"/>
      <c r="L23" s="7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hidden="1" x14ac:dyDescent="0.2">
      <c r="A24" s="8"/>
      <c r="B24" s="344" t="s">
        <v>804</v>
      </c>
      <c r="C24" s="441">
        <v>0</v>
      </c>
      <c r="D24" s="441">
        <v>0</v>
      </c>
      <c r="E24" s="441">
        <v>0</v>
      </c>
      <c r="F24" s="441">
        <v>0</v>
      </c>
      <c r="G24" s="441">
        <v>0</v>
      </c>
      <c r="H24" s="7"/>
      <c r="I24" s="7">
        <v>0</v>
      </c>
      <c r="J24" s="2"/>
      <c r="K24" s="2"/>
      <c r="L24" s="7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x14ac:dyDescent="0.2">
      <c r="A25" s="8" t="s">
        <v>198</v>
      </c>
      <c r="B25" s="13" t="s">
        <v>542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7"/>
      <c r="I25" s="7"/>
      <c r="J25" s="2"/>
      <c r="K25" s="2"/>
      <c r="L25" s="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x14ac:dyDescent="0.2">
      <c r="A26" s="8" t="s">
        <v>199</v>
      </c>
      <c r="B26" s="13" t="s">
        <v>543</v>
      </c>
      <c r="C26" s="5">
        <f>C27+C28+C35+C36</f>
        <v>8810</v>
      </c>
      <c r="D26" s="5">
        <f>D27+D28+D35+D36</f>
        <v>8810</v>
      </c>
      <c r="E26" s="5">
        <f>E27+E28+E35+E36</f>
        <v>8810</v>
      </c>
      <c r="F26" s="5">
        <f>F27+F28+F35+F36</f>
        <v>8810</v>
      </c>
      <c r="G26" s="5">
        <f>G27+G28+G35+G36</f>
        <v>8810</v>
      </c>
      <c r="H26" s="7"/>
      <c r="I26" s="5">
        <f>I27+I28+I35+I36</f>
        <v>8809820</v>
      </c>
      <c r="J26" s="2"/>
      <c r="K26" s="2"/>
      <c r="L26" s="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x14ac:dyDescent="0.2">
      <c r="A27" s="8"/>
      <c r="B27" s="344" t="s">
        <v>544</v>
      </c>
      <c r="C27" s="12">
        <v>1050</v>
      </c>
      <c r="D27" s="12">
        <v>1050</v>
      </c>
      <c r="E27" s="12">
        <v>1050</v>
      </c>
      <c r="F27" s="12">
        <v>1050</v>
      </c>
      <c r="G27" s="12">
        <v>1050</v>
      </c>
      <c r="H27" s="7"/>
      <c r="I27" s="12">
        <v>1050000</v>
      </c>
      <c r="J27" s="2"/>
      <c r="K27" s="2"/>
      <c r="L27" s="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x14ac:dyDescent="0.2">
      <c r="A28" s="8"/>
      <c r="B28" s="344" t="s">
        <v>545</v>
      </c>
      <c r="C28" s="12">
        <f>C29+C30+C32+C34</f>
        <v>7760</v>
      </c>
      <c r="D28" s="12">
        <f>D29+D30+D32+D34</f>
        <v>7760</v>
      </c>
      <c r="E28" s="12">
        <f>E29+E30+E32+E34</f>
        <v>7760</v>
      </c>
      <c r="F28" s="12">
        <f>F29+F30+F32+F34</f>
        <v>7760</v>
      </c>
      <c r="G28" s="12">
        <f>G29+G30+G32+G34</f>
        <v>7760</v>
      </c>
      <c r="H28" s="7"/>
      <c r="I28" s="12">
        <f>I29+I30+I32+I34</f>
        <v>7759820</v>
      </c>
      <c r="J28" s="2"/>
      <c r="K28" s="2"/>
      <c r="L28" s="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x14ac:dyDescent="0.2">
      <c r="A29" s="8"/>
      <c r="B29" s="344" t="s">
        <v>546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7"/>
      <c r="I29" s="12">
        <v>0</v>
      </c>
      <c r="J29" s="2"/>
      <c r="K29" s="2"/>
      <c r="L29" s="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x14ac:dyDescent="0.2">
      <c r="A30" s="8"/>
      <c r="B30" s="344" t="s">
        <v>547</v>
      </c>
      <c r="C30" s="12">
        <f>C31</f>
        <v>1416</v>
      </c>
      <c r="D30" s="12">
        <f>D31</f>
        <v>1416</v>
      </c>
      <c r="E30" s="12">
        <f>E31</f>
        <v>1416</v>
      </c>
      <c r="F30" s="12">
        <f>F31</f>
        <v>1416</v>
      </c>
      <c r="G30" s="12">
        <f>G31</f>
        <v>1416</v>
      </c>
      <c r="H30" s="7"/>
      <c r="I30" s="12">
        <f>I31</f>
        <v>1416320</v>
      </c>
      <c r="J30" s="2"/>
      <c r="K30" s="2"/>
      <c r="L30" s="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x14ac:dyDescent="0.2">
      <c r="A31" s="8"/>
      <c r="B31" s="344" t="s">
        <v>805</v>
      </c>
      <c r="C31" s="12">
        <v>1416</v>
      </c>
      <c r="D31" s="12">
        <v>1416</v>
      </c>
      <c r="E31" s="12">
        <v>1416</v>
      </c>
      <c r="F31" s="12">
        <v>1416</v>
      </c>
      <c r="G31" s="12">
        <v>1416</v>
      </c>
      <c r="H31" s="7"/>
      <c r="I31" s="12">
        <v>1416320</v>
      </c>
      <c r="J31" s="2"/>
      <c r="K31" s="2"/>
      <c r="L31" s="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x14ac:dyDescent="0.2">
      <c r="A32" s="8"/>
      <c r="B32" s="344" t="s">
        <v>548</v>
      </c>
      <c r="C32" s="12">
        <f>C33</f>
        <v>0</v>
      </c>
      <c r="D32" s="12">
        <f>D33</f>
        <v>0</v>
      </c>
      <c r="E32" s="12">
        <f>E33</f>
        <v>0</v>
      </c>
      <c r="F32" s="12">
        <f>F33</f>
        <v>0</v>
      </c>
      <c r="G32" s="12">
        <f>G33</f>
        <v>0</v>
      </c>
      <c r="H32" s="7"/>
      <c r="I32" s="12">
        <f>I33</f>
        <v>0</v>
      </c>
      <c r="J32" s="2"/>
      <c r="K32" s="2"/>
      <c r="L32" s="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x14ac:dyDescent="0.2">
      <c r="A33" s="8"/>
      <c r="B33" s="344" t="s">
        <v>549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7"/>
      <c r="I33" s="12">
        <v>0</v>
      </c>
      <c r="J33" s="2"/>
      <c r="K33" s="2"/>
      <c r="L33" s="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x14ac:dyDescent="0.2">
      <c r="A34" s="8"/>
      <c r="B34" s="344" t="s">
        <v>550</v>
      </c>
      <c r="C34" s="12">
        <v>6344</v>
      </c>
      <c r="D34" s="12">
        <v>6344</v>
      </c>
      <c r="E34" s="12">
        <v>6344</v>
      </c>
      <c r="F34" s="12">
        <v>6344</v>
      </c>
      <c r="G34" s="12">
        <v>6344</v>
      </c>
      <c r="H34" s="7"/>
      <c r="I34" s="12">
        <v>6343500</v>
      </c>
      <c r="J34" s="2"/>
      <c r="K34" s="2"/>
      <c r="L34" s="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46" x14ac:dyDescent="0.2">
      <c r="A35" s="8"/>
      <c r="B35" s="344" t="s">
        <v>806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7"/>
      <c r="I35" s="12">
        <v>0</v>
      </c>
      <c r="J35" s="2"/>
      <c r="K35" s="2"/>
      <c r="L35" s="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x14ac:dyDescent="0.2">
      <c r="A36" s="8"/>
      <c r="B36" s="344" t="s">
        <v>807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7"/>
      <c r="I36" s="12">
        <v>0</v>
      </c>
      <c r="J36" s="2"/>
      <c r="K36" s="2"/>
      <c r="L36" s="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6" x14ac:dyDescent="0.2">
      <c r="A37" s="8"/>
      <c r="B37" s="345" t="s">
        <v>551</v>
      </c>
      <c r="C37" s="5">
        <f>C38+C41+C42</f>
        <v>0</v>
      </c>
      <c r="D37" s="5">
        <f>D38+D41+D42</f>
        <v>0</v>
      </c>
      <c r="E37" s="5">
        <f>E38+E41+E42</f>
        <v>0</v>
      </c>
      <c r="F37" s="5">
        <f>F38+F41+F42</f>
        <v>0</v>
      </c>
      <c r="G37" s="5">
        <f>G38+G41+G42</f>
        <v>0</v>
      </c>
      <c r="H37" s="7"/>
      <c r="I37" s="5">
        <f>I38+I41+I42</f>
        <v>0</v>
      </c>
      <c r="J37" s="2"/>
      <c r="K37" s="2"/>
      <c r="L37" s="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x14ac:dyDescent="0.2">
      <c r="A38" s="8"/>
      <c r="B38" s="344" t="s">
        <v>552</v>
      </c>
      <c r="C38" s="12">
        <f>C39+C40</f>
        <v>0</v>
      </c>
      <c r="D38" s="12">
        <f>D39+D40</f>
        <v>0</v>
      </c>
      <c r="E38" s="12">
        <f>E39+E40</f>
        <v>0</v>
      </c>
      <c r="F38" s="12">
        <f>F39+F40</f>
        <v>0</v>
      </c>
      <c r="G38" s="12">
        <f>G39+G40</f>
        <v>0</v>
      </c>
      <c r="H38" s="7"/>
      <c r="I38" s="12">
        <f>I39+I40</f>
        <v>0</v>
      </c>
      <c r="J38" s="2"/>
      <c r="K38" s="2"/>
      <c r="L38" s="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x14ac:dyDescent="0.2">
      <c r="A39" s="8"/>
      <c r="B39" s="344" t="s">
        <v>553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7"/>
      <c r="I39" s="12">
        <v>0</v>
      </c>
      <c r="J39" s="2"/>
      <c r="K39" s="2"/>
      <c r="L39" s="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hidden="1" x14ac:dyDescent="0.2">
      <c r="A40" s="8"/>
      <c r="B40" s="344" t="s">
        <v>554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7"/>
      <c r="I40" s="12">
        <v>0</v>
      </c>
      <c r="J40" s="2"/>
      <c r="K40" s="2"/>
      <c r="L40" s="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 hidden="1" x14ac:dyDescent="0.2">
      <c r="A41" s="8"/>
      <c r="B41" s="344" t="s">
        <v>555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7"/>
      <c r="I41" s="12">
        <v>0</v>
      </c>
      <c r="J41" s="2"/>
      <c r="K41" s="2"/>
      <c r="L41" s="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 hidden="1" x14ac:dyDescent="0.2">
      <c r="A42" s="8"/>
      <c r="B42" s="344"/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7"/>
      <c r="I42" s="12">
        <v>0</v>
      </c>
      <c r="J42" s="2"/>
      <c r="K42" s="2"/>
      <c r="L42" s="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46" x14ac:dyDescent="0.2">
      <c r="A43" s="8" t="s">
        <v>200</v>
      </c>
      <c r="B43" s="13" t="s">
        <v>556</v>
      </c>
      <c r="C43" s="6">
        <f>SUM(C44:C46)</f>
        <v>2270</v>
      </c>
      <c r="D43" s="6">
        <f>SUM(D44:D46)</f>
        <v>2270</v>
      </c>
      <c r="E43" s="6">
        <f>SUM(E44:E46)</f>
        <v>2270</v>
      </c>
      <c r="F43" s="6">
        <f>SUM(F44:F46)</f>
        <v>2270</v>
      </c>
      <c r="G43" s="6">
        <f>SUM(G44:G46)</f>
        <v>2270</v>
      </c>
      <c r="H43" s="7"/>
      <c r="I43" s="6">
        <f>SUM(I44:I46)</f>
        <v>2270000</v>
      </c>
      <c r="J43" s="2"/>
      <c r="K43" s="2"/>
      <c r="L43" s="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1:46" x14ac:dyDescent="0.2">
      <c r="A44" s="8"/>
      <c r="B44" s="344" t="s">
        <v>808</v>
      </c>
      <c r="C44" s="224">
        <v>2270</v>
      </c>
      <c r="D44" s="224">
        <v>2270</v>
      </c>
      <c r="E44" s="224">
        <v>2270</v>
      </c>
      <c r="F44" s="224">
        <v>2270</v>
      </c>
      <c r="G44" s="224">
        <v>2270</v>
      </c>
      <c r="H44" s="7"/>
      <c r="I44" s="224">
        <v>2270000</v>
      </c>
      <c r="J44" s="2"/>
      <c r="K44" s="2"/>
      <c r="L44" s="7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1:46" hidden="1" x14ac:dyDescent="0.2">
      <c r="A45" s="8"/>
      <c r="B45" s="344" t="s">
        <v>809</v>
      </c>
      <c r="C45" s="224">
        <v>0</v>
      </c>
      <c r="D45" s="224">
        <v>0</v>
      </c>
      <c r="E45" s="224">
        <v>0</v>
      </c>
      <c r="F45" s="224">
        <v>0</v>
      </c>
      <c r="G45" s="224">
        <v>0</v>
      </c>
      <c r="H45" s="7"/>
      <c r="I45" s="224">
        <v>0</v>
      </c>
      <c r="J45" s="2"/>
      <c r="K45" s="2"/>
      <c r="L45" s="7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x14ac:dyDescent="0.2">
      <c r="A46" s="8"/>
      <c r="B46" s="344" t="s">
        <v>640</v>
      </c>
      <c r="C46" s="224">
        <v>0</v>
      </c>
      <c r="D46" s="224">
        <v>0</v>
      </c>
      <c r="E46" s="224">
        <v>0</v>
      </c>
      <c r="F46" s="224">
        <v>0</v>
      </c>
      <c r="G46" s="224">
        <v>0</v>
      </c>
      <c r="H46" s="7"/>
      <c r="I46" s="224">
        <v>0</v>
      </c>
      <c r="J46" s="2"/>
      <c r="K46" s="2"/>
      <c r="L46" s="7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x14ac:dyDescent="0.2">
      <c r="A47" s="8" t="s">
        <v>201</v>
      </c>
      <c r="B47" s="13" t="s">
        <v>810</v>
      </c>
      <c r="C47" s="5">
        <f>C48+C53+C55+C58</f>
        <v>12716</v>
      </c>
      <c r="D47" s="5">
        <f>D48+D53+D55+D58</f>
        <v>12122</v>
      </c>
      <c r="E47" s="5">
        <f>E48+E53+E55+E58</f>
        <v>12122</v>
      </c>
      <c r="F47" s="5">
        <f>F48+F53+F55+F58</f>
        <v>12122</v>
      </c>
      <c r="G47" s="5">
        <f>G48+G53+G55+G58</f>
        <v>12122</v>
      </c>
      <c r="H47" s="7"/>
      <c r="I47" s="5">
        <f>I48+I53+I55+I58</f>
        <v>12716335</v>
      </c>
      <c r="J47" s="2"/>
      <c r="K47" s="2"/>
      <c r="L47" s="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x14ac:dyDescent="0.2">
      <c r="A48" s="8"/>
      <c r="B48" s="173" t="s">
        <v>811</v>
      </c>
      <c r="C48" s="5">
        <f>C49+C50+C51+C52</f>
        <v>11498</v>
      </c>
      <c r="D48" s="5">
        <f>D49+D50+D51+D52</f>
        <v>11498</v>
      </c>
      <c r="E48" s="5">
        <f>E49+E50+E51+E52</f>
        <v>11498</v>
      </c>
      <c r="F48" s="5">
        <f>F49+F50+F51+F52</f>
        <v>11498</v>
      </c>
      <c r="G48" s="5">
        <f>G49+G50+G51+G52</f>
        <v>11498</v>
      </c>
      <c r="H48" s="7"/>
      <c r="I48" s="5">
        <f>I49+I50+I51+I52</f>
        <v>11498428</v>
      </c>
      <c r="J48" s="2"/>
      <c r="K48" s="2"/>
      <c r="L48" s="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1:46" x14ac:dyDescent="0.2">
      <c r="A49" s="8"/>
      <c r="B49" s="173" t="s">
        <v>812</v>
      </c>
      <c r="C49" s="12">
        <v>11498</v>
      </c>
      <c r="D49" s="12">
        <v>11498</v>
      </c>
      <c r="E49" s="12">
        <v>11498</v>
      </c>
      <c r="F49" s="12">
        <v>11498</v>
      </c>
      <c r="G49" s="12">
        <v>11498</v>
      </c>
      <c r="H49" s="7"/>
      <c r="I49" s="12">
        <v>11498428</v>
      </c>
      <c r="J49" s="2"/>
      <c r="K49" s="2"/>
      <c r="L49" s="7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1:46" ht="24" hidden="1" x14ac:dyDescent="0.2">
      <c r="A50" s="8"/>
      <c r="B50" s="365" t="s">
        <v>557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7"/>
      <c r="I50" s="12">
        <v>0</v>
      </c>
      <c r="J50" s="2"/>
      <c r="K50" s="2"/>
      <c r="L50" s="7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1:46" x14ac:dyDescent="0.2">
      <c r="A51" s="8"/>
      <c r="B51" s="173" t="s">
        <v>558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7"/>
      <c r="I51" s="12">
        <v>0</v>
      </c>
      <c r="J51" s="2"/>
      <c r="K51" s="2"/>
      <c r="L51" s="7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x14ac:dyDescent="0.2">
      <c r="A52" s="8"/>
      <c r="B52" s="173" t="s">
        <v>813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7"/>
      <c r="I52" s="12">
        <v>0</v>
      </c>
      <c r="J52" s="2"/>
      <c r="K52" s="2"/>
      <c r="L52" s="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x14ac:dyDescent="0.2">
      <c r="A53" s="8"/>
      <c r="B53" s="173" t="s">
        <v>814</v>
      </c>
      <c r="C53" s="5">
        <f>C54</f>
        <v>0</v>
      </c>
      <c r="D53" s="5">
        <f>D54</f>
        <v>0</v>
      </c>
      <c r="E53" s="5">
        <f>E54</f>
        <v>0</v>
      </c>
      <c r="F53" s="5">
        <f>F54</f>
        <v>0</v>
      </c>
      <c r="G53" s="5">
        <f>G54</f>
        <v>0</v>
      </c>
      <c r="H53" s="7"/>
      <c r="I53" s="5">
        <f>I54</f>
        <v>0</v>
      </c>
      <c r="J53" s="2"/>
      <c r="K53" s="2"/>
      <c r="L53" s="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x14ac:dyDescent="0.2">
      <c r="A54" s="8"/>
      <c r="B54" s="173" t="s">
        <v>815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7"/>
      <c r="I54" s="12">
        <v>0</v>
      </c>
      <c r="J54" s="2"/>
      <c r="K54" s="374"/>
      <c r="L54" s="2"/>
      <c r="M54" s="2"/>
      <c r="N54" s="2"/>
      <c r="O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1:46" x14ac:dyDescent="0.2">
      <c r="A55" s="8"/>
      <c r="B55" s="173" t="s">
        <v>816</v>
      </c>
      <c r="C55" s="5">
        <f>C56+C57</f>
        <v>624</v>
      </c>
      <c r="D55" s="5">
        <f>D56+D57</f>
        <v>624</v>
      </c>
      <c r="E55" s="5">
        <f>E56+E57</f>
        <v>624</v>
      </c>
      <c r="F55" s="5">
        <f>F56+F57</f>
        <v>624</v>
      </c>
      <c r="G55" s="5">
        <f>G56+G57</f>
        <v>624</v>
      </c>
      <c r="H55" s="7"/>
      <c r="I55" s="5">
        <f>I56+I57</f>
        <v>623760</v>
      </c>
      <c r="J55" s="2"/>
      <c r="K55" s="374" t="s">
        <v>597</v>
      </c>
      <c r="L55" s="2"/>
      <c r="M55" s="2"/>
      <c r="N55" s="2"/>
      <c r="O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1:46" x14ac:dyDescent="0.2">
      <c r="A56" s="8"/>
      <c r="B56" s="173" t="s">
        <v>817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7"/>
      <c r="I56" s="12">
        <v>0</v>
      </c>
      <c r="J56" s="2"/>
      <c r="K56" s="2"/>
      <c r="L56" s="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1:46" x14ac:dyDescent="0.2">
      <c r="A57" s="8"/>
      <c r="B57" s="173" t="s">
        <v>818</v>
      </c>
      <c r="C57" s="12">
        <v>624</v>
      </c>
      <c r="D57" s="12">
        <v>624</v>
      </c>
      <c r="E57" s="12">
        <v>624</v>
      </c>
      <c r="F57" s="12">
        <v>624</v>
      </c>
      <c r="G57" s="12">
        <v>624</v>
      </c>
      <c r="H57" s="7"/>
      <c r="I57" s="12">
        <f>623760</f>
        <v>623760</v>
      </c>
      <c r="J57" s="2"/>
      <c r="K57" s="2"/>
      <c r="L57" s="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1:46" x14ac:dyDescent="0.2">
      <c r="A58" s="8"/>
      <c r="B58" s="173" t="s">
        <v>819</v>
      </c>
      <c r="C58" s="5">
        <f>C59+C60</f>
        <v>594</v>
      </c>
      <c r="D58" s="5">
        <f>D59+D60</f>
        <v>0</v>
      </c>
      <c r="E58" s="5">
        <f>E59+E60</f>
        <v>0</v>
      </c>
      <c r="F58" s="5">
        <f>F59+F60</f>
        <v>0</v>
      </c>
      <c r="G58" s="5">
        <f>G59+G60</f>
        <v>0</v>
      </c>
      <c r="H58" s="7"/>
      <c r="I58" s="5">
        <f>I59+I60</f>
        <v>594147</v>
      </c>
      <c r="J58" s="2"/>
      <c r="K58" s="2"/>
      <c r="L58" s="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1:46" hidden="1" x14ac:dyDescent="0.2">
      <c r="A59" s="8"/>
      <c r="B59" s="344" t="s">
        <v>820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7"/>
      <c r="I59" s="12">
        <v>0</v>
      </c>
      <c r="J59" s="2"/>
      <c r="K59" s="2"/>
      <c r="L59" s="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1:46" x14ac:dyDescent="0.2">
      <c r="A60" s="8"/>
      <c r="B60" s="344" t="s">
        <v>821</v>
      </c>
      <c r="C60" s="12">
        <v>594</v>
      </c>
      <c r="D60" s="12">
        <v>0</v>
      </c>
      <c r="E60" s="12">
        <v>0</v>
      </c>
      <c r="F60" s="12">
        <v>0</v>
      </c>
      <c r="G60" s="12">
        <v>0</v>
      </c>
      <c r="H60" s="7"/>
      <c r="I60" s="12">
        <f>593928+219</f>
        <v>594147</v>
      </c>
      <c r="J60" s="2"/>
      <c r="K60" s="2"/>
      <c r="L60" s="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1:46" x14ac:dyDescent="0.2">
      <c r="A61" s="8" t="s">
        <v>202</v>
      </c>
      <c r="B61" s="13" t="s">
        <v>822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7"/>
      <c r="I61" s="5">
        <v>0</v>
      </c>
      <c r="J61" s="2"/>
      <c r="K61" s="2"/>
      <c r="L61" s="7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1:46" ht="15" x14ac:dyDescent="0.25">
      <c r="A62" s="8" t="s">
        <v>158</v>
      </c>
      <c r="B62" s="13" t="s">
        <v>823</v>
      </c>
      <c r="C62" s="36">
        <f>SUM(C63:C64)</f>
        <v>0</v>
      </c>
      <c r="D62" s="36">
        <f>SUM(D63:D64)</f>
        <v>0</v>
      </c>
      <c r="E62" s="36">
        <f>SUM(E63:E64)</f>
        <v>0</v>
      </c>
      <c r="F62" s="36">
        <f>SUM(F63:F64)</f>
        <v>0</v>
      </c>
      <c r="G62" s="36">
        <f>SUM(G63:G64)</f>
        <v>0</v>
      </c>
      <c r="H62" s="7"/>
      <c r="I62" s="36">
        <f>SUM(I63:I64)</f>
        <v>0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1:46" hidden="1" x14ac:dyDescent="0.2">
      <c r="A63" s="8" t="s">
        <v>113</v>
      </c>
      <c r="B63" s="442" t="s">
        <v>824</v>
      </c>
      <c r="C63" s="368">
        <v>0</v>
      </c>
      <c r="D63" s="368">
        <v>0</v>
      </c>
      <c r="E63" s="368">
        <v>0</v>
      </c>
      <c r="F63" s="368">
        <v>0</v>
      </c>
      <c r="G63" s="368">
        <v>0</v>
      </c>
      <c r="H63" s="7"/>
      <c r="I63" s="369" t="s">
        <v>569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1:46" hidden="1" x14ac:dyDescent="0.2">
      <c r="A64" s="8"/>
      <c r="B64" s="162"/>
      <c r="C64" s="12"/>
      <c r="D64" s="12"/>
      <c r="E64" s="12"/>
      <c r="F64" s="12"/>
      <c r="G64" s="12"/>
      <c r="H64" s="7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1:46" ht="18" customHeight="1" x14ac:dyDescent="0.25">
      <c r="A65" s="13" t="s">
        <v>128</v>
      </c>
      <c r="B65" s="160" t="s">
        <v>215</v>
      </c>
      <c r="C65" s="41">
        <f>SUM(C69+C74+C78)</f>
        <v>33000</v>
      </c>
      <c r="D65" s="41">
        <f>SUM(D69+D74+D78)</f>
        <v>35200</v>
      </c>
      <c r="E65" s="41">
        <f>SUM(E69+E74+E78)</f>
        <v>35000</v>
      </c>
      <c r="F65" s="41">
        <f>SUM(F69+F74+F78)</f>
        <v>35000</v>
      </c>
      <c r="G65" s="41">
        <f>SUM(G69+G74+G78)</f>
        <v>35000</v>
      </c>
      <c r="H65" s="7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1:46" ht="13.5" hidden="1" customHeight="1" x14ac:dyDescent="0.2">
      <c r="A66" s="8" t="s">
        <v>129</v>
      </c>
      <c r="B66" s="162" t="s">
        <v>135</v>
      </c>
      <c r="C66" s="12"/>
      <c r="D66" s="12"/>
      <c r="E66" s="12"/>
      <c r="F66" s="12"/>
      <c r="G66" s="12"/>
      <c r="H66" s="7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46" ht="13.5" hidden="1" customHeight="1" x14ac:dyDescent="0.2">
      <c r="A67" s="8" t="s">
        <v>130</v>
      </c>
      <c r="B67" s="162" t="s">
        <v>136</v>
      </c>
      <c r="C67" s="12"/>
      <c r="D67" s="12"/>
      <c r="E67" s="12"/>
      <c r="F67" s="12"/>
      <c r="G67" s="12"/>
      <c r="H67" s="7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1:46" ht="13.5" hidden="1" customHeight="1" x14ac:dyDescent="0.2">
      <c r="A68" s="8" t="s">
        <v>131</v>
      </c>
      <c r="B68" s="163" t="s">
        <v>137</v>
      </c>
      <c r="C68" s="45"/>
      <c r="D68" s="45"/>
      <c r="E68" s="45"/>
      <c r="F68" s="45"/>
      <c r="G68" s="45"/>
      <c r="H68" s="7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1:46" ht="13.5" customHeight="1" x14ac:dyDescent="0.2">
      <c r="A69" s="8" t="s">
        <v>132</v>
      </c>
      <c r="B69" s="162" t="s">
        <v>216</v>
      </c>
      <c r="C69" s="184">
        <f>SUM(C70:C73)</f>
        <v>9000</v>
      </c>
      <c r="D69" s="184">
        <f>SUM(D70:D73)</f>
        <v>9600</v>
      </c>
      <c r="E69" s="184">
        <f>SUM(E70:E73)</f>
        <v>9800</v>
      </c>
      <c r="F69" s="184">
        <f>SUM(F70:F73)</f>
        <v>9800</v>
      </c>
      <c r="G69" s="184">
        <f>SUM(G70:G73)</f>
        <v>9800</v>
      </c>
      <c r="H69" s="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1:46" ht="13.5" customHeight="1" x14ac:dyDescent="0.2">
      <c r="A70" s="8"/>
      <c r="B70" s="173" t="s">
        <v>217</v>
      </c>
      <c r="C70" s="37">
        <v>4500</v>
      </c>
      <c r="D70" s="37">
        <v>4500</v>
      </c>
      <c r="E70" s="37">
        <v>4700</v>
      </c>
      <c r="F70" s="37">
        <v>4700</v>
      </c>
      <c r="G70" s="37">
        <v>4700</v>
      </c>
      <c r="H70" s="7"/>
      <c r="I70" s="7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1:46" ht="13.5" hidden="1" customHeight="1" x14ac:dyDescent="0.2">
      <c r="A71" s="8"/>
      <c r="B71" s="173" t="s">
        <v>218</v>
      </c>
      <c r="C71" s="37"/>
      <c r="D71" s="37"/>
      <c r="E71" s="37"/>
      <c r="F71" s="37"/>
      <c r="G71" s="37"/>
      <c r="H71" s="7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1:46" ht="13.5" customHeight="1" x14ac:dyDescent="0.2">
      <c r="A72" s="8"/>
      <c r="B72" s="173" t="s">
        <v>464</v>
      </c>
      <c r="C72" s="37">
        <v>2800</v>
      </c>
      <c r="D72" s="37">
        <v>2800</v>
      </c>
      <c r="E72" s="37">
        <v>2800</v>
      </c>
      <c r="F72" s="37">
        <v>2800</v>
      </c>
      <c r="G72" s="37">
        <v>2800</v>
      </c>
      <c r="H72" s="7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1:46" ht="13.5" customHeight="1" x14ac:dyDescent="0.2">
      <c r="A73" s="8"/>
      <c r="B73" s="173" t="s">
        <v>465</v>
      </c>
      <c r="C73" s="37">
        <v>1700</v>
      </c>
      <c r="D73" s="37">
        <v>2300</v>
      </c>
      <c r="E73" s="37">
        <v>2300</v>
      </c>
      <c r="F73" s="37">
        <v>2300</v>
      </c>
      <c r="G73" s="37">
        <v>2300</v>
      </c>
      <c r="H73" s="7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1:46" s="46" customFormat="1" ht="13.5" customHeight="1" x14ac:dyDescent="0.2">
      <c r="A74" s="8" t="s">
        <v>133</v>
      </c>
      <c r="B74" s="162" t="s">
        <v>219</v>
      </c>
      <c r="C74" s="5">
        <f>SUM(C75:C77)</f>
        <v>23500</v>
      </c>
      <c r="D74" s="5">
        <f>SUM(D75:D77)</f>
        <v>25000</v>
      </c>
      <c r="E74" s="5">
        <f>SUM(E75:E77)</f>
        <v>25000</v>
      </c>
      <c r="F74" s="5">
        <f>SUM(F75:F77)</f>
        <v>25000</v>
      </c>
      <c r="G74" s="5">
        <f>SUM(G75:G77)</f>
        <v>25000</v>
      </c>
      <c r="H74" s="7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1:46" s="46" customFormat="1" ht="13.5" customHeight="1" x14ac:dyDescent="0.2">
      <c r="A75" s="8" t="s">
        <v>433</v>
      </c>
      <c r="B75" s="173" t="s">
        <v>220</v>
      </c>
      <c r="C75" s="12">
        <v>23500</v>
      </c>
      <c r="D75" s="12">
        <v>25000</v>
      </c>
      <c r="E75" s="12">
        <v>25000</v>
      </c>
      <c r="F75" s="12">
        <v>25000</v>
      </c>
      <c r="G75" s="12">
        <v>25000</v>
      </c>
      <c r="H75" s="7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1:46" s="46" customFormat="1" ht="13.5" hidden="1" customHeight="1" x14ac:dyDescent="0.2">
      <c r="A76" s="8" t="s">
        <v>435</v>
      </c>
      <c r="B76" s="173" t="s">
        <v>339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7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1:46" s="46" customFormat="1" ht="13.5" customHeight="1" x14ac:dyDescent="0.2">
      <c r="A77" s="8" t="s">
        <v>466</v>
      </c>
      <c r="B77" s="173" t="s">
        <v>467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7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1:46" s="46" customFormat="1" ht="13.5" customHeight="1" x14ac:dyDescent="0.2">
      <c r="A78" s="8" t="s">
        <v>134</v>
      </c>
      <c r="B78" s="162" t="s">
        <v>306</v>
      </c>
      <c r="C78" s="5">
        <v>500</v>
      </c>
      <c r="D78" s="5">
        <f>200+400</f>
        <v>600</v>
      </c>
      <c r="E78" s="5">
        <v>200</v>
      </c>
      <c r="F78" s="5">
        <v>200</v>
      </c>
      <c r="G78" s="5">
        <v>200</v>
      </c>
      <c r="H78" s="7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1:46" s="46" customFormat="1" ht="18" customHeight="1" x14ac:dyDescent="0.25">
      <c r="A79" s="13" t="s">
        <v>139</v>
      </c>
      <c r="B79" s="160" t="s">
        <v>221</v>
      </c>
      <c r="C79" s="41">
        <f>SUM(C80:C90)</f>
        <v>10425</v>
      </c>
      <c r="D79" s="41">
        <f>SUM(D80:D90)</f>
        <v>9306</v>
      </c>
      <c r="E79" s="41">
        <f>SUM(E80:E90)</f>
        <v>7105</v>
      </c>
      <c r="F79" s="41">
        <f>SUM(F80:F90)</f>
        <v>7105</v>
      </c>
      <c r="G79" s="41">
        <f>SUM(G80:G90)</f>
        <v>7105</v>
      </c>
      <c r="H79" s="7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1:46" ht="13.5" customHeight="1" x14ac:dyDescent="0.2">
      <c r="A80" s="8" t="s">
        <v>142</v>
      </c>
      <c r="B80" s="162" t="s">
        <v>222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7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1:46" s="46" customFormat="1" ht="13.5" customHeight="1" x14ac:dyDescent="0.2">
      <c r="A81" s="8" t="s">
        <v>143</v>
      </c>
      <c r="B81" s="162" t="s">
        <v>705</v>
      </c>
      <c r="C81" s="12">
        <f>2*70+12*150+160</f>
        <v>2100</v>
      </c>
      <c r="D81" s="12">
        <f>1100+800</f>
        <v>1900</v>
      </c>
      <c r="E81" s="12">
        <v>1100</v>
      </c>
      <c r="F81" s="12">
        <v>1100</v>
      </c>
      <c r="G81" s="12">
        <v>1100</v>
      </c>
      <c r="H81" s="7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1:46" s="46" customFormat="1" ht="13.5" customHeight="1" x14ac:dyDescent="0.2">
      <c r="A82" s="8" t="s">
        <v>144</v>
      </c>
      <c r="B82" s="162" t="s">
        <v>390</v>
      </c>
      <c r="C82" s="12">
        <f>2375+348</f>
        <v>2723</v>
      </c>
      <c r="D82" s="12">
        <f>120+600+280</f>
        <v>1000</v>
      </c>
      <c r="E82" s="380">
        <f>120+600</f>
        <v>720</v>
      </c>
      <c r="F82" s="380">
        <f>120+600</f>
        <v>720</v>
      </c>
      <c r="G82" s="380">
        <f>120+600</f>
        <v>720</v>
      </c>
      <c r="H82" s="7"/>
      <c r="I82" s="2" t="s">
        <v>832</v>
      </c>
      <c r="J82" s="2"/>
      <c r="K82" s="2">
        <f>176300+626228+43911+8510*12+792984+210617*3</f>
        <v>2373394</v>
      </c>
      <c r="L82" s="2" t="s">
        <v>839</v>
      </c>
      <c r="M82" s="2"/>
      <c r="N82" s="2">
        <f>8510*12+792984+210617*3</f>
        <v>1526955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1:46" ht="13.5" customHeight="1" x14ac:dyDescent="0.2">
      <c r="A83" s="8" t="s">
        <v>145</v>
      </c>
      <c r="B83" s="163" t="s">
        <v>389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7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1:46" ht="13.5" customHeight="1" x14ac:dyDescent="0.2">
      <c r="A84" s="8" t="s">
        <v>146</v>
      </c>
      <c r="B84" s="20" t="s">
        <v>223</v>
      </c>
      <c r="C84" s="10">
        <v>4800</v>
      </c>
      <c r="D84" s="10">
        <v>5400</v>
      </c>
      <c r="E84" s="417">
        <v>4482</v>
      </c>
      <c r="F84" s="417">
        <v>4482</v>
      </c>
      <c r="G84" s="417">
        <v>4482</v>
      </c>
      <c r="H84" s="7"/>
      <c r="I84" s="28">
        <f>16*250*1200</f>
        <v>4800000</v>
      </c>
      <c r="J84" s="2" t="s">
        <v>831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1:46" ht="13.5" customHeight="1" x14ac:dyDescent="0.2">
      <c r="A85" s="8" t="s">
        <v>150</v>
      </c>
      <c r="B85" s="20" t="s">
        <v>224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7"/>
      <c r="I85" s="443">
        <f>16*250*1212.5</f>
        <v>4850000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1:46" ht="13.5" customHeight="1" x14ac:dyDescent="0.2">
      <c r="A86" s="8" t="s">
        <v>152</v>
      </c>
      <c r="B86" s="20" t="s">
        <v>225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7"/>
      <c r="I86" s="374">
        <f>16*250*327.5</f>
        <v>1310000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1:46" ht="13.5" customHeight="1" x14ac:dyDescent="0.2">
      <c r="A87" s="8" t="s">
        <v>154</v>
      </c>
      <c r="B87" s="20" t="s">
        <v>226</v>
      </c>
      <c r="C87" s="10">
        <v>2</v>
      </c>
      <c r="D87" s="10">
        <f>3+3</f>
        <v>6</v>
      </c>
      <c r="E87" s="10">
        <v>3</v>
      </c>
      <c r="F87" s="10">
        <v>3</v>
      </c>
      <c r="G87" s="10">
        <v>3</v>
      </c>
      <c r="H87" s="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1:46" ht="13.5" customHeight="1" x14ac:dyDescent="0.2">
      <c r="A88" s="8" t="s">
        <v>156</v>
      </c>
      <c r="B88" s="20" t="s">
        <v>227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7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1:46" ht="13.5" customHeight="1" x14ac:dyDescent="0.2">
      <c r="A89" s="8" t="s">
        <v>162</v>
      </c>
      <c r="B89" s="20" t="s">
        <v>391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7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1:46" ht="13.5" customHeight="1" x14ac:dyDescent="0.2">
      <c r="A90" s="8" t="s">
        <v>387</v>
      </c>
      <c r="B90" s="20" t="s">
        <v>392</v>
      </c>
      <c r="C90" s="10">
        <v>800</v>
      </c>
      <c r="D90" s="10">
        <f>800+200</f>
        <v>1000</v>
      </c>
      <c r="E90" s="10">
        <v>800</v>
      </c>
      <c r="F90" s="10">
        <v>800</v>
      </c>
      <c r="G90" s="10">
        <v>800</v>
      </c>
      <c r="H90" s="7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1:46" ht="18" customHeight="1" x14ac:dyDescent="0.25">
      <c r="A91" s="13" t="s">
        <v>177</v>
      </c>
      <c r="B91" s="160" t="s">
        <v>228</v>
      </c>
      <c r="C91" s="41">
        <f>SUM(C92:C94)</f>
        <v>0</v>
      </c>
      <c r="D91" s="41">
        <f>SUM(D92:D94)</f>
        <v>0</v>
      </c>
      <c r="E91" s="41">
        <f>SUM(E92:E94)</f>
        <v>0</v>
      </c>
      <c r="F91" s="41">
        <f>SUM(F92:F94)</f>
        <v>0</v>
      </c>
      <c r="G91" s="41">
        <f>SUM(G92:G94)</f>
        <v>0</v>
      </c>
      <c r="H91" s="7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1:46" ht="13.5" hidden="1" customHeight="1" x14ac:dyDescent="0.2">
      <c r="A92" s="152" t="s">
        <v>182</v>
      </c>
      <c r="B92" s="20" t="s">
        <v>229</v>
      </c>
      <c r="C92" s="10"/>
      <c r="D92" s="10"/>
      <c r="E92" s="10"/>
      <c r="F92" s="10"/>
      <c r="G92" s="10"/>
      <c r="H92" s="7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1:46" ht="13.5" hidden="1" customHeight="1" x14ac:dyDescent="0.2">
      <c r="A93" s="152" t="s">
        <v>183</v>
      </c>
      <c r="B93" s="20" t="s">
        <v>230</v>
      </c>
      <c r="C93" s="10"/>
      <c r="D93" s="10"/>
      <c r="E93" s="10"/>
      <c r="F93" s="10"/>
      <c r="G93" s="10"/>
      <c r="H93" s="84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1:46" ht="14.25" customHeight="1" x14ac:dyDescent="0.2">
      <c r="A94" s="152" t="s">
        <v>436</v>
      </c>
      <c r="B94" s="20" t="s">
        <v>825</v>
      </c>
      <c r="C94" s="86">
        <v>0</v>
      </c>
      <c r="D94" s="86">
        <f>500-500</f>
        <v>0</v>
      </c>
      <c r="E94" s="86">
        <v>0</v>
      </c>
      <c r="F94" s="86">
        <f t="shared" ref="F94" si="0">500-500</f>
        <v>0</v>
      </c>
      <c r="G94" s="86">
        <v>0</v>
      </c>
      <c r="H94" s="84"/>
      <c r="I94" s="418" t="s">
        <v>710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1:46" ht="18.75" customHeight="1" x14ac:dyDescent="0.25">
      <c r="A95" s="256" t="s">
        <v>347</v>
      </c>
      <c r="B95" s="209" t="s">
        <v>349</v>
      </c>
      <c r="C95" s="205">
        <f>SUM(C96+C99)</f>
        <v>11995</v>
      </c>
      <c r="D95" s="205">
        <f>SUM(D96+D99)</f>
        <v>11995</v>
      </c>
      <c r="E95" s="205">
        <f>SUM(E96+E99)</f>
        <v>11995</v>
      </c>
      <c r="F95" s="205">
        <f>SUM(F96+F99)</f>
        <v>11995</v>
      </c>
      <c r="G95" s="205">
        <f>SUM(G96+G99)</f>
        <v>11995</v>
      </c>
      <c r="H95" s="84"/>
      <c r="I95" s="28"/>
      <c r="J95" s="2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1:46" ht="18" customHeight="1" x14ac:dyDescent="0.25">
      <c r="A96" s="204"/>
      <c r="B96" s="22" t="s">
        <v>355</v>
      </c>
      <c r="C96" s="185">
        <f>SUM(C97)+C98</f>
        <v>11995</v>
      </c>
      <c r="D96" s="185">
        <f>SUM(D97)+D98</f>
        <v>11995</v>
      </c>
      <c r="E96" s="185">
        <f>SUM(E97)+E98</f>
        <v>11995</v>
      </c>
      <c r="F96" s="185">
        <f>SUM(F97)+F98</f>
        <v>11995</v>
      </c>
      <c r="G96" s="185">
        <f>SUM(G97)+G98</f>
        <v>11995</v>
      </c>
      <c r="H96" s="84"/>
      <c r="I96" s="28"/>
      <c r="J96" s="2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1:46" ht="13.5" customHeight="1" x14ac:dyDescent="0.2">
      <c r="A97" s="204"/>
      <c r="B97" s="202" t="s">
        <v>630</v>
      </c>
      <c r="C97" s="12">
        <v>11995</v>
      </c>
      <c r="D97" s="12">
        <v>11995</v>
      </c>
      <c r="E97" s="12">
        <v>11995</v>
      </c>
      <c r="F97" s="12">
        <v>11995</v>
      </c>
      <c r="G97" s="12">
        <v>11995</v>
      </c>
      <c r="H97" s="84"/>
      <c r="I97" s="28">
        <v>11995290</v>
      </c>
      <c r="J97" s="28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1:46" ht="13.5" customHeight="1" x14ac:dyDescent="0.2">
      <c r="A98" s="204"/>
      <c r="B98" s="202" t="s">
        <v>631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84"/>
      <c r="I98" s="28"/>
      <c r="J98" s="28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1:46" ht="18" customHeight="1" thickBot="1" x14ac:dyDescent="0.3">
      <c r="A99" s="204"/>
      <c r="B99" s="22" t="s">
        <v>357</v>
      </c>
      <c r="C99" s="185">
        <v>0</v>
      </c>
      <c r="D99" s="185">
        <v>0</v>
      </c>
      <c r="E99" s="185">
        <v>0</v>
      </c>
      <c r="F99" s="185">
        <v>0</v>
      </c>
      <c r="G99" s="185">
        <v>0</v>
      </c>
      <c r="H99" s="7"/>
      <c r="I99" s="28"/>
      <c r="J99" s="2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1:46" ht="13.5" hidden="1" customHeight="1" thickBot="1" x14ac:dyDescent="0.3">
      <c r="A100" s="204"/>
      <c r="B100" s="8" t="s">
        <v>356</v>
      </c>
      <c r="C100" s="185"/>
      <c r="D100" s="185"/>
      <c r="E100" s="185"/>
      <c r="F100" s="185"/>
      <c r="G100" s="185"/>
      <c r="H100" s="7"/>
      <c r="I100" s="28"/>
      <c r="J100" s="2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ht="23.25" customHeight="1" thickBot="1" x14ac:dyDescent="0.25">
      <c r="A101" s="171"/>
      <c r="B101" s="43" t="s">
        <v>240</v>
      </c>
      <c r="C101" s="273">
        <f>SUM(C8+C95)</f>
        <v>91595</v>
      </c>
      <c r="D101" s="273">
        <f>SUM(D8+D95)</f>
        <v>92082</v>
      </c>
      <c r="E101" s="273">
        <f>SUM(E8+E95)</f>
        <v>89681</v>
      </c>
      <c r="F101" s="273">
        <f>SUM(F8+F95)</f>
        <v>89681</v>
      </c>
      <c r="G101" s="273">
        <f>SUM(G8+G95)</f>
        <v>89681</v>
      </c>
      <c r="H101" s="7"/>
      <c r="I101" s="28"/>
      <c r="J101" s="2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 ht="20.25" customHeight="1" x14ac:dyDescent="0.25">
      <c r="A102" s="152"/>
      <c r="B102" s="164" t="s">
        <v>350</v>
      </c>
      <c r="C102" s="206">
        <f>SUM(C103+C104+C105+C106+C107)</f>
        <v>89678</v>
      </c>
      <c r="D102" s="206">
        <f>SUM(D103+D104+D105+D106+D107)</f>
        <v>11177</v>
      </c>
      <c r="E102" s="206">
        <f>SUM(E103+E104+E105+E106+E107)</f>
        <v>10600</v>
      </c>
      <c r="F102" s="206">
        <f>SUM(F103+F104+F105+F106+F107)</f>
        <v>10600</v>
      </c>
      <c r="G102" s="206">
        <f>SUM(G103+G104+G105+G106+G107)</f>
        <v>10600</v>
      </c>
      <c r="H102" s="7"/>
      <c r="I102" s="28"/>
      <c r="J102" s="2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 ht="18" customHeight="1" x14ac:dyDescent="0.25">
      <c r="A103" s="13" t="s">
        <v>203</v>
      </c>
      <c r="B103" s="160" t="s">
        <v>231</v>
      </c>
      <c r="C103" s="168">
        <f>SUM('7.Önk.'!P24)</f>
        <v>36308</v>
      </c>
      <c r="D103" s="168">
        <f>SUM('7.Önk.'!Q24)</f>
        <v>0</v>
      </c>
      <c r="E103" s="168">
        <f>SUM('7.Önk.'!R24)</f>
        <v>0</v>
      </c>
      <c r="F103" s="168">
        <f>SUM('7.Önk.'!S24)</f>
        <v>0</v>
      </c>
      <c r="G103" s="168">
        <f>SUM('7.Önk.'!T24)</f>
        <v>0</v>
      </c>
      <c r="H103" s="7"/>
      <c r="I103" s="28"/>
      <c r="J103" s="2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ht="18" customHeight="1" x14ac:dyDescent="0.25">
      <c r="A104" s="13" t="s">
        <v>204</v>
      </c>
      <c r="B104" s="160" t="s">
        <v>232</v>
      </c>
      <c r="C104" s="14">
        <f>SUM('7.Önk.'!P27)</f>
        <v>4536</v>
      </c>
      <c r="D104" s="14">
        <f>SUM('7.Önk.'!Q27)</f>
        <v>0</v>
      </c>
      <c r="E104" s="14">
        <f>SUM('7.Önk.'!R27)</f>
        <v>0</v>
      </c>
      <c r="F104" s="14">
        <f>SUM('7.Önk.'!S27)</f>
        <v>0</v>
      </c>
      <c r="G104" s="14">
        <f>SUM('7.Önk.'!T27)</f>
        <v>0</v>
      </c>
      <c r="H104" s="7"/>
      <c r="I104" s="28"/>
      <c r="J104" s="2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 ht="18" customHeight="1" x14ac:dyDescent="0.25">
      <c r="A105" s="13" t="s">
        <v>205</v>
      </c>
      <c r="B105" s="160" t="s">
        <v>233</v>
      </c>
      <c r="C105" s="14">
        <f>SUM('7.Önk.'!P72)</f>
        <v>37734</v>
      </c>
      <c r="D105" s="14">
        <f>SUM('7.Önk.'!Q72)</f>
        <v>0</v>
      </c>
      <c r="E105" s="14">
        <f>SUM('7.Önk.'!R72)</f>
        <v>0</v>
      </c>
      <c r="F105" s="14">
        <f>SUM('7.Önk.'!S72)</f>
        <v>0</v>
      </c>
      <c r="G105" s="14">
        <f>SUM('7.Önk.'!T72)</f>
        <v>0</v>
      </c>
      <c r="H105" s="7"/>
      <c r="I105" s="27"/>
      <c r="J105" s="2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 ht="18" customHeight="1" x14ac:dyDescent="0.25">
      <c r="A106" s="13" t="s">
        <v>206</v>
      </c>
      <c r="B106" s="160" t="s">
        <v>395</v>
      </c>
      <c r="C106" s="14">
        <f>SUM('7.Önk.'!P73)</f>
        <v>1500</v>
      </c>
      <c r="D106" s="14">
        <f>SUM('7.Önk.'!Q73)</f>
        <v>0</v>
      </c>
      <c r="E106" s="14">
        <f>SUM('7.Önk.'!R73)</f>
        <v>0</v>
      </c>
      <c r="F106" s="14">
        <f>SUM('7.Önk.'!S73)</f>
        <v>0</v>
      </c>
      <c r="G106" s="14">
        <f>SUM('7.Önk.'!T73)</f>
        <v>0</v>
      </c>
      <c r="H106" s="7"/>
      <c r="I106" s="27"/>
      <c r="J106" s="2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 ht="18" customHeight="1" x14ac:dyDescent="0.25">
      <c r="A107" s="56" t="s">
        <v>207</v>
      </c>
      <c r="B107" s="22" t="s">
        <v>311</v>
      </c>
      <c r="C107" s="14">
        <f>SUM(C108:C111)</f>
        <v>9600</v>
      </c>
      <c r="D107" s="14">
        <f>SUM(D108:D111)</f>
        <v>11177</v>
      </c>
      <c r="E107" s="14">
        <f>SUM(E108:E111)</f>
        <v>10600</v>
      </c>
      <c r="F107" s="14">
        <f>SUM(F108:F111)</f>
        <v>10600</v>
      </c>
      <c r="G107" s="14">
        <f>SUM(G108:G111)</f>
        <v>10600</v>
      </c>
      <c r="H107" s="7"/>
      <c r="I107" s="27"/>
      <c r="J107" s="2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 ht="15" customHeight="1" x14ac:dyDescent="0.2">
      <c r="A108" s="56"/>
      <c r="B108" s="8" t="s">
        <v>728</v>
      </c>
      <c r="C108" s="31">
        <f>SUM('4. Átadott p.eszk.'!B45)</f>
        <v>9515</v>
      </c>
      <c r="D108" s="31">
        <f>SUM('4. Átadott p.eszk.'!C45)</f>
        <v>10677</v>
      </c>
      <c r="E108" s="31">
        <f>SUM('4. Átadott p.eszk.'!D45)</f>
        <v>10100</v>
      </c>
      <c r="F108" s="31">
        <f>SUM('4. Átadott p.eszk.'!E45)</f>
        <v>10100</v>
      </c>
      <c r="G108" s="31">
        <f>SUM('4. Átadott p.eszk.'!F45)</f>
        <v>10100</v>
      </c>
      <c r="H108" s="7"/>
      <c r="I108" s="27"/>
      <c r="J108" s="2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 ht="15" customHeight="1" x14ac:dyDescent="0.2">
      <c r="A109" s="56"/>
      <c r="B109" s="8" t="s">
        <v>312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  <c r="H109" s="7"/>
      <c r="I109" s="27"/>
      <c r="J109" s="2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 ht="15" customHeight="1" x14ac:dyDescent="0.2">
      <c r="A110" s="56"/>
      <c r="B110" s="8" t="s">
        <v>729</v>
      </c>
      <c r="C110" s="31">
        <v>85</v>
      </c>
      <c r="D110" s="31">
        <v>500</v>
      </c>
      <c r="E110" s="31">
        <v>500</v>
      </c>
      <c r="F110" s="31">
        <v>500</v>
      </c>
      <c r="G110" s="31">
        <v>500</v>
      </c>
      <c r="H110" s="7"/>
      <c r="I110" s="27"/>
      <c r="J110" s="2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 ht="15" customHeight="1" x14ac:dyDescent="0.2">
      <c r="A111" s="56"/>
      <c r="B111" s="8" t="s">
        <v>730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  <c r="H111" s="7"/>
      <c r="I111" s="28"/>
      <c r="J111" s="2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 ht="15" hidden="1" customHeight="1" thickBot="1" x14ac:dyDescent="0.25">
      <c r="A112" s="56"/>
      <c r="B112" s="11"/>
      <c r="C112" s="31"/>
      <c r="D112" s="31"/>
      <c r="E112" s="31"/>
      <c r="F112" s="31"/>
      <c r="G112" s="31"/>
      <c r="H112" s="7"/>
      <c r="I112" s="28">
        <f>D112-C112</f>
        <v>0</v>
      </c>
      <c r="J112" s="27"/>
      <c r="K112" s="2"/>
      <c r="L112" s="268">
        <f t="shared" ref="L112" si="1">(6000+6000+6000)-5635</f>
        <v>12365</v>
      </c>
      <c r="M112" s="2" t="s">
        <v>709</v>
      </c>
      <c r="N112" s="2"/>
      <c r="O112" s="2"/>
      <c r="P112" s="2"/>
      <c r="Q112" s="2"/>
      <c r="R112" s="2"/>
      <c r="S112" s="7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 ht="21.75" customHeight="1" x14ac:dyDescent="0.25">
      <c r="A113" s="13" t="s">
        <v>193</v>
      </c>
      <c r="B113" s="211" t="s">
        <v>351</v>
      </c>
      <c r="C113" s="215">
        <f>SUM(C114)</f>
        <v>933</v>
      </c>
      <c r="D113" s="215">
        <f>SUM(D114)</f>
        <v>933</v>
      </c>
      <c r="E113" s="215">
        <f>SUM(E114)</f>
        <v>933</v>
      </c>
      <c r="F113" s="215">
        <f>SUM(F114)</f>
        <v>933</v>
      </c>
      <c r="G113" s="215">
        <f>SUM(G114)</f>
        <v>933</v>
      </c>
      <c r="H113" s="7"/>
      <c r="I113" s="27"/>
      <c r="J113" s="27"/>
      <c r="K113" s="2"/>
      <c r="L113" s="2"/>
      <c r="M113" s="2"/>
      <c r="N113" s="2"/>
      <c r="O113" s="2"/>
      <c r="P113" s="2"/>
      <c r="Q113" s="2"/>
      <c r="R113" s="2"/>
      <c r="S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5.75" customHeight="1" thickBot="1" x14ac:dyDescent="0.25">
      <c r="A114" s="171" t="s">
        <v>382</v>
      </c>
      <c r="B114" s="199" t="s">
        <v>574</v>
      </c>
      <c r="C114" s="31">
        <v>933</v>
      </c>
      <c r="D114" s="31">
        <v>933</v>
      </c>
      <c r="E114" s="31">
        <v>933</v>
      </c>
      <c r="F114" s="31">
        <v>933</v>
      </c>
      <c r="G114" s="31">
        <v>933</v>
      </c>
      <c r="H114" s="7"/>
      <c r="I114" s="27">
        <v>932347</v>
      </c>
      <c r="J114" s="2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ht="24" customHeight="1" thickBot="1" x14ac:dyDescent="0.4">
      <c r="A115" s="171"/>
      <c r="B115" s="47" t="s">
        <v>241</v>
      </c>
      <c r="C115" s="273">
        <f>SUM(C102+C113)</f>
        <v>90611</v>
      </c>
      <c r="D115" s="273">
        <f>SUM(D102+D113)</f>
        <v>12110</v>
      </c>
      <c r="E115" s="273">
        <f>SUM(E102+E113)</f>
        <v>11533</v>
      </c>
      <c r="F115" s="273">
        <f>SUM(F102+F113)</f>
        <v>11533</v>
      </c>
      <c r="G115" s="252">
        <f>SUM(G102+G113)</f>
        <v>11533</v>
      </c>
      <c r="H115" s="7"/>
      <c r="I115" s="27"/>
      <c r="J115" s="2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 ht="15.75" customHeight="1" x14ac:dyDescent="0.2">
      <c r="B116" s="2"/>
      <c r="C116" s="7"/>
      <c r="D116" s="7"/>
      <c r="E116" s="7"/>
      <c r="F116" s="7"/>
      <c r="G116" s="7"/>
      <c r="H116" s="7"/>
      <c r="I116" s="27"/>
      <c r="J116" s="2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 ht="15.75" customHeight="1" x14ac:dyDescent="0.2">
      <c r="G117" s="2"/>
      <c r="H117" s="7"/>
      <c r="I117" s="27"/>
      <c r="J117" s="2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1:46" ht="15.75" customHeight="1" x14ac:dyDescent="0.2">
      <c r="G118" s="2"/>
      <c r="H118" s="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1:46" ht="15.75" customHeight="1" x14ac:dyDescent="0.2">
      <c r="G119" s="2"/>
      <c r="H119" s="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1:46" ht="15.75" customHeight="1" x14ac:dyDescent="0.2">
      <c r="G120" s="2"/>
      <c r="H120" s="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1:46" ht="15.75" customHeight="1" x14ac:dyDescent="0.2">
      <c r="G121" s="2"/>
      <c r="H121" s="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1:46" ht="15.75" customHeight="1" x14ac:dyDescent="0.2">
      <c r="B122" s="2"/>
      <c r="C122" s="2"/>
      <c r="D122" s="2"/>
      <c r="E122" s="2"/>
      <c r="F122" s="2"/>
      <c r="G122" s="2"/>
      <c r="H122" s="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1:46" ht="15.75" customHeight="1" x14ac:dyDescent="0.2">
      <c r="B123" s="2"/>
      <c r="C123" s="2"/>
      <c r="D123" s="2"/>
      <c r="E123" s="2"/>
      <c r="F123" s="2"/>
      <c r="G123" s="2"/>
      <c r="H123" s="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ht="15.75" customHeight="1" x14ac:dyDescent="0.2">
      <c r="B124" s="2"/>
      <c r="C124" s="2"/>
      <c r="D124" s="2"/>
      <c r="E124" s="2"/>
      <c r="F124" s="2"/>
      <c r="G124" s="2"/>
      <c r="H124" s="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1:46" ht="15.75" customHeight="1" x14ac:dyDescent="0.2">
      <c r="B126" s="2"/>
      <c r="C126" s="2"/>
      <c r="D126" s="2"/>
      <c r="E126" s="2"/>
      <c r="F126" s="2"/>
      <c r="G126" s="2"/>
      <c r="H126" s="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1:46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2:46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2:46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2:46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2:46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2:46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2:46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2:46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2:46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2:46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2:46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2:46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2:46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2:46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2:46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2:46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2:46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2:46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2:46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2:46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2:46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2:46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2:46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2:46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2:46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2:46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2:46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2:46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2:46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2:46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2:46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2:46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2:46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2:46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2:46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2:46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2:46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2:46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2:46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2:46" ht="15.7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2:46" ht="15.7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2:46" ht="15.75" customHeight="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2:46" ht="15.75" customHeight="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2:46" ht="15.75" customHeight="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2:46" ht="15.75" customHeight="1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2:46" ht="15.75" customHeight="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2:46" ht="15.75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2:46" ht="15.75" customHeight="1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2:46" ht="15.75" customHeight="1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2:46" ht="15.75" customHeight="1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2:46" ht="15.75" customHeight="1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2:46" ht="15.75" customHeight="1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2:46" ht="15.75" customHeight="1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2:46" ht="15.75" customHeight="1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2:46" ht="15.75" customHeight="1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2:46" ht="15.75" customHeight="1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2:46" ht="15.75" customHeight="1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2:46" ht="15.75" customHeight="1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2:46" ht="15.75" customHeight="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2:46" ht="15.75" customHeight="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2:46" ht="15.75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2:46" ht="15.75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2:46" ht="15.75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2:46" ht="15.75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2:46" ht="15.75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2:46" ht="15.75" customHeight="1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2:46" ht="15.75" customHeight="1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2:46" ht="15.75" customHeight="1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2:46" ht="15.75" customHeight="1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2:46" ht="15.75" customHeight="1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2:46" ht="15.75" customHeight="1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2:46" ht="15.75" customHeight="1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2:46" ht="15.75" customHeight="1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2:46" ht="15.75" customHeight="1" x14ac:dyDescent="0.2">
      <c r="B201" s="2"/>
      <c r="C201" s="2"/>
      <c r="D201" s="2"/>
      <c r="E201" s="2"/>
      <c r="F201" s="2"/>
      <c r="G201" s="28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2:46" ht="15.75" customHeight="1" x14ac:dyDescent="0.2">
      <c r="B202" s="2"/>
      <c r="C202" s="2"/>
      <c r="D202" s="2"/>
      <c r="E202" s="2"/>
      <c r="F202" s="2"/>
      <c r="G202" s="28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2:46" ht="15.75" customHeight="1" x14ac:dyDescent="0.2">
      <c r="B203" s="2"/>
      <c r="C203" s="2"/>
      <c r="D203" s="2"/>
      <c r="E203" s="2"/>
      <c r="F203" s="2"/>
      <c r="G203" s="28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2:46" ht="15.75" customHeight="1" x14ac:dyDescent="0.2">
      <c r="B204" s="2"/>
      <c r="C204" s="2"/>
      <c r="D204" s="2"/>
      <c r="E204" s="2"/>
      <c r="F204" s="2"/>
      <c r="G204" s="28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2:46" ht="15.75" customHeight="1" x14ac:dyDescent="0.2">
      <c r="B205" s="2"/>
      <c r="C205" s="2"/>
      <c r="D205" s="2"/>
      <c r="E205" s="2"/>
      <c r="F205" s="2"/>
      <c r="G205" s="28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2:46" ht="15.75" customHeight="1" x14ac:dyDescent="0.2">
      <c r="B206" s="2"/>
      <c r="C206" s="2"/>
      <c r="D206" s="2"/>
      <c r="E206" s="2"/>
      <c r="F206" s="2"/>
      <c r="G206" s="28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2:46" ht="15.75" customHeight="1" x14ac:dyDescent="0.2">
      <c r="B207" s="2"/>
      <c r="C207" s="2"/>
      <c r="D207" s="2"/>
      <c r="E207" s="2"/>
      <c r="F207" s="2"/>
      <c r="G207" s="28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2:46" ht="15.75" customHeight="1" x14ac:dyDescent="0.2">
      <c r="B208" s="2"/>
      <c r="C208" s="2"/>
      <c r="D208" s="2"/>
      <c r="E208" s="2"/>
      <c r="F208" s="2"/>
      <c r="G208" s="28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2:46" ht="15.75" customHeight="1" x14ac:dyDescent="0.2">
      <c r="B209" s="2"/>
      <c r="C209" s="2"/>
      <c r="D209" s="2"/>
      <c r="E209" s="2"/>
      <c r="F209" s="2"/>
      <c r="G209" s="28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2:46" ht="15.75" customHeight="1" x14ac:dyDescent="0.2">
      <c r="B210" s="2"/>
      <c r="C210" s="2"/>
      <c r="D210" s="2"/>
      <c r="E210" s="2"/>
      <c r="F210" s="2"/>
      <c r="G210" s="28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2:46" ht="15.75" customHeight="1" x14ac:dyDescent="0.2">
      <c r="B211" s="2"/>
      <c r="C211" s="2"/>
      <c r="D211" s="2"/>
      <c r="E211" s="2"/>
      <c r="F211" s="2"/>
      <c r="G211" s="28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2:46" ht="15.75" customHeight="1" x14ac:dyDescent="0.2">
      <c r="B212" s="2"/>
      <c r="C212" s="2"/>
      <c r="D212" s="2"/>
      <c r="E212" s="2"/>
      <c r="F212" s="2"/>
      <c r="G212" s="28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2:46" ht="15.75" customHeight="1" x14ac:dyDescent="0.2">
      <c r="B213" s="2"/>
      <c r="C213" s="2"/>
      <c r="D213" s="2"/>
      <c r="E213" s="2"/>
      <c r="F213" s="2"/>
      <c r="G213" s="28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2:46" ht="15.75" customHeight="1" x14ac:dyDescent="0.2">
      <c r="B214" s="2"/>
      <c r="C214" s="2"/>
      <c r="D214" s="2"/>
      <c r="E214" s="2"/>
      <c r="F214" s="2"/>
      <c r="G214" s="28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2:46" ht="15.75" customHeight="1" x14ac:dyDescent="0.2">
      <c r="B215" s="2"/>
      <c r="C215" s="2"/>
      <c r="D215" s="2"/>
      <c r="E215" s="2"/>
      <c r="F215" s="2"/>
      <c r="G215" s="28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2:46" ht="15.75" customHeight="1" x14ac:dyDescent="0.2">
      <c r="B216" s="2"/>
      <c r="C216" s="2"/>
      <c r="D216" s="2"/>
      <c r="E216" s="2"/>
      <c r="F216" s="2"/>
      <c r="G216" s="28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2:46" ht="15.75" customHeight="1" x14ac:dyDescent="0.2">
      <c r="B217" s="2"/>
      <c r="C217" s="2"/>
      <c r="D217" s="2"/>
      <c r="E217" s="2"/>
      <c r="F217" s="2"/>
      <c r="G217" s="28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2:46" ht="15.75" customHeight="1" x14ac:dyDescent="0.2">
      <c r="B218" s="2"/>
      <c r="C218" s="2"/>
      <c r="D218" s="2"/>
      <c r="E218" s="2"/>
      <c r="F218" s="2"/>
      <c r="G218" s="28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2:46" ht="15.75" customHeight="1" x14ac:dyDescent="0.2">
      <c r="B219" s="2"/>
      <c r="C219" s="2"/>
      <c r="D219" s="2"/>
      <c r="E219" s="2"/>
      <c r="F219" s="2"/>
      <c r="G219" s="28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2:46" ht="15.75" customHeight="1" x14ac:dyDescent="0.2">
      <c r="B220" s="2"/>
      <c r="C220" s="2"/>
      <c r="D220" s="2"/>
      <c r="E220" s="2"/>
      <c r="F220" s="2"/>
      <c r="G220" s="28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2:46" ht="15.75" customHeight="1" x14ac:dyDescent="0.2">
      <c r="B221" s="2"/>
      <c r="C221" s="2"/>
      <c r="D221" s="2"/>
      <c r="E221" s="2"/>
      <c r="F221" s="2"/>
      <c r="G221" s="28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2:46" ht="15.75" customHeight="1" x14ac:dyDescent="0.2">
      <c r="B222" s="2"/>
      <c r="C222" s="2"/>
      <c r="D222" s="2"/>
      <c r="E222" s="2"/>
      <c r="F222" s="2"/>
      <c r="G222" s="28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2:46" ht="15.75" customHeight="1" x14ac:dyDescent="0.2">
      <c r="B223" s="2"/>
      <c r="C223" s="2"/>
      <c r="D223" s="2"/>
      <c r="E223" s="2"/>
      <c r="F223" s="2"/>
      <c r="G223" s="28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2:46" ht="15.75" customHeight="1" x14ac:dyDescent="0.2">
      <c r="B224" s="2"/>
      <c r="C224" s="2"/>
      <c r="D224" s="2"/>
      <c r="E224" s="2"/>
      <c r="F224" s="2"/>
      <c r="G224" s="28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2:46" ht="15.75" customHeight="1" x14ac:dyDescent="0.2">
      <c r="B225" s="2"/>
      <c r="C225" s="2"/>
      <c r="D225" s="2"/>
      <c r="E225" s="2"/>
      <c r="F225" s="2"/>
      <c r="G225" s="28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2:46" ht="15.75" customHeight="1" x14ac:dyDescent="0.2">
      <c r="B226" s="2"/>
      <c r="C226" s="2"/>
      <c r="D226" s="2"/>
      <c r="E226" s="2"/>
      <c r="F226" s="2"/>
      <c r="G226" s="28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2:46" ht="15.75" customHeight="1" x14ac:dyDescent="0.2">
      <c r="B227" s="2"/>
      <c r="C227" s="2"/>
      <c r="D227" s="2"/>
      <c r="E227" s="2"/>
      <c r="F227" s="2"/>
      <c r="G227" s="28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2:46" ht="15.75" customHeight="1" x14ac:dyDescent="0.2">
      <c r="B228" s="2"/>
      <c r="C228" s="2"/>
      <c r="D228" s="2"/>
      <c r="E228" s="2"/>
      <c r="F228" s="2"/>
      <c r="G228" s="28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2:46" ht="15.75" customHeight="1" x14ac:dyDescent="0.2">
      <c r="B229" s="2"/>
      <c r="C229" s="2"/>
      <c r="D229" s="2"/>
      <c r="E229" s="2"/>
      <c r="F229" s="2"/>
      <c r="G229" s="28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2:46" ht="15.75" customHeight="1" x14ac:dyDescent="0.2">
      <c r="B230" s="2"/>
      <c r="C230" s="2"/>
      <c r="D230" s="2"/>
      <c r="E230" s="2"/>
      <c r="F230" s="2"/>
      <c r="G230" s="28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2:46" ht="15.75" customHeight="1" x14ac:dyDescent="0.2">
      <c r="B231" s="2"/>
      <c r="C231" s="2"/>
      <c r="D231" s="2"/>
      <c r="E231" s="2"/>
      <c r="F231" s="2"/>
      <c r="G231" s="28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2:46" ht="15.75" customHeight="1" x14ac:dyDescent="0.2">
      <c r="B232" s="2"/>
      <c r="C232" s="2"/>
      <c r="D232" s="2"/>
      <c r="E232" s="2"/>
      <c r="F232" s="2"/>
      <c r="G232" s="28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2:46" ht="15.75" customHeight="1" x14ac:dyDescent="0.2">
      <c r="B233" s="2"/>
      <c r="C233" s="2"/>
      <c r="D233" s="2"/>
      <c r="E233" s="2"/>
      <c r="F233" s="2"/>
      <c r="G233" s="28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2:46" ht="15.75" customHeight="1" x14ac:dyDescent="0.2">
      <c r="B234" s="2"/>
      <c r="C234" s="2"/>
      <c r="D234" s="2"/>
      <c r="E234" s="2"/>
      <c r="F234" s="2"/>
      <c r="G234" s="28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2:46" ht="15.75" customHeight="1" x14ac:dyDescent="0.2">
      <c r="B235" s="2"/>
      <c r="C235" s="2"/>
      <c r="D235" s="2"/>
      <c r="E235" s="2"/>
      <c r="F235" s="2"/>
      <c r="G235" s="28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2:46" ht="15.75" customHeight="1" x14ac:dyDescent="0.2">
      <c r="B236" s="2"/>
      <c r="C236" s="2"/>
      <c r="D236" s="2"/>
      <c r="E236" s="2"/>
      <c r="F236" s="2"/>
      <c r="G236" s="28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2:46" ht="15.75" customHeight="1" x14ac:dyDescent="0.2">
      <c r="B237" s="2"/>
      <c r="C237" s="2"/>
      <c r="D237" s="2"/>
      <c r="E237" s="2"/>
      <c r="F237" s="2"/>
      <c r="G237" s="28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2:46" ht="15.75" customHeight="1" x14ac:dyDescent="0.2">
      <c r="B238" s="2"/>
      <c r="C238" s="2"/>
      <c r="D238" s="2"/>
      <c r="E238" s="2"/>
      <c r="F238" s="2"/>
      <c r="G238" s="28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2:46" ht="15.75" customHeight="1" x14ac:dyDescent="0.2">
      <c r="B239" s="2"/>
      <c r="C239" s="2"/>
      <c r="D239" s="2"/>
      <c r="E239" s="2"/>
      <c r="F239" s="2"/>
      <c r="G239" s="28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2:46" ht="15.75" customHeight="1" x14ac:dyDescent="0.2">
      <c r="B240" s="2"/>
      <c r="C240" s="2"/>
      <c r="D240" s="2"/>
      <c r="E240" s="2"/>
      <c r="F240" s="2"/>
      <c r="G240" s="28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2:46" ht="15.75" customHeight="1" x14ac:dyDescent="0.2">
      <c r="B241" s="2"/>
      <c r="C241" s="2"/>
      <c r="D241" s="2"/>
      <c r="E241" s="2"/>
      <c r="F241" s="2"/>
      <c r="G241" s="28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2:46" ht="15.75" customHeight="1" x14ac:dyDescent="0.2">
      <c r="B242" s="2"/>
      <c r="C242" s="2"/>
      <c r="D242" s="2"/>
      <c r="E242" s="2"/>
      <c r="F242" s="2"/>
      <c r="G242" s="28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2:46" ht="15.75" customHeight="1" x14ac:dyDescent="0.2">
      <c r="B243" s="2"/>
      <c r="C243" s="2"/>
      <c r="D243" s="2"/>
      <c r="E243" s="2"/>
      <c r="F243" s="2"/>
      <c r="G243" s="28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2:46" ht="15.75" customHeight="1" x14ac:dyDescent="0.2">
      <c r="B244" s="2"/>
      <c r="C244" s="2"/>
      <c r="D244" s="2"/>
      <c r="E244" s="2"/>
      <c r="F244" s="2"/>
      <c r="G244" s="28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2:46" ht="15.75" customHeight="1" x14ac:dyDescent="0.2">
      <c r="B245" s="2"/>
      <c r="C245" s="2"/>
      <c r="D245" s="2"/>
      <c r="E245" s="2"/>
      <c r="F245" s="2"/>
      <c r="G245" s="28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2:46" ht="15.75" customHeight="1" x14ac:dyDescent="0.2">
      <c r="B246" s="2"/>
      <c r="C246" s="2"/>
      <c r="D246" s="2"/>
      <c r="E246" s="2"/>
      <c r="F246" s="2"/>
      <c r="G246" s="28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2:46" ht="15.75" customHeight="1" x14ac:dyDescent="0.2">
      <c r="B247" s="2"/>
      <c r="C247" s="2"/>
      <c r="D247" s="2"/>
      <c r="E247" s="2"/>
      <c r="F247" s="2"/>
      <c r="G247" s="28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2:46" ht="15.75" customHeight="1" x14ac:dyDescent="0.2">
      <c r="B248" s="2"/>
      <c r="C248" s="2"/>
      <c r="D248" s="2"/>
      <c r="E248" s="2"/>
      <c r="F248" s="2"/>
      <c r="G248" s="28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2:46" ht="15.75" customHeight="1" x14ac:dyDescent="0.2">
      <c r="B249" s="2"/>
      <c r="C249" s="2"/>
      <c r="D249" s="2"/>
      <c r="E249" s="2"/>
      <c r="F249" s="2"/>
      <c r="G249" s="28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2:46" ht="15.75" customHeight="1" x14ac:dyDescent="0.2">
      <c r="B250" s="2"/>
      <c r="C250" s="2"/>
      <c r="D250" s="2"/>
      <c r="E250" s="2"/>
      <c r="F250" s="2"/>
      <c r="G250" s="28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2:46" ht="15.75" customHeight="1" x14ac:dyDescent="0.2">
      <c r="B251" s="2"/>
      <c r="C251" s="2"/>
      <c r="D251" s="2"/>
      <c r="E251" s="2"/>
      <c r="F251" s="2"/>
      <c r="G251" s="28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2:46" ht="15.75" customHeight="1" x14ac:dyDescent="0.2">
      <c r="B252" s="2"/>
      <c r="C252" s="2"/>
      <c r="D252" s="2"/>
      <c r="E252" s="2"/>
      <c r="F252" s="2"/>
      <c r="G252" s="28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2:46" ht="15.75" customHeight="1" x14ac:dyDescent="0.2">
      <c r="B253" s="2"/>
      <c r="C253" s="2"/>
      <c r="D253" s="2"/>
      <c r="E253" s="2"/>
      <c r="F253" s="2"/>
      <c r="G253" s="28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2:46" ht="15.75" customHeight="1" x14ac:dyDescent="0.2">
      <c r="B254" s="2"/>
      <c r="C254" s="2"/>
      <c r="D254" s="2"/>
      <c r="E254" s="2"/>
      <c r="F254" s="2"/>
      <c r="G254" s="28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2:46" ht="15.75" customHeight="1" x14ac:dyDescent="0.2">
      <c r="B255" s="2"/>
      <c r="C255" s="2"/>
      <c r="D255" s="2"/>
      <c r="E255" s="2"/>
      <c r="F255" s="2"/>
      <c r="G255" s="28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2:46" ht="15.75" customHeight="1" x14ac:dyDescent="0.2">
      <c r="B256" s="2"/>
      <c r="C256" s="2"/>
      <c r="D256" s="2"/>
      <c r="E256" s="2"/>
      <c r="F256" s="2"/>
      <c r="G256" s="28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2:46" ht="15.75" customHeight="1" x14ac:dyDescent="0.2">
      <c r="B257" s="2"/>
      <c r="C257" s="2"/>
      <c r="D257" s="2"/>
      <c r="E257" s="2"/>
      <c r="F257" s="2"/>
      <c r="G257" s="28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2:46" ht="15.75" customHeight="1" x14ac:dyDescent="0.2">
      <c r="B258" s="2"/>
      <c r="C258" s="2"/>
      <c r="D258" s="2"/>
      <c r="E258" s="2"/>
      <c r="F258" s="2"/>
      <c r="G258" s="28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2:46" ht="15.75" customHeight="1" x14ac:dyDescent="0.2">
      <c r="B259" s="2"/>
      <c r="C259" s="2"/>
      <c r="D259" s="2"/>
      <c r="E259" s="2"/>
      <c r="F259" s="2"/>
      <c r="G259" s="28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2:46" ht="15.75" customHeight="1" x14ac:dyDescent="0.2">
      <c r="B260" s="2"/>
      <c r="C260" s="2"/>
      <c r="D260" s="2"/>
      <c r="E260" s="2"/>
      <c r="F260" s="2"/>
      <c r="G260" s="28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2:46" ht="15.75" customHeight="1" x14ac:dyDescent="0.2">
      <c r="B261" s="2"/>
      <c r="C261" s="2"/>
      <c r="D261" s="2"/>
      <c r="E261" s="2"/>
      <c r="F261" s="2"/>
      <c r="G261" s="28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2:46" ht="15.75" customHeight="1" x14ac:dyDescent="0.2">
      <c r="B262" s="2"/>
      <c r="C262" s="2"/>
      <c r="D262" s="2"/>
      <c r="E262" s="2"/>
      <c r="F262" s="2"/>
      <c r="G262" s="28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2:46" ht="15.75" customHeight="1" x14ac:dyDescent="0.2">
      <c r="B263" s="2"/>
      <c r="C263" s="2"/>
      <c r="D263" s="2"/>
      <c r="E263" s="2"/>
      <c r="F263" s="2"/>
      <c r="G263" s="28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2:46" ht="15.75" customHeight="1" x14ac:dyDescent="0.2">
      <c r="B264" s="2"/>
      <c r="C264" s="2"/>
      <c r="D264" s="2"/>
      <c r="E264" s="2"/>
      <c r="F264" s="2"/>
      <c r="G264" s="28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2:46" ht="15.75" customHeight="1" x14ac:dyDescent="0.2">
      <c r="B265" s="2"/>
      <c r="C265" s="2"/>
      <c r="D265" s="2"/>
      <c r="E265" s="2"/>
      <c r="F265" s="2"/>
      <c r="G265" s="28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2:46" ht="15.75" customHeight="1" x14ac:dyDescent="0.2">
      <c r="B266" s="2"/>
      <c r="C266" s="2"/>
      <c r="D266" s="2"/>
      <c r="E266" s="2"/>
      <c r="F266" s="2"/>
      <c r="G266" s="28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2:46" ht="15.75" customHeight="1" x14ac:dyDescent="0.2">
      <c r="B267" s="2"/>
      <c r="C267" s="2"/>
      <c r="D267" s="2"/>
      <c r="E267" s="2"/>
      <c r="F267" s="2"/>
      <c r="G267" s="28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2:46" ht="15.75" customHeight="1" x14ac:dyDescent="0.2">
      <c r="B268" s="2"/>
      <c r="C268" s="2"/>
      <c r="D268" s="2"/>
      <c r="E268" s="2"/>
      <c r="F268" s="2"/>
      <c r="G268" s="28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2:46" ht="15.75" customHeight="1" x14ac:dyDescent="0.2">
      <c r="B269" s="2"/>
      <c r="C269" s="2"/>
      <c r="D269" s="2"/>
      <c r="E269" s="2"/>
      <c r="F269" s="2"/>
      <c r="G269" s="28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2:46" ht="15.75" customHeight="1" x14ac:dyDescent="0.2">
      <c r="B270" s="2"/>
      <c r="C270" s="2"/>
      <c r="D270" s="2"/>
      <c r="E270" s="2"/>
      <c r="F270" s="2"/>
      <c r="G270" s="28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2:46" ht="15.75" customHeight="1" x14ac:dyDescent="0.2">
      <c r="B271" s="2"/>
      <c r="C271" s="2"/>
      <c r="D271" s="2"/>
      <c r="E271" s="2"/>
      <c r="F271" s="2"/>
      <c r="G271" s="28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2:46" ht="15.75" customHeight="1" x14ac:dyDescent="0.2">
      <c r="B272" s="2"/>
      <c r="C272" s="2"/>
      <c r="D272" s="2"/>
      <c r="E272" s="2"/>
      <c r="F272" s="2"/>
      <c r="G272" s="28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2:46" ht="15.75" customHeight="1" x14ac:dyDescent="0.2">
      <c r="B273" s="2"/>
      <c r="C273" s="2"/>
      <c r="D273" s="2"/>
      <c r="E273" s="2"/>
      <c r="F273" s="2"/>
      <c r="G273" s="28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2:46" ht="15.75" customHeight="1" x14ac:dyDescent="0.2">
      <c r="B274" s="2"/>
      <c r="C274" s="2"/>
      <c r="D274" s="2"/>
      <c r="E274" s="2"/>
      <c r="F274" s="2"/>
      <c r="G274" s="28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2:46" ht="15.75" customHeight="1" x14ac:dyDescent="0.2">
      <c r="B275" s="2"/>
      <c r="C275" s="2"/>
      <c r="D275" s="2"/>
      <c r="E275" s="2"/>
      <c r="F275" s="2"/>
      <c r="G275" s="28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2:46" ht="15.75" customHeight="1" x14ac:dyDescent="0.2">
      <c r="B276" s="2"/>
      <c r="C276" s="2"/>
      <c r="D276" s="2"/>
      <c r="E276" s="2"/>
      <c r="F276" s="2"/>
      <c r="G276" s="28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2:46" ht="15.75" customHeight="1" x14ac:dyDescent="0.2">
      <c r="B277" s="2"/>
      <c r="C277" s="2"/>
      <c r="D277" s="2"/>
      <c r="E277" s="2"/>
      <c r="F277" s="2"/>
      <c r="G277" s="28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2:46" ht="15.75" customHeight="1" x14ac:dyDescent="0.2">
      <c r="B278" s="2"/>
      <c r="C278" s="2"/>
      <c r="D278" s="2"/>
      <c r="E278" s="2"/>
      <c r="F278" s="2"/>
      <c r="G278" s="28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2:46" ht="15.75" customHeight="1" x14ac:dyDescent="0.2">
      <c r="B279" s="2"/>
      <c r="C279" s="2"/>
      <c r="D279" s="2"/>
      <c r="E279" s="2"/>
      <c r="F279" s="2"/>
      <c r="G279" s="28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2:46" ht="15.75" customHeight="1" x14ac:dyDescent="0.2">
      <c r="B280" s="2"/>
      <c r="C280" s="2"/>
      <c r="D280" s="2"/>
      <c r="E280" s="2"/>
      <c r="F280" s="2"/>
      <c r="G280" s="28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2:46" ht="15.75" customHeight="1" x14ac:dyDescent="0.2">
      <c r="B281" s="2"/>
      <c r="C281" s="2"/>
      <c r="D281" s="2"/>
      <c r="E281" s="2"/>
      <c r="F281" s="2"/>
      <c r="G281" s="28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2:46" ht="15.75" customHeight="1" x14ac:dyDescent="0.2">
      <c r="B282" s="2"/>
      <c r="C282" s="2"/>
      <c r="D282" s="2"/>
      <c r="E282" s="2"/>
      <c r="F282" s="2"/>
      <c r="G282" s="28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2:46" ht="15.75" customHeight="1" x14ac:dyDescent="0.2">
      <c r="B283" s="2"/>
      <c r="C283" s="2"/>
      <c r="D283" s="2"/>
      <c r="E283" s="2"/>
      <c r="F283" s="2"/>
      <c r="G283" s="28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2:46" ht="15.75" customHeight="1" x14ac:dyDescent="0.2">
      <c r="B284" s="2"/>
      <c r="C284" s="2"/>
      <c r="D284" s="2"/>
      <c r="E284" s="2"/>
      <c r="F284" s="2"/>
      <c r="G284" s="28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2:46" ht="15.75" customHeight="1" x14ac:dyDescent="0.2">
      <c r="B285" s="2"/>
      <c r="C285" s="2"/>
      <c r="D285" s="2"/>
      <c r="E285" s="2"/>
      <c r="F285" s="2"/>
      <c r="G285" s="28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2:46" ht="15.75" customHeight="1" x14ac:dyDescent="0.2">
      <c r="B286" s="2"/>
      <c r="C286" s="2"/>
      <c r="D286" s="2"/>
      <c r="E286" s="2"/>
      <c r="F286" s="2"/>
      <c r="G286" s="28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2:46" ht="15.75" customHeight="1" x14ac:dyDescent="0.2">
      <c r="B287" s="2"/>
      <c r="C287" s="2"/>
      <c r="D287" s="2"/>
      <c r="E287" s="2"/>
      <c r="F287" s="2"/>
      <c r="G287" s="28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2:46" ht="15.75" customHeight="1" x14ac:dyDescent="0.2">
      <c r="B288" s="2"/>
      <c r="C288" s="2"/>
      <c r="D288" s="2"/>
      <c r="E288" s="2"/>
      <c r="F288" s="2"/>
      <c r="G288" s="28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2:46" ht="15.75" customHeight="1" x14ac:dyDescent="0.2">
      <c r="B289" s="2"/>
      <c r="C289" s="2"/>
      <c r="D289" s="2"/>
      <c r="E289" s="2"/>
      <c r="F289" s="2"/>
      <c r="G289" s="28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2:46" ht="15.75" customHeight="1" x14ac:dyDescent="0.2">
      <c r="B290" s="2"/>
      <c r="C290" s="2"/>
      <c r="D290" s="2"/>
      <c r="E290" s="2"/>
      <c r="F290" s="2"/>
      <c r="G290" s="28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2:46" ht="15.75" customHeight="1" x14ac:dyDescent="0.2">
      <c r="B291" s="2"/>
      <c r="C291" s="2"/>
      <c r="D291" s="2"/>
      <c r="E291" s="2"/>
      <c r="F291" s="2"/>
      <c r="G291" s="28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2:46" ht="15.75" customHeight="1" x14ac:dyDescent="0.2">
      <c r="B292" s="2"/>
      <c r="C292" s="2"/>
      <c r="D292" s="2"/>
      <c r="E292" s="2"/>
      <c r="F292" s="2"/>
      <c r="G292" s="28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2:46" ht="15.75" customHeight="1" x14ac:dyDescent="0.2">
      <c r="B293" s="2"/>
      <c r="C293" s="2"/>
      <c r="D293" s="2"/>
      <c r="E293" s="2"/>
      <c r="F293" s="2"/>
      <c r="G293" s="28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2:46" ht="15.75" customHeight="1" x14ac:dyDescent="0.2">
      <c r="B294" s="2"/>
      <c r="C294" s="2"/>
      <c r="D294" s="2"/>
      <c r="E294" s="2"/>
      <c r="F294" s="2"/>
      <c r="G294" s="28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2:46" ht="15.75" customHeight="1" x14ac:dyDescent="0.2">
      <c r="B295" s="2"/>
      <c r="C295" s="2"/>
      <c r="D295" s="2"/>
      <c r="E295" s="2"/>
      <c r="F295" s="2"/>
      <c r="G295" s="28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2:46" ht="15.75" customHeight="1" x14ac:dyDescent="0.2">
      <c r="B296" s="2"/>
      <c r="C296" s="2"/>
      <c r="D296" s="2"/>
      <c r="E296" s="2"/>
      <c r="F296" s="2"/>
      <c r="G296" s="28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2:46" ht="15.75" customHeight="1" x14ac:dyDescent="0.2">
      <c r="B297" s="2"/>
      <c r="C297" s="2"/>
      <c r="D297" s="2"/>
      <c r="E297" s="2"/>
      <c r="F297" s="2"/>
      <c r="G297" s="28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2:46" ht="15.75" customHeight="1" x14ac:dyDescent="0.2">
      <c r="B298" s="2"/>
      <c r="C298" s="2"/>
      <c r="D298" s="2"/>
      <c r="E298" s="2"/>
      <c r="F298" s="2"/>
      <c r="G298" s="28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2:46" ht="15.75" customHeight="1" x14ac:dyDescent="0.2">
      <c r="B299" s="2"/>
      <c r="C299" s="2"/>
      <c r="D299" s="2"/>
      <c r="E299" s="2"/>
      <c r="F299" s="2"/>
      <c r="G299" s="28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2:46" ht="15.75" customHeight="1" x14ac:dyDescent="0.2">
      <c r="B300" s="2"/>
      <c r="C300" s="2"/>
      <c r="D300" s="2"/>
      <c r="E300" s="2"/>
      <c r="F300" s="2"/>
      <c r="G300" s="28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2:46" ht="15.75" customHeight="1" x14ac:dyDescent="0.2">
      <c r="B301" s="2"/>
      <c r="C301" s="2"/>
      <c r="D301" s="2"/>
      <c r="E301" s="2"/>
      <c r="F301" s="2"/>
      <c r="G301" s="28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2:46" ht="15.75" customHeight="1" x14ac:dyDescent="0.2">
      <c r="B302" s="2"/>
      <c r="C302" s="2"/>
      <c r="D302" s="2"/>
      <c r="E302" s="2"/>
      <c r="F302" s="2"/>
      <c r="G302" s="28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2:46" ht="15.75" customHeight="1" x14ac:dyDescent="0.2">
      <c r="B303" s="2"/>
      <c r="C303" s="2"/>
      <c r="D303" s="2"/>
      <c r="E303" s="2"/>
      <c r="F303" s="2"/>
      <c r="G303" s="28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2:46" ht="15.75" customHeight="1" x14ac:dyDescent="0.2">
      <c r="B304" s="2"/>
      <c r="C304" s="2"/>
      <c r="D304" s="2"/>
      <c r="E304" s="2"/>
      <c r="F304" s="2"/>
      <c r="G304" s="28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2:46" ht="15.75" customHeight="1" x14ac:dyDescent="0.2">
      <c r="B305" s="2"/>
      <c r="C305" s="2"/>
      <c r="D305" s="2"/>
      <c r="E305" s="2"/>
      <c r="F305" s="2"/>
      <c r="G305" s="28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2:46" ht="15.75" customHeight="1" x14ac:dyDescent="0.2">
      <c r="B306" s="2"/>
      <c r="C306" s="2"/>
      <c r="D306" s="2"/>
      <c r="E306" s="2"/>
      <c r="F306" s="2"/>
      <c r="G306" s="28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2:46" ht="15.75" customHeight="1" x14ac:dyDescent="0.2">
      <c r="B307" s="2"/>
      <c r="C307" s="2"/>
      <c r="D307" s="2"/>
      <c r="E307" s="2"/>
      <c r="F307" s="2"/>
      <c r="G307" s="28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2:46" ht="15.75" customHeight="1" x14ac:dyDescent="0.2">
      <c r="B308" s="2"/>
      <c r="C308" s="2"/>
      <c r="D308" s="2"/>
      <c r="E308" s="2"/>
      <c r="F308" s="2"/>
      <c r="G308" s="28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2:46" ht="15.75" customHeight="1" x14ac:dyDescent="0.2">
      <c r="B309" s="2"/>
      <c r="C309" s="2"/>
      <c r="D309" s="2"/>
      <c r="E309" s="2"/>
      <c r="F309" s="2"/>
      <c r="G309" s="28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2:46" ht="15.75" customHeight="1" x14ac:dyDescent="0.2">
      <c r="B310" s="2"/>
      <c r="C310" s="2"/>
      <c r="D310" s="2"/>
      <c r="E310" s="2"/>
      <c r="F310" s="2"/>
      <c r="G310" s="28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2:46" ht="15.75" customHeight="1" x14ac:dyDescent="0.2">
      <c r="B311" s="2"/>
      <c r="C311" s="2"/>
      <c r="D311" s="2"/>
      <c r="E311" s="2"/>
      <c r="F311" s="2"/>
      <c r="G311" s="28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2:46" ht="15.75" customHeight="1" x14ac:dyDescent="0.2">
      <c r="B312" s="2"/>
      <c r="C312" s="2"/>
      <c r="D312" s="2"/>
      <c r="E312" s="2"/>
      <c r="F312" s="2"/>
      <c r="G312" s="28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2:46" ht="15.75" customHeight="1" x14ac:dyDescent="0.2">
      <c r="B313" s="2"/>
      <c r="C313" s="2"/>
      <c r="D313" s="2"/>
      <c r="E313" s="2"/>
      <c r="F313" s="2"/>
      <c r="G313" s="28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2:46" ht="15.75" customHeight="1" x14ac:dyDescent="0.2">
      <c r="B314" s="2"/>
      <c r="C314" s="2"/>
      <c r="D314" s="2"/>
      <c r="E314" s="2"/>
      <c r="F314" s="2"/>
      <c r="G314" s="28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2:46" ht="15.75" customHeight="1" x14ac:dyDescent="0.2">
      <c r="B315" s="2"/>
      <c r="C315" s="2"/>
      <c r="D315" s="2"/>
      <c r="E315" s="2"/>
      <c r="F315" s="2"/>
      <c r="G315" s="28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2:46" ht="15.75" customHeight="1" x14ac:dyDescent="0.2">
      <c r="B316" s="2"/>
      <c r="C316" s="2"/>
      <c r="D316" s="2"/>
      <c r="E316" s="2"/>
      <c r="F316" s="2"/>
      <c r="G316" s="28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2:46" ht="15.75" customHeight="1" x14ac:dyDescent="0.2">
      <c r="B317" s="2"/>
      <c r="C317" s="2"/>
      <c r="D317" s="2"/>
      <c r="E317" s="2"/>
      <c r="F317" s="2"/>
      <c r="G317" s="28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2:46" ht="15.75" customHeight="1" x14ac:dyDescent="0.2">
      <c r="B318" s="2"/>
      <c r="C318" s="2"/>
      <c r="D318" s="2"/>
      <c r="E318" s="2"/>
      <c r="F318" s="2"/>
      <c r="G318" s="28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2:46" ht="15.75" customHeight="1" x14ac:dyDescent="0.2">
      <c r="B319" s="2"/>
      <c r="C319" s="2"/>
      <c r="D319" s="2"/>
      <c r="E319" s="2"/>
      <c r="F319" s="2"/>
      <c r="G319" s="28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2:46" ht="15.75" customHeight="1" x14ac:dyDescent="0.2">
      <c r="B320" s="2"/>
      <c r="C320" s="2"/>
      <c r="D320" s="2"/>
      <c r="E320" s="2"/>
      <c r="F320" s="2"/>
      <c r="G320" s="28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2:46" ht="15.75" customHeight="1" x14ac:dyDescent="0.2">
      <c r="B321" s="2"/>
      <c r="C321" s="2"/>
      <c r="D321" s="2"/>
      <c r="E321" s="2"/>
      <c r="F321" s="2"/>
      <c r="G321" s="28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2:46" ht="15.75" customHeight="1" x14ac:dyDescent="0.2">
      <c r="B322" s="2"/>
      <c r="C322" s="2"/>
      <c r="D322" s="2"/>
      <c r="E322" s="2"/>
      <c r="F322" s="2"/>
      <c r="G322" s="28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2:46" ht="15.75" customHeight="1" x14ac:dyDescent="0.2">
      <c r="B323" s="2"/>
      <c r="C323" s="2"/>
      <c r="D323" s="2"/>
      <c r="E323" s="2"/>
      <c r="F323" s="2"/>
      <c r="G323" s="28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2:46" ht="15.75" customHeight="1" x14ac:dyDescent="0.2">
      <c r="B324" s="2"/>
      <c r="C324" s="2"/>
      <c r="D324" s="2"/>
      <c r="E324" s="2"/>
      <c r="F324" s="2"/>
      <c r="G324" s="28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2:46" ht="15.75" customHeight="1" x14ac:dyDescent="0.2">
      <c r="B325" s="2"/>
      <c r="C325" s="2"/>
      <c r="D325" s="2"/>
      <c r="E325" s="2"/>
      <c r="F325" s="2"/>
      <c r="G325" s="28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2:46" ht="15.75" customHeight="1" x14ac:dyDescent="0.2">
      <c r="B326" s="2"/>
      <c r="C326" s="2"/>
      <c r="D326" s="2"/>
      <c r="E326" s="2"/>
      <c r="F326" s="2"/>
      <c r="G326" s="28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2:46" ht="15.75" customHeight="1" x14ac:dyDescent="0.2">
      <c r="B327" s="2"/>
      <c r="C327" s="2"/>
      <c r="D327" s="2"/>
      <c r="E327" s="2"/>
      <c r="F327" s="2"/>
      <c r="G327" s="28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2:46" ht="15.75" customHeight="1" x14ac:dyDescent="0.2">
      <c r="B328" s="2"/>
      <c r="C328" s="2"/>
      <c r="D328" s="2"/>
      <c r="E328" s="2"/>
      <c r="F328" s="2"/>
      <c r="G328" s="28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2:46" ht="15.75" customHeight="1" x14ac:dyDescent="0.2">
      <c r="B329" s="2"/>
      <c r="C329" s="2"/>
      <c r="D329" s="2"/>
      <c r="E329" s="2"/>
      <c r="F329" s="2"/>
      <c r="G329" s="28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2:46" ht="15.75" customHeight="1" x14ac:dyDescent="0.2">
      <c r="B330" s="2"/>
      <c r="C330" s="2"/>
      <c r="D330" s="2"/>
      <c r="E330" s="2"/>
      <c r="F330" s="2"/>
      <c r="G330" s="28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2:46" ht="15.75" customHeight="1" x14ac:dyDescent="0.2">
      <c r="B331" s="2"/>
      <c r="C331" s="2"/>
      <c r="D331" s="2"/>
      <c r="E331" s="2"/>
      <c r="F331" s="2"/>
      <c r="G331" s="28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2:46" ht="15.75" customHeight="1" x14ac:dyDescent="0.2">
      <c r="B332" s="2"/>
      <c r="C332" s="2"/>
      <c r="D332" s="2"/>
      <c r="E332" s="2"/>
      <c r="F332" s="2"/>
      <c r="G332" s="28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2:46" ht="15.75" customHeight="1" x14ac:dyDescent="0.2">
      <c r="B333" s="2"/>
      <c r="C333" s="2"/>
      <c r="D333" s="2"/>
      <c r="E333" s="2"/>
      <c r="F333" s="2"/>
      <c r="G333" s="28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2:46" ht="15.75" customHeight="1" x14ac:dyDescent="0.2">
      <c r="B334" s="2"/>
      <c r="C334" s="2"/>
      <c r="D334" s="2"/>
      <c r="E334" s="2"/>
      <c r="F334" s="2"/>
      <c r="G334" s="28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2:46" ht="15.75" customHeight="1" x14ac:dyDescent="0.2">
      <c r="B335" s="2"/>
      <c r="C335" s="2"/>
      <c r="D335" s="2"/>
      <c r="E335" s="2"/>
      <c r="F335" s="2"/>
      <c r="G335" s="28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2:46" ht="15.75" customHeight="1" x14ac:dyDescent="0.2">
      <c r="B336" s="2"/>
      <c r="C336" s="2"/>
      <c r="D336" s="2"/>
      <c r="E336" s="2"/>
      <c r="F336" s="2"/>
      <c r="G336" s="28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2:46" ht="15.75" customHeight="1" x14ac:dyDescent="0.2">
      <c r="B337" s="2"/>
      <c r="C337" s="2"/>
      <c r="D337" s="2"/>
      <c r="E337" s="2"/>
      <c r="F337" s="2"/>
      <c r="G337" s="28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2:46" ht="15.75" customHeight="1" x14ac:dyDescent="0.2">
      <c r="B338" s="2"/>
      <c r="C338" s="2"/>
      <c r="D338" s="2"/>
      <c r="E338" s="2"/>
      <c r="F338" s="2"/>
      <c r="G338" s="28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2:46" ht="15.75" customHeight="1" x14ac:dyDescent="0.2">
      <c r="B339" s="2"/>
      <c r="C339" s="2"/>
      <c r="D339" s="2"/>
      <c r="E339" s="2"/>
      <c r="F339" s="2"/>
      <c r="G339" s="28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2:46" ht="15.75" customHeight="1" x14ac:dyDescent="0.2">
      <c r="B340" s="2"/>
      <c r="C340" s="2"/>
      <c r="D340" s="2"/>
      <c r="E340" s="2"/>
      <c r="F340" s="2"/>
      <c r="G340" s="28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2:46" ht="15.75" customHeight="1" x14ac:dyDescent="0.2">
      <c r="B341" s="2"/>
      <c r="C341" s="2"/>
      <c r="D341" s="2"/>
      <c r="E341" s="2"/>
      <c r="F341" s="2"/>
      <c r="G341" s="28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2:46" ht="15.75" customHeight="1" x14ac:dyDescent="0.2">
      <c r="B342" s="2"/>
      <c r="C342" s="2"/>
      <c r="D342" s="2"/>
      <c r="E342" s="2"/>
      <c r="F342" s="2"/>
      <c r="G342" s="28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2:46" ht="15.75" customHeight="1" x14ac:dyDescent="0.2">
      <c r="B343" s="2"/>
      <c r="C343" s="2"/>
      <c r="D343" s="2"/>
      <c r="E343" s="2"/>
      <c r="F343" s="2"/>
      <c r="G343" s="28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2:46" ht="15.75" customHeight="1" x14ac:dyDescent="0.2">
      <c r="B344" s="2"/>
      <c r="C344" s="2"/>
      <c r="D344" s="2"/>
      <c r="E344" s="2"/>
      <c r="F344" s="2"/>
      <c r="G344" s="28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2:46" ht="15.75" customHeight="1" x14ac:dyDescent="0.2">
      <c r="B345" s="2"/>
      <c r="C345" s="2"/>
      <c r="D345" s="2"/>
      <c r="E345" s="2"/>
      <c r="F345" s="2"/>
      <c r="G345" s="28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2:46" ht="15.75" customHeight="1" x14ac:dyDescent="0.2">
      <c r="B346" s="2"/>
      <c r="C346" s="2"/>
      <c r="D346" s="2"/>
      <c r="E346" s="2"/>
      <c r="F346" s="2"/>
      <c r="G346" s="28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2:46" ht="15.75" customHeight="1" x14ac:dyDescent="0.2">
      <c r="B347" s="2"/>
      <c r="C347" s="2"/>
      <c r="D347" s="2"/>
      <c r="E347" s="2"/>
      <c r="F347" s="2"/>
      <c r="G347" s="28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2:46" ht="15.75" customHeight="1" x14ac:dyDescent="0.2">
      <c r="B348" s="2"/>
      <c r="C348" s="2"/>
      <c r="D348" s="2"/>
      <c r="E348" s="2"/>
      <c r="F348" s="2"/>
      <c r="G348" s="28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2:46" ht="15.75" customHeight="1" x14ac:dyDescent="0.2">
      <c r="B349" s="2"/>
      <c r="C349" s="2"/>
      <c r="D349" s="2"/>
      <c r="E349" s="2"/>
      <c r="F349" s="2"/>
      <c r="G349" s="28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2:46" ht="15.75" customHeight="1" x14ac:dyDescent="0.2">
      <c r="B350" s="2"/>
      <c r="C350" s="2"/>
      <c r="D350" s="2"/>
      <c r="E350" s="2"/>
      <c r="F350" s="2"/>
      <c r="G350" s="28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2:46" ht="15.75" customHeight="1" x14ac:dyDescent="0.2">
      <c r="B351" s="2"/>
      <c r="C351" s="2"/>
      <c r="D351" s="2"/>
      <c r="E351" s="2"/>
      <c r="F351" s="2"/>
      <c r="G351" s="28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2:46" ht="15.75" customHeight="1" x14ac:dyDescent="0.2">
      <c r="B352" s="2"/>
      <c r="C352" s="2"/>
      <c r="D352" s="2"/>
      <c r="E352" s="2"/>
      <c r="F352" s="2"/>
      <c r="G352" s="28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2:46" ht="15.75" customHeight="1" x14ac:dyDescent="0.2">
      <c r="B353" s="2"/>
      <c r="C353" s="2"/>
      <c r="D353" s="2"/>
      <c r="E353" s="2"/>
      <c r="F353" s="2"/>
      <c r="G353" s="28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2:46" ht="15.75" customHeight="1" x14ac:dyDescent="0.2">
      <c r="B354" s="2"/>
      <c r="C354" s="2"/>
      <c r="D354" s="2"/>
      <c r="E354" s="2"/>
      <c r="F354" s="2"/>
      <c r="G354" s="28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2:46" ht="15.75" customHeight="1" x14ac:dyDescent="0.2">
      <c r="B355" s="2"/>
      <c r="C355" s="2"/>
      <c r="D355" s="2"/>
      <c r="E355" s="2"/>
      <c r="F355" s="2"/>
      <c r="G355" s="28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2:46" ht="15.75" customHeight="1" x14ac:dyDescent="0.2">
      <c r="B356" s="2"/>
      <c r="C356" s="2"/>
      <c r="D356" s="2"/>
      <c r="E356" s="2"/>
      <c r="F356" s="2"/>
      <c r="G356" s="28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2:46" ht="15.75" customHeight="1" x14ac:dyDescent="0.2">
      <c r="B357" s="2"/>
      <c r="C357" s="2"/>
      <c r="D357" s="2"/>
      <c r="E357" s="2"/>
      <c r="F357" s="2"/>
      <c r="G357" s="28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2:46" ht="15.75" customHeight="1" x14ac:dyDescent="0.2">
      <c r="B358" s="2"/>
      <c r="C358" s="2"/>
      <c r="D358" s="2"/>
      <c r="E358" s="2"/>
      <c r="F358" s="2"/>
      <c r="G358" s="28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2:46" ht="15.75" customHeight="1" x14ac:dyDescent="0.2">
      <c r="B359" s="2"/>
      <c r="C359" s="2"/>
      <c r="D359" s="2"/>
      <c r="E359" s="2"/>
      <c r="F359" s="2"/>
      <c r="G359" s="28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2:46" ht="15.75" customHeight="1" x14ac:dyDescent="0.2">
      <c r="B360" s="2"/>
      <c r="C360" s="2"/>
      <c r="D360" s="2"/>
      <c r="E360" s="2"/>
      <c r="F360" s="2"/>
      <c r="G360" s="28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2:46" ht="15.75" customHeight="1" x14ac:dyDescent="0.2">
      <c r="B361" s="2"/>
      <c r="C361" s="2"/>
      <c r="D361" s="2"/>
      <c r="E361" s="2"/>
      <c r="F361" s="2"/>
      <c r="G361" s="28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2:46" ht="15.75" customHeight="1" x14ac:dyDescent="0.2">
      <c r="B362" s="2"/>
      <c r="C362" s="2"/>
      <c r="D362" s="2"/>
      <c r="E362" s="2"/>
      <c r="F362" s="2"/>
      <c r="G362" s="28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2:46" ht="15.75" customHeight="1" x14ac:dyDescent="0.2">
      <c r="B363" s="2"/>
      <c r="C363" s="2"/>
      <c r="D363" s="2"/>
      <c r="E363" s="2"/>
      <c r="F363" s="2"/>
      <c r="G363" s="28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2:46" ht="15.75" customHeight="1" x14ac:dyDescent="0.2">
      <c r="B364" s="2"/>
      <c r="C364" s="2"/>
      <c r="D364" s="2"/>
      <c r="E364" s="2"/>
      <c r="F364" s="2"/>
      <c r="G364" s="28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2:46" ht="15.75" customHeight="1" x14ac:dyDescent="0.2">
      <c r="B365" s="2"/>
      <c r="C365" s="2"/>
      <c r="D365" s="2"/>
      <c r="E365" s="2"/>
      <c r="F365" s="2"/>
      <c r="G365" s="28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2:46" ht="15.75" customHeight="1" x14ac:dyDescent="0.2">
      <c r="B366" s="2"/>
      <c r="C366" s="2"/>
      <c r="D366" s="2"/>
      <c r="E366" s="2"/>
      <c r="F366" s="2"/>
      <c r="G366" s="28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2:46" ht="15.75" customHeight="1" x14ac:dyDescent="0.2">
      <c r="B367" s="2"/>
      <c r="C367" s="2"/>
      <c r="D367" s="2"/>
      <c r="E367" s="2"/>
      <c r="F367" s="2"/>
      <c r="G367" s="28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2:46" ht="15.75" customHeight="1" x14ac:dyDescent="0.2">
      <c r="B368" s="2"/>
      <c r="C368" s="2"/>
      <c r="D368" s="2"/>
      <c r="E368" s="2"/>
      <c r="F368" s="2"/>
      <c r="G368" s="28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2:46" ht="15.75" customHeight="1" x14ac:dyDescent="0.2">
      <c r="B369" s="2"/>
      <c r="C369" s="2"/>
      <c r="D369" s="2"/>
      <c r="E369" s="2"/>
      <c r="F369" s="2"/>
      <c r="G369" s="28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2:46" ht="15.75" customHeight="1" x14ac:dyDescent="0.2">
      <c r="B370" s="2"/>
      <c r="C370" s="2"/>
      <c r="D370" s="2"/>
      <c r="E370" s="2"/>
      <c r="F370" s="2"/>
      <c r="G370" s="28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2:46" ht="15.75" customHeight="1" x14ac:dyDescent="0.2">
      <c r="B371" s="2"/>
      <c r="C371" s="2"/>
      <c r="D371" s="2"/>
      <c r="E371" s="2"/>
      <c r="F371" s="2"/>
      <c r="G371" s="28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2:46" ht="15.75" customHeight="1" x14ac:dyDescent="0.2">
      <c r="B372" s="2"/>
      <c r="C372" s="2"/>
      <c r="D372" s="2"/>
      <c r="E372" s="2"/>
      <c r="F372" s="2"/>
      <c r="G372" s="28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2:46" ht="15.75" customHeight="1" x14ac:dyDescent="0.2">
      <c r="B373" s="2"/>
      <c r="C373" s="2"/>
      <c r="D373" s="2"/>
      <c r="E373" s="2"/>
      <c r="F373" s="2"/>
      <c r="G373" s="28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2:46" ht="15.75" customHeight="1" x14ac:dyDescent="0.2">
      <c r="B374" s="2"/>
      <c r="C374" s="2"/>
      <c r="D374" s="2"/>
      <c r="E374" s="2"/>
      <c r="F374" s="2"/>
      <c r="G374" s="28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2:46" ht="15.75" customHeight="1" x14ac:dyDescent="0.2">
      <c r="B375" s="2"/>
      <c r="C375" s="2"/>
      <c r="D375" s="2"/>
      <c r="E375" s="2"/>
      <c r="F375" s="2"/>
      <c r="G375" s="28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2:46" ht="15.75" customHeight="1" x14ac:dyDescent="0.2">
      <c r="B376" s="2"/>
      <c r="C376" s="2"/>
      <c r="D376" s="2"/>
      <c r="E376" s="2"/>
      <c r="F376" s="2"/>
      <c r="G376" s="28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2:46" ht="15.75" customHeight="1" x14ac:dyDescent="0.2">
      <c r="B377" s="2"/>
      <c r="C377" s="2"/>
      <c r="D377" s="2"/>
      <c r="E377" s="2"/>
      <c r="F377" s="2"/>
      <c r="G377" s="28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2:46" ht="15.75" customHeight="1" x14ac:dyDescent="0.2">
      <c r="B378" s="2"/>
      <c r="C378" s="2"/>
      <c r="D378" s="2"/>
      <c r="E378" s="2"/>
      <c r="F378" s="2"/>
      <c r="G378" s="28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2:46" ht="15.75" customHeight="1" x14ac:dyDescent="0.2">
      <c r="B379" s="2"/>
      <c r="C379" s="2"/>
      <c r="D379" s="2"/>
      <c r="E379" s="2"/>
      <c r="F379" s="2"/>
      <c r="G379" s="28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2:46" ht="15.75" customHeight="1" x14ac:dyDescent="0.2">
      <c r="B380" s="2"/>
      <c r="C380" s="2"/>
      <c r="D380" s="2"/>
      <c r="E380" s="2"/>
      <c r="F380" s="2"/>
      <c r="G380" s="28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2:46" ht="15.75" customHeight="1" x14ac:dyDescent="0.2">
      <c r="B381" s="2"/>
      <c r="C381" s="2"/>
      <c r="D381" s="2"/>
      <c r="E381" s="2"/>
      <c r="F381" s="2"/>
      <c r="G381" s="28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2:46" ht="15.75" customHeight="1" x14ac:dyDescent="0.2">
      <c r="B382" s="2"/>
      <c r="C382" s="2"/>
      <c r="D382" s="2"/>
      <c r="E382" s="2"/>
      <c r="F382" s="2"/>
      <c r="G382" s="28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2:46" ht="15.75" customHeight="1" x14ac:dyDescent="0.2">
      <c r="B383" s="2"/>
      <c r="C383" s="2"/>
      <c r="D383" s="2"/>
      <c r="E383" s="2"/>
      <c r="F383" s="2"/>
      <c r="G383" s="28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2:46" ht="15.75" customHeight="1" x14ac:dyDescent="0.2">
      <c r="B384" s="2"/>
      <c r="C384" s="2"/>
      <c r="D384" s="2"/>
      <c r="E384" s="2"/>
      <c r="F384" s="2"/>
      <c r="G384" s="28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2:46" ht="15.75" customHeight="1" x14ac:dyDescent="0.2">
      <c r="B385" s="2"/>
      <c r="C385" s="2"/>
      <c r="D385" s="2"/>
      <c r="E385" s="2"/>
      <c r="F385" s="2"/>
      <c r="G385" s="28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2:46" ht="15.75" customHeight="1" x14ac:dyDescent="0.2">
      <c r="B386" s="2"/>
      <c r="C386" s="2"/>
      <c r="D386" s="2"/>
      <c r="E386" s="2"/>
      <c r="F386" s="2"/>
      <c r="G386" s="28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2:46" ht="15.75" customHeight="1" x14ac:dyDescent="0.2">
      <c r="B387" s="2"/>
      <c r="C387" s="2"/>
      <c r="D387" s="2"/>
      <c r="E387" s="2"/>
      <c r="F387" s="2"/>
      <c r="G387" s="28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2:46" ht="15.75" customHeight="1" x14ac:dyDescent="0.2">
      <c r="B388" s="2"/>
      <c r="C388" s="2"/>
      <c r="D388" s="2"/>
      <c r="E388" s="2"/>
      <c r="F388" s="2"/>
      <c r="G388" s="28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2:46" ht="15.75" customHeight="1" x14ac:dyDescent="0.2">
      <c r="B389" s="2"/>
      <c r="C389" s="2"/>
      <c r="D389" s="2"/>
      <c r="E389" s="2"/>
      <c r="F389" s="2"/>
      <c r="G389" s="28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2:46" ht="15.75" customHeight="1" x14ac:dyDescent="0.2">
      <c r="B390" s="2"/>
      <c r="C390" s="2"/>
      <c r="D390" s="2"/>
      <c r="E390" s="2"/>
      <c r="F390" s="2"/>
      <c r="G390" s="28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2:46" ht="15.75" customHeight="1" x14ac:dyDescent="0.2">
      <c r="B391" s="2"/>
      <c r="C391" s="2"/>
      <c r="D391" s="2"/>
      <c r="E391" s="2"/>
      <c r="F391" s="2"/>
      <c r="G391" s="28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2:46" ht="15.75" customHeight="1" x14ac:dyDescent="0.2">
      <c r="B392" s="2"/>
      <c r="C392" s="2"/>
      <c r="D392" s="2"/>
      <c r="E392" s="2"/>
      <c r="F392" s="2"/>
      <c r="G392" s="28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2:46" ht="15.75" customHeight="1" x14ac:dyDescent="0.2">
      <c r="B393" s="2"/>
      <c r="C393" s="2"/>
      <c r="D393" s="2"/>
      <c r="E393" s="2"/>
      <c r="F393" s="2"/>
      <c r="G393" s="28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2:46" ht="15.75" customHeight="1" x14ac:dyDescent="0.2">
      <c r="B394" s="2"/>
      <c r="C394" s="2"/>
      <c r="D394" s="2"/>
      <c r="E394" s="2"/>
      <c r="F394" s="2"/>
      <c r="G394" s="28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2:46" ht="15.75" customHeight="1" x14ac:dyDescent="0.2">
      <c r="B395" s="2"/>
      <c r="C395" s="2"/>
      <c r="D395" s="2"/>
      <c r="E395" s="2"/>
      <c r="F395" s="2"/>
      <c r="G395" s="28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2:46" ht="15.75" customHeight="1" x14ac:dyDescent="0.2">
      <c r="B396" s="2"/>
      <c r="C396" s="2"/>
      <c r="D396" s="2"/>
      <c r="E396" s="2"/>
      <c r="F396" s="2"/>
      <c r="G396" s="28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2:46" ht="15.75" customHeight="1" x14ac:dyDescent="0.2">
      <c r="B397" s="2"/>
      <c r="C397" s="2"/>
      <c r="D397" s="2"/>
      <c r="E397" s="2"/>
      <c r="F397" s="2"/>
      <c r="G397" s="28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2:46" ht="15.75" customHeight="1" x14ac:dyDescent="0.2">
      <c r="B398" s="2"/>
      <c r="C398" s="2"/>
      <c r="D398" s="2"/>
      <c r="E398" s="2"/>
      <c r="F398" s="2"/>
      <c r="G398" s="28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2:46" ht="15.75" customHeight="1" x14ac:dyDescent="0.2">
      <c r="B399" s="2"/>
      <c r="C399" s="2"/>
      <c r="D399" s="2"/>
      <c r="E399" s="2"/>
      <c r="F399" s="2"/>
      <c r="G399" s="28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2:46" ht="15.75" customHeight="1" x14ac:dyDescent="0.2">
      <c r="B400" s="2"/>
      <c r="C400" s="2"/>
      <c r="D400" s="2"/>
      <c r="E400" s="2"/>
      <c r="F400" s="2"/>
      <c r="G400" s="28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2:46" ht="15.75" customHeight="1" x14ac:dyDescent="0.2">
      <c r="B401" s="2"/>
      <c r="C401" s="2"/>
      <c r="D401" s="2"/>
      <c r="E401" s="2"/>
      <c r="F401" s="2"/>
      <c r="G401" s="28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2:46" ht="15.75" customHeight="1" x14ac:dyDescent="0.2">
      <c r="B402" s="2"/>
      <c r="C402" s="2"/>
      <c r="D402" s="2"/>
      <c r="E402" s="2"/>
      <c r="F402" s="2"/>
      <c r="G402" s="28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2:46" ht="15.75" customHeight="1" x14ac:dyDescent="0.2">
      <c r="B403" s="2"/>
      <c r="C403" s="2"/>
      <c r="D403" s="2"/>
      <c r="E403" s="2"/>
      <c r="F403" s="2"/>
      <c r="G403" s="28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2:46" ht="15.75" customHeight="1" x14ac:dyDescent="0.2">
      <c r="B404" s="2"/>
      <c r="C404" s="2"/>
      <c r="D404" s="2"/>
      <c r="E404" s="2"/>
      <c r="F404" s="2"/>
      <c r="G404" s="28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2:46" ht="15.75" customHeight="1" x14ac:dyDescent="0.2">
      <c r="B405" s="2"/>
      <c r="C405" s="2"/>
      <c r="D405" s="2"/>
      <c r="E405" s="2"/>
      <c r="F405" s="2"/>
      <c r="G405" s="28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2:46" ht="15.75" customHeight="1" x14ac:dyDescent="0.2">
      <c r="B406" s="2"/>
      <c r="C406" s="2"/>
      <c r="D406" s="2"/>
      <c r="E406" s="2"/>
      <c r="F406" s="2"/>
      <c r="G406" s="28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2:46" ht="15.75" customHeight="1" x14ac:dyDescent="0.2">
      <c r="B407" s="2"/>
      <c r="C407" s="2"/>
      <c r="D407" s="2"/>
      <c r="E407" s="2"/>
      <c r="F407" s="2"/>
      <c r="G407" s="28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2:46" ht="15.75" customHeight="1" x14ac:dyDescent="0.2">
      <c r="B408" s="2"/>
      <c r="C408" s="2"/>
      <c r="D408" s="2"/>
      <c r="E408" s="2"/>
      <c r="F408" s="2"/>
      <c r="G408" s="28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2:46" ht="15.75" customHeight="1" x14ac:dyDescent="0.2">
      <c r="B409" s="2"/>
      <c r="C409" s="2"/>
      <c r="D409" s="2"/>
      <c r="E409" s="2"/>
      <c r="F409" s="2"/>
      <c r="G409" s="28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2:46" ht="15.75" customHeight="1" x14ac:dyDescent="0.2">
      <c r="B410" s="2"/>
      <c r="C410" s="2"/>
      <c r="D410" s="2"/>
      <c r="E410" s="2"/>
      <c r="F410" s="2"/>
      <c r="G410" s="28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2:46" ht="15.75" customHeight="1" x14ac:dyDescent="0.2">
      <c r="B411" s="2"/>
      <c r="C411" s="2"/>
      <c r="D411" s="2"/>
      <c r="E411" s="2"/>
      <c r="F411" s="2"/>
      <c r="G411" s="28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2:46" ht="15.75" customHeight="1" x14ac:dyDescent="0.2">
      <c r="B412" s="2"/>
      <c r="C412" s="2"/>
      <c r="D412" s="2"/>
      <c r="E412" s="2"/>
      <c r="F412" s="2"/>
      <c r="G412" s="28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2:46" ht="15.75" customHeight="1" x14ac:dyDescent="0.2">
      <c r="B413" s="2"/>
      <c r="C413" s="2"/>
      <c r="D413" s="2"/>
      <c r="E413" s="2"/>
      <c r="F413" s="2"/>
      <c r="G413" s="28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2:46" ht="15.75" customHeight="1" x14ac:dyDescent="0.2">
      <c r="B414" s="2"/>
      <c r="C414" s="2"/>
      <c r="D414" s="2"/>
      <c r="E414" s="2"/>
      <c r="F414" s="2"/>
      <c r="G414" s="28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2:46" ht="15.75" customHeight="1" x14ac:dyDescent="0.2">
      <c r="B415" s="2"/>
      <c r="C415" s="2"/>
      <c r="D415" s="2"/>
      <c r="E415" s="2"/>
      <c r="F415" s="2"/>
      <c r="G415" s="28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2:46" ht="15.75" customHeight="1" x14ac:dyDescent="0.2">
      <c r="B416" s="2"/>
      <c r="C416" s="2"/>
      <c r="D416" s="2"/>
      <c r="E416" s="2"/>
      <c r="F416" s="2"/>
      <c r="G416" s="28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2:46" ht="15.75" customHeight="1" x14ac:dyDescent="0.2">
      <c r="B417" s="2"/>
      <c r="C417" s="2"/>
      <c r="D417" s="2"/>
      <c r="E417" s="2"/>
      <c r="F417" s="2"/>
      <c r="G417" s="28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2:46" ht="15.75" customHeight="1" x14ac:dyDescent="0.2">
      <c r="B418" s="2"/>
      <c r="C418" s="2"/>
      <c r="D418" s="2"/>
      <c r="E418" s="2"/>
      <c r="F418" s="2"/>
      <c r="G418" s="28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2:46" ht="15.75" customHeight="1" x14ac:dyDescent="0.2">
      <c r="B419" s="2"/>
      <c r="C419" s="2"/>
      <c r="D419" s="2"/>
      <c r="E419" s="2"/>
      <c r="F419" s="2"/>
      <c r="G419" s="28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2:46" ht="15.75" customHeight="1" x14ac:dyDescent="0.2">
      <c r="B420" s="2"/>
      <c r="C420" s="2"/>
      <c r="D420" s="2"/>
      <c r="E420" s="2"/>
      <c r="F420" s="2"/>
      <c r="G420" s="28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2:46" ht="15.75" customHeight="1" x14ac:dyDescent="0.2">
      <c r="B421" s="2"/>
      <c r="C421" s="2"/>
      <c r="D421" s="2"/>
      <c r="E421" s="2"/>
      <c r="F421" s="2"/>
      <c r="G421" s="28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2:46" ht="15.75" customHeight="1" x14ac:dyDescent="0.2">
      <c r="B422" s="2"/>
      <c r="C422" s="2"/>
      <c r="D422" s="2"/>
      <c r="E422" s="2"/>
      <c r="F422" s="2"/>
      <c r="G422" s="28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2:46" ht="15.75" customHeight="1" x14ac:dyDescent="0.2">
      <c r="B423" s="2"/>
      <c r="C423" s="2"/>
      <c r="D423" s="2"/>
      <c r="E423" s="2"/>
      <c r="F423" s="2"/>
      <c r="G423" s="28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2:46" ht="15.75" customHeight="1" x14ac:dyDescent="0.2">
      <c r="B424" s="2"/>
      <c r="C424" s="2"/>
      <c r="D424" s="2"/>
      <c r="E424" s="2"/>
      <c r="F424" s="2"/>
      <c r="G424" s="28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2:46" ht="15.75" customHeight="1" x14ac:dyDescent="0.2">
      <c r="B425" s="2"/>
      <c r="C425" s="2"/>
      <c r="D425" s="2"/>
      <c r="E425" s="2"/>
      <c r="F425" s="2"/>
      <c r="G425" s="28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2:46" ht="15.75" customHeight="1" x14ac:dyDescent="0.2">
      <c r="B426" s="2"/>
      <c r="C426" s="2"/>
      <c r="D426" s="2"/>
      <c r="E426" s="2"/>
      <c r="F426" s="2"/>
      <c r="G426" s="28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2:46" ht="15.75" customHeight="1" x14ac:dyDescent="0.2">
      <c r="B427" s="2"/>
      <c r="C427" s="2"/>
      <c r="D427" s="2"/>
      <c r="E427" s="2"/>
      <c r="F427" s="2"/>
      <c r="G427" s="28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2:46" ht="15.75" customHeight="1" x14ac:dyDescent="0.2">
      <c r="B428" s="2"/>
      <c r="C428" s="2"/>
      <c r="D428" s="2"/>
      <c r="E428" s="2"/>
      <c r="F428" s="2"/>
      <c r="G428" s="28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2:46" ht="15.75" customHeight="1" x14ac:dyDescent="0.2">
      <c r="B429" s="2"/>
      <c r="C429" s="2"/>
      <c r="D429" s="2"/>
      <c r="E429" s="2"/>
      <c r="F429" s="2"/>
      <c r="G429" s="28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2:46" ht="15.75" customHeight="1" x14ac:dyDescent="0.2">
      <c r="B430" s="2"/>
      <c r="C430" s="2"/>
      <c r="D430" s="2"/>
      <c r="E430" s="2"/>
      <c r="F430" s="2"/>
      <c r="G430" s="28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2:46" ht="15.75" customHeight="1" x14ac:dyDescent="0.2">
      <c r="B431" s="2"/>
      <c r="C431" s="2"/>
      <c r="D431" s="2"/>
      <c r="E431" s="2"/>
      <c r="F431" s="2"/>
      <c r="G431" s="28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2:46" ht="15.75" customHeight="1" x14ac:dyDescent="0.2">
      <c r="B432" s="2"/>
      <c r="C432" s="2"/>
      <c r="D432" s="2"/>
      <c r="E432" s="2"/>
      <c r="F432" s="2"/>
      <c r="G432" s="28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2:46" ht="15.75" customHeight="1" x14ac:dyDescent="0.2">
      <c r="B433" s="2"/>
      <c r="C433" s="2"/>
      <c r="D433" s="2"/>
      <c r="E433" s="2"/>
      <c r="F433" s="2"/>
      <c r="G433" s="28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2:46" ht="15.75" customHeight="1" x14ac:dyDescent="0.2">
      <c r="B434" s="2"/>
      <c r="C434" s="2"/>
      <c r="D434" s="2"/>
      <c r="E434" s="2"/>
      <c r="F434" s="2"/>
      <c r="G434" s="28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2:46" ht="15.75" customHeight="1" x14ac:dyDescent="0.2">
      <c r="B435" s="2"/>
      <c r="C435" s="2"/>
      <c r="D435" s="2"/>
      <c r="E435" s="2"/>
      <c r="F435" s="2"/>
      <c r="G435" s="28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2:46" ht="15.75" customHeight="1" x14ac:dyDescent="0.2">
      <c r="B436" s="2"/>
      <c r="C436" s="2"/>
      <c r="D436" s="2"/>
      <c r="E436" s="2"/>
      <c r="F436" s="2"/>
      <c r="G436" s="28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2:46" ht="15.75" customHeight="1" x14ac:dyDescent="0.2">
      <c r="B437" s="2"/>
      <c r="C437" s="2"/>
      <c r="D437" s="2"/>
      <c r="E437" s="2"/>
      <c r="F437" s="2"/>
      <c r="G437" s="28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2:46" ht="15.75" customHeight="1" x14ac:dyDescent="0.2">
      <c r="B438" s="2"/>
      <c r="C438" s="2"/>
      <c r="D438" s="2"/>
      <c r="E438" s="2"/>
      <c r="F438" s="2"/>
      <c r="G438" s="28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2:46" ht="15.75" customHeight="1" x14ac:dyDescent="0.2">
      <c r="B439" s="2"/>
      <c r="C439" s="2"/>
      <c r="D439" s="2"/>
      <c r="E439" s="2"/>
      <c r="F439" s="2"/>
      <c r="G439" s="28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2:46" ht="15.75" customHeight="1" x14ac:dyDescent="0.2">
      <c r="B440" s="2"/>
      <c r="C440" s="2"/>
      <c r="D440" s="2"/>
      <c r="E440" s="2"/>
      <c r="F440" s="2"/>
      <c r="G440" s="28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2:46" ht="15.75" customHeight="1" x14ac:dyDescent="0.2">
      <c r="B441" s="2"/>
      <c r="C441" s="2"/>
      <c r="D441" s="2"/>
      <c r="E441" s="2"/>
      <c r="F441" s="2"/>
      <c r="G441" s="28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2:46" ht="15.75" customHeight="1" x14ac:dyDescent="0.2">
      <c r="B442" s="2"/>
      <c r="C442" s="2"/>
      <c r="D442" s="2"/>
      <c r="E442" s="2"/>
      <c r="F442" s="2"/>
      <c r="G442" s="28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2:46" ht="15.75" customHeight="1" x14ac:dyDescent="0.2">
      <c r="B443" s="2"/>
      <c r="C443" s="2"/>
      <c r="D443" s="2"/>
      <c r="E443" s="2"/>
      <c r="F443" s="2"/>
      <c r="G443" s="28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2:46" ht="15.75" customHeight="1" x14ac:dyDescent="0.2">
      <c r="B444" s="2"/>
      <c r="C444" s="2"/>
      <c r="D444" s="2"/>
      <c r="E444" s="2"/>
      <c r="F444" s="2"/>
      <c r="G444" s="28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2:46" ht="15.75" customHeight="1" x14ac:dyDescent="0.2">
      <c r="B445" s="2"/>
      <c r="C445" s="2"/>
      <c r="D445" s="2"/>
      <c r="E445" s="2"/>
      <c r="F445" s="2"/>
      <c r="G445" s="28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2:46" ht="15.75" customHeight="1" x14ac:dyDescent="0.2">
      <c r="B446" s="2"/>
      <c r="C446" s="2"/>
      <c r="D446" s="2"/>
      <c r="E446" s="2"/>
      <c r="F446" s="2"/>
      <c r="G446" s="28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2:46" ht="15.75" customHeight="1" x14ac:dyDescent="0.2">
      <c r="B447" s="2"/>
      <c r="C447" s="2"/>
      <c r="D447" s="2"/>
      <c r="E447" s="2"/>
      <c r="F447" s="2"/>
      <c r="G447" s="28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2:46" ht="15.75" customHeight="1" x14ac:dyDescent="0.2">
      <c r="B448" s="2"/>
      <c r="C448" s="2"/>
      <c r="D448" s="2"/>
      <c r="E448" s="2"/>
      <c r="F448" s="2"/>
      <c r="G448" s="28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2:46" ht="15.75" customHeight="1" x14ac:dyDescent="0.2">
      <c r="B449" s="2"/>
      <c r="C449" s="2"/>
      <c r="D449" s="2"/>
      <c r="E449" s="2"/>
      <c r="F449" s="2"/>
      <c r="G449" s="28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2:46" ht="15.75" customHeight="1" x14ac:dyDescent="0.2">
      <c r="B450" s="2"/>
      <c r="C450" s="2"/>
      <c r="D450" s="2"/>
      <c r="E450" s="2"/>
      <c r="F450" s="2"/>
      <c r="G450" s="28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2:46" ht="15.75" customHeight="1" x14ac:dyDescent="0.2">
      <c r="B451" s="2"/>
      <c r="C451" s="2"/>
      <c r="D451" s="2"/>
      <c r="E451" s="2"/>
      <c r="F451" s="2"/>
      <c r="G451" s="28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2:46" ht="15.75" customHeight="1" x14ac:dyDescent="0.2">
      <c r="B452" s="2"/>
      <c r="C452" s="2"/>
      <c r="D452" s="2"/>
      <c r="E452" s="2"/>
      <c r="F452" s="2"/>
      <c r="G452" s="28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2:46" ht="15.75" customHeight="1" x14ac:dyDescent="0.2">
      <c r="B453" s="2"/>
      <c r="C453" s="2"/>
      <c r="D453" s="2"/>
      <c r="E453" s="2"/>
      <c r="F453" s="2"/>
      <c r="G453" s="28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2:46" ht="15.75" customHeight="1" x14ac:dyDescent="0.2">
      <c r="B454" s="2"/>
      <c r="C454" s="2"/>
      <c r="D454" s="2"/>
      <c r="E454" s="2"/>
      <c r="F454" s="2"/>
      <c r="G454" s="28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2:46" ht="15.75" customHeight="1" x14ac:dyDescent="0.2">
      <c r="B455" s="2"/>
      <c r="C455" s="2"/>
      <c r="D455" s="2"/>
      <c r="E455" s="2"/>
      <c r="F455" s="2"/>
      <c r="G455" s="28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2:46" ht="15.75" customHeight="1" x14ac:dyDescent="0.2">
      <c r="B456" s="2"/>
      <c r="C456" s="2"/>
      <c r="D456" s="2"/>
      <c r="E456" s="2"/>
      <c r="F456" s="2"/>
      <c r="G456" s="28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2:46" ht="15.75" customHeight="1" x14ac:dyDescent="0.2">
      <c r="B457" s="2"/>
      <c r="C457" s="2"/>
      <c r="D457" s="2"/>
      <c r="E457" s="2"/>
      <c r="F457" s="2"/>
      <c r="G457" s="28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2:46" ht="15.75" customHeight="1" x14ac:dyDescent="0.2">
      <c r="B458" s="2"/>
      <c r="C458" s="2"/>
      <c r="D458" s="2"/>
      <c r="E458" s="2"/>
      <c r="F458" s="2"/>
      <c r="G458" s="28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2:46" ht="15.75" customHeight="1" x14ac:dyDescent="0.2">
      <c r="B459" s="2"/>
      <c r="C459" s="2"/>
      <c r="D459" s="2"/>
      <c r="E459" s="2"/>
      <c r="F459" s="2"/>
      <c r="G459" s="28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2:46" ht="15.75" customHeight="1" x14ac:dyDescent="0.2">
      <c r="B460" s="2"/>
      <c r="C460" s="2"/>
      <c r="D460" s="2"/>
      <c r="E460" s="2"/>
      <c r="F460" s="2"/>
      <c r="G460" s="28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2:46" ht="15.75" customHeight="1" x14ac:dyDescent="0.2">
      <c r="B461" s="2"/>
      <c r="C461" s="2"/>
      <c r="D461" s="2"/>
      <c r="E461" s="2"/>
      <c r="F461" s="2"/>
      <c r="G461" s="28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2:46" ht="15.75" customHeight="1" x14ac:dyDescent="0.2">
      <c r="B462" s="2"/>
      <c r="C462" s="2"/>
      <c r="D462" s="2"/>
      <c r="E462" s="2"/>
      <c r="F462" s="2"/>
      <c r="G462" s="28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2:46" ht="15.75" customHeight="1" x14ac:dyDescent="0.2">
      <c r="B463" s="2"/>
      <c r="C463" s="2"/>
      <c r="D463" s="2"/>
      <c r="E463" s="2"/>
      <c r="F463" s="2"/>
      <c r="G463" s="28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2:46" ht="15.75" customHeight="1" x14ac:dyDescent="0.2">
      <c r="B464" s="2"/>
      <c r="C464" s="2"/>
      <c r="D464" s="2"/>
      <c r="E464" s="2"/>
      <c r="F464" s="2"/>
      <c r="G464" s="28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2:46" ht="15.75" customHeight="1" x14ac:dyDescent="0.2">
      <c r="B465" s="2"/>
      <c r="C465" s="2"/>
      <c r="D465" s="2"/>
      <c r="E465" s="2"/>
      <c r="F465" s="2"/>
      <c r="G465" s="28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2:46" ht="15.75" customHeight="1" x14ac:dyDescent="0.2">
      <c r="B466" s="2"/>
      <c r="C466" s="2"/>
      <c r="D466" s="2"/>
      <c r="E466" s="2"/>
      <c r="F466" s="2"/>
      <c r="G466" s="28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2:46" ht="15.75" customHeight="1" x14ac:dyDescent="0.2">
      <c r="B467" s="2"/>
      <c r="C467" s="2"/>
      <c r="D467" s="2"/>
      <c r="E467" s="2"/>
      <c r="F467" s="2"/>
      <c r="G467" s="28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2:46" ht="15.75" customHeight="1" x14ac:dyDescent="0.2">
      <c r="B468" s="2"/>
      <c r="C468" s="2"/>
      <c r="D468" s="2"/>
      <c r="E468" s="2"/>
      <c r="F468" s="2"/>
      <c r="G468" s="28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2:46" ht="15.75" customHeight="1" x14ac:dyDescent="0.2">
      <c r="B469" s="2"/>
      <c r="C469" s="2"/>
      <c r="D469" s="2"/>
      <c r="E469" s="2"/>
      <c r="F469" s="2"/>
      <c r="G469" s="28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2:46" ht="15.75" customHeight="1" x14ac:dyDescent="0.2">
      <c r="B470" s="2"/>
      <c r="C470" s="2"/>
      <c r="D470" s="2"/>
      <c r="E470" s="2"/>
      <c r="F470" s="2"/>
      <c r="G470" s="28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2:46" ht="15.75" customHeight="1" x14ac:dyDescent="0.2">
      <c r="B471" s="2"/>
      <c r="C471" s="2"/>
      <c r="D471" s="2"/>
      <c r="E471" s="2"/>
      <c r="F471" s="2"/>
      <c r="G471" s="28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2:46" ht="15.75" customHeight="1" x14ac:dyDescent="0.2">
      <c r="B472" s="2"/>
      <c r="C472" s="2"/>
      <c r="D472" s="2"/>
      <c r="E472" s="2"/>
      <c r="F472" s="2"/>
      <c r="G472" s="28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2:46" ht="15.75" customHeight="1" x14ac:dyDescent="0.2">
      <c r="B473" s="2"/>
      <c r="C473" s="2"/>
      <c r="D473" s="2"/>
      <c r="E473" s="2"/>
      <c r="F473" s="2"/>
      <c r="G473" s="28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2:46" ht="15.75" customHeight="1" x14ac:dyDescent="0.2">
      <c r="B474" s="2"/>
      <c r="C474" s="2"/>
      <c r="D474" s="2"/>
      <c r="E474" s="2"/>
      <c r="F474" s="2"/>
      <c r="G474" s="28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2:46" ht="15.75" customHeight="1" x14ac:dyDescent="0.2">
      <c r="B475" s="2"/>
      <c r="C475" s="2"/>
      <c r="D475" s="2"/>
      <c r="E475" s="2"/>
      <c r="F475" s="2"/>
      <c r="G475" s="28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2:46" ht="15.75" customHeight="1" x14ac:dyDescent="0.2">
      <c r="B476" s="2"/>
      <c r="C476" s="2"/>
      <c r="D476" s="2"/>
      <c r="E476" s="2"/>
      <c r="F476" s="2"/>
      <c r="G476" s="28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2:46" ht="15.75" customHeight="1" x14ac:dyDescent="0.2">
      <c r="B477" s="2"/>
      <c r="C477" s="2"/>
      <c r="D477" s="2"/>
      <c r="E477" s="2"/>
      <c r="F477" s="2"/>
      <c r="G477" s="28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2:46" ht="15.75" customHeight="1" x14ac:dyDescent="0.2">
      <c r="B478" s="2"/>
      <c r="C478" s="2"/>
      <c r="D478" s="2"/>
      <c r="E478" s="2"/>
      <c r="F478" s="2"/>
      <c r="G478" s="28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2:46" ht="15.75" customHeight="1" x14ac:dyDescent="0.2">
      <c r="B479" s="2"/>
      <c r="C479" s="2"/>
      <c r="D479" s="2"/>
      <c r="E479" s="2"/>
      <c r="F479" s="2"/>
      <c r="G479" s="28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2:46" ht="15.75" customHeight="1" x14ac:dyDescent="0.2">
      <c r="B480" s="2"/>
      <c r="C480" s="2"/>
      <c r="D480" s="2"/>
      <c r="E480" s="2"/>
      <c r="F480" s="2"/>
      <c r="G480" s="28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2:46" ht="15.75" customHeight="1" x14ac:dyDescent="0.2">
      <c r="B481" s="2"/>
      <c r="C481" s="2"/>
      <c r="D481" s="2"/>
      <c r="E481" s="2"/>
      <c r="F481" s="2"/>
      <c r="G481" s="28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2:46" ht="15.75" customHeight="1" x14ac:dyDescent="0.2">
      <c r="B482" s="2"/>
      <c r="C482" s="2"/>
      <c r="D482" s="2"/>
      <c r="E482" s="2"/>
      <c r="F482" s="2"/>
      <c r="G482" s="28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2:46" ht="15.75" customHeight="1" x14ac:dyDescent="0.2">
      <c r="B483" s="2"/>
      <c r="C483" s="2"/>
      <c r="D483" s="2"/>
      <c r="E483" s="2"/>
      <c r="F483" s="2"/>
      <c r="G483" s="28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2:46" ht="15.75" customHeight="1" x14ac:dyDescent="0.2">
      <c r="B484" s="2"/>
      <c r="C484" s="2"/>
      <c r="D484" s="2"/>
      <c r="E484" s="2"/>
      <c r="F484" s="2"/>
      <c r="G484" s="28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2:46" ht="15.75" customHeight="1" x14ac:dyDescent="0.2">
      <c r="B485" s="2"/>
      <c r="C485" s="2"/>
      <c r="D485" s="2"/>
      <c r="E485" s="2"/>
      <c r="F485" s="2"/>
      <c r="G485" s="28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2:46" ht="15.75" customHeight="1" x14ac:dyDescent="0.2">
      <c r="B486" s="2"/>
      <c r="C486" s="2"/>
      <c r="D486" s="2"/>
      <c r="E486" s="2"/>
      <c r="F486" s="2"/>
      <c r="G486" s="28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2:46" ht="15.75" customHeight="1" x14ac:dyDescent="0.2">
      <c r="B487" s="2"/>
      <c r="C487" s="2"/>
      <c r="D487" s="2"/>
      <c r="E487" s="2"/>
      <c r="F487" s="2"/>
      <c r="G487" s="28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2:46" ht="15.75" customHeight="1" x14ac:dyDescent="0.2">
      <c r="B488" s="2"/>
      <c r="C488" s="2"/>
      <c r="D488" s="2"/>
      <c r="E488" s="2"/>
      <c r="F488" s="2"/>
      <c r="G488" s="28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2:46" ht="15.75" customHeight="1" x14ac:dyDescent="0.2">
      <c r="B489" s="2"/>
      <c r="C489" s="2"/>
      <c r="D489" s="2"/>
      <c r="E489" s="2"/>
      <c r="F489" s="2"/>
      <c r="G489" s="28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2:46" ht="15.75" customHeight="1" x14ac:dyDescent="0.2">
      <c r="B490" s="2"/>
      <c r="C490" s="2"/>
      <c r="D490" s="2"/>
      <c r="E490" s="2"/>
      <c r="F490" s="2"/>
      <c r="G490" s="28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2:46" ht="15.75" customHeight="1" x14ac:dyDescent="0.2">
      <c r="B491" s="2"/>
      <c r="C491" s="2"/>
      <c r="D491" s="2"/>
      <c r="E491" s="2"/>
      <c r="F491" s="2"/>
      <c r="G491" s="28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spans="2:46" ht="15.75" customHeight="1" x14ac:dyDescent="0.2">
      <c r="B492" s="2"/>
      <c r="C492" s="2"/>
      <c r="D492" s="2"/>
      <c r="E492" s="2"/>
      <c r="F492" s="2"/>
      <c r="G492" s="28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spans="2:46" ht="15.75" customHeight="1" x14ac:dyDescent="0.2">
      <c r="B493" s="2"/>
      <c r="C493" s="2"/>
      <c r="D493" s="2"/>
      <c r="E493" s="2"/>
      <c r="F493" s="2"/>
      <c r="G493" s="28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spans="2:46" ht="15.75" customHeight="1" x14ac:dyDescent="0.2">
      <c r="B494" s="2"/>
      <c r="C494" s="2"/>
      <c r="D494" s="2"/>
      <c r="E494" s="2"/>
      <c r="F494" s="2"/>
      <c r="G494" s="28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spans="2:46" ht="15.75" customHeight="1" x14ac:dyDescent="0.2">
      <c r="B495" s="2"/>
      <c r="C495" s="2"/>
      <c r="D495" s="2"/>
      <c r="E495" s="2"/>
      <c r="F495" s="2"/>
      <c r="G495" s="28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spans="2:46" ht="15.75" customHeight="1" x14ac:dyDescent="0.2">
      <c r="B496" s="2"/>
      <c r="C496" s="2"/>
      <c r="D496" s="2"/>
      <c r="E496" s="2"/>
      <c r="F496" s="2"/>
      <c r="G496" s="28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spans="2:46" ht="15.75" customHeight="1" x14ac:dyDescent="0.2">
      <c r="B497" s="2"/>
      <c r="C497" s="2"/>
      <c r="D497" s="2"/>
      <c r="E497" s="2"/>
      <c r="F497" s="2"/>
      <c r="G497" s="28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spans="2:46" ht="15.75" customHeight="1" x14ac:dyDescent="0.2">
      <c r="B498" s="2"/>
      <c r="C498" s="2"/>
      <c r="D498" s="2"/>
      <c r="E498" s="2"/>
      <c r="F498" s="2"/>
      <c r="G498" s="28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spans="2:46" ht="15.75" customHeight="1" x14ac:dyDescent="0.2">
      <c r="B499" s="2"/>
      <c r="C499" s="2"/>
      <c r="D499" s="2"/>
      <c r="E499" s="2"/>
      <c r="F499" s="2"/>
      <c r="G499" s="28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spans="2:46" ht="15.75" customHeight="1" x14ac:dyDescent="0.2">
      <c r="B500" s="2"/>
      <c r="C500" s="2"/>
      <c r="D500" s="2"/>
      <c r="E500" s="2"/>
      <c r="F500" s="2"/>
      <c r="G500" s="28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spans="2:46" ht="15.75" customHeight="1" x14ac:dyDescent="0.2">
      <c r="B501" s="2"/>
      <c r="C501" s="2"/>
      <c r="D501" s="2"/>
      <c r="E501" s="2"/>
      <c r="F501" s="2"/>
      <c r="G501" s="28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spans="2:46" ht="15.75" customHeight="1" x14ac:dyDescent="0.2">
      <c r="B502" s="2"/>
      <c r="C502" s="2"/>
      <c r="D502" s="2"/>
      <c r="E502" s="2"/>
      <c r="F502" s="2"/>
      <c r="G502" s="28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spans="2:46" ht="15.75" customHeight="1" x14ac:dyDescent="0.2">
      <c r="B503" s="2"/>
      <c r="C503" s="2"/>
      <c r="D503" s="2"/>
      <c r="E503" s="2"/>
      <c r="F503" s="2"/>
      <c r="G503" s="28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spans="2:46" ht="15.75" customHeight="1" x14ac:dyDescent="0.2">
      <c r="B504" s="2"/>
      <c r="C504" s="2"/>
      <c r="D504" s="2"/>
      <c r="E504" s="2"/>
      <c r="F504" s="2"/>
      <c r="G504" s="28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spans="2:46" ht="15.75" customHeight="1" x14ac:dyDescent="0.2">
      <c r="B505" s="2"/>
      <c r="C505" s="2"/>
      <c r="D505" s="2"/>
      <c r="E505" s="2"/>
      <c r="F505" s="2"/>
      <c r="G505" s="28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spans="2:46" ht="15.75" customHeight="1" x14ac:dyDescent="0.2">
      <c r="B506" s="2"/>
      <c r="C506" s="2"/>
      <c r="D506" s="2"/>
      <c r="E506" s="2"/>
      <c r="F506" s="2"/>
      <c r="G506" s="28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spans="2:46" ht="15.75" customHeight="1" x14ac:dyDescent="0.2">
      <c r="B507" s="2"/>
      <c r="C507" s="2"/>
      <c r="D507" s="2"/>
      <c r="E507" s="2"/>
      <c r="F507" s="2"/>
      <c r="G507" s="28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spans="2:46" ht="15.75" customHeight="1" x14ac:dyDescent="0.2">
      <c r="B508" s="2"/>
      <c r="C508" s="2"/>
      <c r="D508" s="2"/>
      <c r="E508" s="2"/>
      <c r="F508" s="2"/>
      <c r="G508" s="28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spans="2:46" ht="15.75" customHeight="1" x14ac:dyDescent="0.2">
      <c r="B509" s="2"/>
      <c r="C509" s="2"/>
      <c r="D509" s="2"/>
      <c r="E509" s="2"/>
      <c r="F509" s="2"/>
      <c r="G509" s="28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spans="2:46" ht="15.75" customHeight="1" x14ac:dyDescent="0.2">
      <c r="B510" s="2"/>
      <c r="C510" s="2"/>
      <c r="D510" s="2"/>
      <c r="E510" s="2"/>
      <c r="F510" s="2"/>
      <c r="G510" s="28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spans="2:46" ht="15.75" customHeight="1" x14ac:dyDescent="0.2">
      <c r="B511" s="2"/>
      <c r="C511" s="2"/>
      <c r="D511" s="2"/>
      <c r="E511" s="2"/>
      <c r="F511" s="2"/>
      <c r="G511" s="28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spans="2:46" ht="15.75" customHeight="1" x14ac:dyDescent="0.2">
      <c r="B512" s="2"/>
      <c r="C512" s="2"/>
      <c r="D512" s="2"/>
      <c r="E512" s="2"/>
      <c r="F512" s="2"/>
      <c r="G512" s="28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spans="2:46" ht="15.75" customHeight="1" x14ac:dyDescent="0.2">
      <c r="B513" s="2"/>
      <c r="C513" s="2"/>
      <c r="D513" s="2"/>
      <c r="E513" s="2"/>
      <c r="F513" s="2"/>
      <c r="G513" s="28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spans="2:46" ht="15.75" customHeight="1" x14ac:dyDescent="0.2">
      <c r="B514" s="2"/>
      <c r="C514" s="2"/>
      <c r="D514" s="2"/>
      <c r="E514" s="2"/>
      <c r="F514" s="2"/>
      <c r="G514" s="28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spans="2:46" ht="15.75" customHeight="1" x14ac:dyDescent="0.2">
      <c r="B515" s="2"/>
      <c r="C515" s="2"/>
      <c r="D515" s="2"/>
      <c r="E515" s="2"/>
      <c r="F515" s="2"/>
      <c r="G515" s="28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spans="2:46" ht="15.75" customHeight="1" x14ac:dyDescent="0.2">
      <c r="B516" s="2"/>
      <c r="C516" s="2"/>
      <c r="D516" s="2"/>
      <c r="E516" s="2"/>
      <c r="F516" s="2"/>
      <c r="G516" s="28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spans="2:46" ht="15.75" customHeight="1" x14ac:dyDescent="0.2">
      <c r="B517" s="2"/>
      <c r="C517" s="2"/>
      <c r="D517" s="2"/>
      <c r="E517" s="2"/>
      <c r="F517" s="2"/>
      <c r="G517" s="28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spans="2:46" ht="15.75" customHeight="1" x14ac:dyDescent="0.2">
      <c r="B518" s="2"/>
      <c r="C518" s="2"/>
      <c r="D518" s="2"/>
      <c r="E518" s="2"/>
      <c r="F518" s="2"/>
      <c r="G518" s="28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spans="2:46" ht="15.75" customHeight="1" x14ac:dyDescent="0.2">
      <c r="B519" s="2"/>
      <c r="C519" s="2"/>
      <c r="D519" s="2"/>
      <c r="E519" s="2"/>
      <c r="F519" s="2"/>
      <c r="G519" s="28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spans="2:46" ht="15.75" customHeight="1" x14ac:dyDescent="0.2">
      <c r="B520" s="2"/>
      <c r="C520" s="2"/>
      <c r="D520" s="2"/>
      <c r="E520" s="2"/>
      <c r="F520" s="2"/>
      <c r="G520" s="28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spans="2:46" ht="15.75" customHeight="1" x14ac:dyDescent="0.2">
      <c r="B521" s="2"/>
      <c r="C521" s="2"/>
      <c r="D521" s="2"/>
      <c r="E521" s="2"/>
      <c r="F521" s="2"/>
      <c r="G521" s="28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spans="2:46" ht="15.75" customHeight="1" x14ac:dyDescent="0.2">
      <c r="B522" s="2"/>
      <c r="C522" s="2"/>
      <c r="D522" s="2"/>
      <c r="E522" s="2"/>
      <c r="F522" s="2"/>
      <c r="G522" s="28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spans="2:46" ht="15.75" customHeight="1" x14ac:dyDescent="0.2">
      <c r="B523" s="2"/>
      <c r="C523" s="2"/>
      <c r="D523" s="2"/>
      <c r="E523" s="2"/>
      <c r="F523" s="2"/>
      <c r="G523" s="28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spans="2:46" ht="15.75" customHeight="1" x14ac:dyDescent="0.2">
      <c r="B524" s="2"/>
      <c r="C524" s="2"/>
      <c r="D524" s="2"/>
      <c r="E524" s="2"/>
      <c r="F524" s="2"/>
      <c r="G524" s="28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spans="2:46" ht="15.75" customHeight="1" x14ac:dyDescent="0.2">
      <c r="B525" s="2"/>
      <c r="C525" s="2"/>
      <c r="D525" s="2"/>
      <c r="E525" s="2"/>
      <c r="F525" s="2"/>
      <c r="G525" s="28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spans="2:46" ht="15.75" customHeight="1" x14ac:dyDescent="0.2">
      <c r="B526" s="2"/>
      <c r="C526" s="2"/>
      <c r="D526" s="2"/>
      <c r="E526" s="2"/>
      <c r="F526" s="2"/>
      <c r="G526" s="28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spans="2:46" ht="15.75" customHeight="1" x14ac:dyDescent="0.2">
      <c r="B527" s="2"/>
      <c r="C527" s="2"/>
      <c r="D527" s="2"/>
      <c r="E527" s="2"/>
      <c r="F527" s="2"/>
      <c r="G527" s="28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spans="2:46" ht="15.75" customHeight="1" x14ac:dyDescent="0.2">
      <c r="B528" s="2"/>
      <c r="C528" s="2"/>
      <c r="D528" s="2"/>
      <c r="E528" s="2"/>
      <c r="F528" s="2"/>
      <c r="G528" s="28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spans="2:46" ht="15.75" customHeight="1" x14ac:dyDescent="0.2">
      <c r="B529" s="2"/>
      <c r="C529" s="2"/>
      <c r="D529" s="2"/>
      <c r="E529" s="2"/>
      <c r="F529" s="2"/>
      <c r="G529" s="28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spans="2:46" ht="15.75" customHeight="1" x14ac:dyDescent="0.2">
      <c r="B530" s="2"/>
      <c r="C530" s="2"/>
      <c r="D530" s="2"/>
      <c r="E530" s="2"/>
      <c r="F530" s="2"/>
      <c r="G530" s="28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spans="2:46" ht="15.75" customHeight="1" x14ac:dyDescent="0.2">
      <c r="B531" s="2"/>
      <c r="C531" s="2"/>
      <c r="D531" s="2"/>
      <c r="E531" s="2"/>
      <c r="F531" s="2"/>
      <c r="G531" s="28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spans="2:46" ht="15.75" customHeight="1" x14ac:dyDescent="0.2">
      <c r="B532" s="2"/>
      <c r="C532" s="2"/>
      <c r="D532" s="2"/>
      <c r="E532" s="2"/>
      <c r="F532" s="2"/>
      <c r="G532" s="28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spans="2:46" ht="15.75" customHeight="1" x14ac:dyDescent="0.2">
      <c r="B533" s="2"/>
      <c r="C533" s="2"/>
      <c r="D533" s="2"/>
      <c r="E533" s="2"/>
      <c r="F533" s="2"/>
      <c r="G533" s="28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spans="2:46" ht="15.75" customHeight="1" x14ac:dyDescent="0.2">
      <c r="B534" s="2"/>
      <c r="C534" s="2"/>
      <c r="D534" s="2"/>
      <c r="E534" s="2"/>
      <c r="F534" s="2"/>
      <c r="G534" s="28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spans="2:46" ht="15.75" customHeight="1" x14ac:dyDescent="0.2">
      <c r="B535" s="2"/>
      <c r="C535" s="2"/>
      <c r="D535" s="2"/>
      <c r="E535" s="2"/>
      <c r="F535" s="2"/>
      <c r="G535" s="28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spans="2:46" ht="15.75" customHeight="1" x14ac:dyDescent="0.2">
      <c r="B536" s="2"/>
      <c r="C536" s="2"/>
      <c r="D536" s="2"/>
      <c r="E536" s="2"/>
      <c r="F536" s="2"/>
      <c r="G536" s="28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spans="2:46" ht="15.75" customHeight="1" x14ac:dyDescent="0.2">
      <c r="B537" s="2"/>
      <c r="C537" s="2"/>
      <c r="D537" s="2"/>
      <c r="E537" s="2"/>
      <c r="F537" s="2"/>
      <c r="G537" s="28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spans="2:46" ht="15.75" customHeight="1" x14ac:dyDescent="0.2">
      <c r="B538" s="2"/>
      <c r="C538" s="2"/>
      <c r="D538" s="2"/>
      <c r="E538" s="2"/>
      <c r="F538" s="2"/>
      <c r="G538" s="28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spans="2:46" ht="15.75" customHeight="1" x14ac:dyDescent="0.2">
      <c r="B539" s="2"/>
      <c r="C539" s="2"/>
      <c r="D539" s="2"/>
      <c r="E539" s="2"/>
      <c r="F539" s="2"/>
      <c r="G539" s="28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spans="2:46" ht="15.75" customHeight="1" x14ac:dyDescent="0.2">
      <c r="B540" s="2"/>
      <c r="C540" s="2"/>
      <c r="D540" s="2"/>
      <c r="E540" s="2"/>
      <c r="F540" s="2"/>
      <c r="G540" s="28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spans="2:46" ht="15.75" customHeight="1" x14ac:dyDescent="0.2">
      <c r="B541" s="2"/>
      <c r="C541" s="2"/>
      <c r="D541" s="2"/>
      <c r="E541" s="2"/>
      <c r="F541" s="2"/>
      <c r="G541" s="28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spans="2:46" ht="15.75" customHeight="1" x14ac:dyDescent="0.2">
      <c r="B542" s="2"/>
      <c r="C542" s="2"/>
      <c r="D542" s="2"/>
      <c r="E542" s="2"/>
      <c r="F542" s="2"/>
      <c r="G542" s="28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spans="2:46" ht="15.75" customHeight="1" x14ac:dyDescent="0.2">
      <c r="B543" s="2"/>
      <c r="C543" s="2"/>
      <c r="D543" s="2"/>
      <c r="E543" s="2"/>
      <c r="F543" s="2"/>
      <c r="G543" s="28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spans="2:46" ht="15.75" customHeight="1" x14ac:dyDescent="0.2">
      <c r="B544" s="2"/>
      <c r="C544" s="2"/>
      <c r="D544" s="2"/>
      <c r="E544" s="2"/>
      <c r="F544" s="2"/>
      <c r="G544" s="28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spans="2:46" ht="15.75" customHeight="1" x14ac:dyDescent="0.2">
      <c r="B545" s="2"/>
      <c r="C545" s="2"/>
      <c r="D545" s="2"/>
      <c r="E545" s="2"/>
      <c r="F545" s="2"/>
      <c r="G545" s="28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spans="2:46" ht="15.75" customHeight="1" x14ac:dyDescent="0.2">
      <c r="B546" s="2"/>
      <c r="C546" s="2"/>
      <c r="D546" s="2"/>
      <c r="E546" s="2"/>
      <c r="F546" s="2"/>
      <c r="G546" s="28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spans="2:46" ht="15.75" customHeight="1" x14ac:dyDescent="0.2">
      <c r="B547" s="2"/>
      <c r="C547" s="2"/>
      <c r="D547" s="2"/>
      <c r="E547" s="2"/>
      <c r="F547" s="2"/>
      <c r="G547" s="28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spans="2:46" ht="15.75" customHeight="1" x14ac:dyDescent="0.2">
      <c r="B548" s="2"/>
      <c r="C548" s="2"/>
      <c r="D548" s="2"/>
      <c r="E548" s="2"/>
      <c r="F548" s="2"/>
      <c r="G548" s="28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spans="2:46" ht="15.75" customHeight="1" x14ac:dyDescent="0.2">
      <c r="B549" s="2"/>
      <c r="C549" s="2"/>
      <c r="D549" s="2"/>
      <c r="E549" s="2"/>
      <c r="F549" s="2"/>
      <c r="G549" s="28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spans="2:46" ht="15.75" customHeight="1" x14ac:dyDescent="0.2">
      <c r="B550" s="2"/>
      <c r="C550" s="2"/>
      <c r="D550" s="2"/>
      <c r="E550" s="2"/>
      <c r="F550" s="2"/>
      <c r="G550" s="28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2:46" ht="15.75" customHeight="1" x14ac:dyDescent="0.2">
      <c r="B551" s="2"/>
      <c r="C551" s="2"/>
      <c r="D551" s="2"/>
      <c r="E551" s="2"/>
      <c r="F551" s="2"/>
      <c r="G551" s="28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spans="2:46" ht="15.75" customHeight="1" x14ac:dyDescent="0.2">
      <c r="B552" s="2"/>
      <c r="C552" s="2"/>
      <c r="D552" s="2"/>
      <c r="E552" s="2"/>
      <c r="F552" s="2"/>
      <c r="G552" s="28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spans="2:46" ht="15.75" customHeight="1" x14ac:dyDescent="0.2">
      <c r="B553" s="2"/>
      <c r="C553" s="2"/>
      <c r="D553" s="2"/>
      <c r="E553" s="2"/>
      <c r="F553" s="2"/>
      <c r="G553" s="28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2:46" ht="15.75" customHeight="1" x14ac:dyDescent="0.2">
      <c r="B554" s="2"/>
      <c r="C554" s="2"/>
      <c r="D554" s="2"/>
      <c r="E554" s="2"/>
      <c r="F554" s="2"/>
      <c r="G554" s="28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spans="2:46" ht="15.75" customHeight="1" x14ac:dyDescent="0.2">
      <c r="B555" s="2"/>
      <c r="C555" s="2"/>
      <c r="D555" s="2"/>
      <c r="E555" s="2"/>
      <c r="F555" s="2"/>
      <c r="G555" s="28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spans="2:46" ht="15.75" customHeight="1" x14ac:dyDescent="0.2">
      <c r="B556" s="2"/>
      <c r="C556" s="2"/>
      <c r="D556" s="2"/>
      <c r="E556" s="2"/>
      <c r="F556" s="2"/>
      <c r="G556" s="28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2:46" ht="15.75" customHeight="1" x14ac:dyDescent="0.2">
      <c r="B557" s="2"/>
      <c r="C557" s="2"/>
      <c r="D557" s="2"/>
      <c r="E557" s="2"/>
      <c r="F557" s="2"/>
      <c r="G557" s="28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spans="2:46" ht="15.75" customHeight="1" x14ac:dyDescent="0.2">
      <c r="B558" s="2"/>
      <c r="C558" s="2"/>
      <c r="D558" s="2"/>
      <c r="E558" s="2"/>
      <c r="F558" s="2"/>
      <c r="G558" s="28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spans="2:46" ht="15.75" customHeight="1" x14ac:dyDescent="0.2">
      <c r="B559" s="2"/>
      <c r="C559" s="2"/>
      <c r="D559" s="2"/>
      <c r="E559" s="2"/>
      <c r="F559" s="2"/>
      <c r="G559" s="28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2:46" ht="15.75" customHeight="1" x14ac:dyDescent="0.2">
      <c r="B560" s="2"/>
      <c r="C560" s="2"/>
      <c r="D560" s="2"/>
      <c r="E560" s="2"/>
      <c r="F560" s="2"/>
      <c r="G560" s="28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spans="2:46" ht="15.75" customHeight="1" x14ac:dyDescent="0.2">
      <c r="B561" s="2"/>
      <c r="C561" s="2"/>
      <c r="D561" s="2"/>
      <c r="E561" s="2"/>
      <c r="F561" s="2"/>
      <c r="G561" s="28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spans="2:46" ht="15.75" customHeight="1" x14ac:dyDescent="0.2">
      <c r="B562" s="2"/>
      <c r="C562" s="2"/>
      <c r="D562" s="2"/>
      <c r="E562" s="2"/>
      <c r="F562" s="2"/>
      <c r="G562" s="28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spans="2:46" ht="15.75" customHeight="1" x14ac:dyDescent="0.2">
      <c r="B563" s="2"/>
      <c r="C563" s="2"/>
      <c r="D563" s="2"/>
      <c r="E563" s="2"/>
      <c r="F563" s="2"/>
      <c r="G563" s="28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spans="2:46" ht="15.75" customHeight="1" x14ac:dyDescent="0.2">
      <c r="B564" s="2"/>
      <c r="C564" s="2"/>
      <c r="D564" s="2"/>
      <c r="E564" s="2"/>
      <c r="F564" s="2"/>
      <c r="G564" s="28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spans="2:46" ht="15.75" customHeight="1" x14ac:dyDescent="0.2">
      <c r="B565" s="2"/>
      <c r="C565" s="2"/>
      <c r="D565" s="2"/>
      <c r="E565" s="2"/>
      <c r="F565" s="2"/>
      <c r="G565" s="28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spans="2:46" ht="15.75" customHeight="1" x14ac:dyDescent="0.2">
      <c r="B566" s="2"/>
      <c r="C566" s="2"/>
      <c r="D566" s="2"/>
      <c r="E566" s="2"/>
      <c r="F566" s="2"/>
      <c r="G566" s="28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spans="2:46" ht="15.75" customHeight="1" x14ac:dyDescent="0.2">
      <c r="B567" s="2"/>
      <c r="C567" s="2"/>
      <c r="D567" s="2"/>
      <c r="E567" s="2"/>
      <c r="F567" s="2"/>
      <c r="G567" s="28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spans="2:46" ht="15.75" customHeight="1" x14ac:dyDescent="0.2">
      <c r="B568" s="2"/>
      <c r="C568" s="2"/>
      <c r="D568" s="2"/>
      <c r="E568" s="2"/>
      <c r="F568" s="2"/>
      <c r="G568" s="28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spans="2:46" ht="15.75" customHeight="1" x14ac:dyDescent="0.2">
      <c r="B569" s="2"/>
      <c r="C569" s="2"/>
      <c r="D569" s="2"/>
      <c r="E569" s="2"/>
      <c r="F569" s="2"/>
      <c r="G569" s="28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spans="2:46" ht="15.75" customHeight="1" x14ac:dyDescent="0.2">
      <c r="B570" s="2"/>
      <c r="C570" s="2"/>
      <c r="D570" s="2"/>
      <c r="E570" s="2"/>
      <c r="F570" s="2"/>
      <c r="G570" s="28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spans="2:46" ht="15.75" customHeight="1" x14ac:dyDescent="0.2">
      <c r="B571" s="2"/>
      <c r="C571" s="2"/>
      <c r="D571" s="2"/>
      <c r="E571" s="2"/>
      <c r="F571" s="2"/>
      <c r="G571" s="28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spans="2:46" ht="15.75" customHeight="1" x14ac:dyDescent="0.2">
      <c r="B572" s="2"/>
      <c r="C572" s="2"/>
      <c r="D572" s="2"/>
      <c r="E572" s="2"/>
      <c r="F572" s="2"/>
      <c r="G572" s="28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spans="2:46" ht="15.75" customHeight="1" x14ac:dyDescent="0.2">
      <c r="B573" s="2"/>
      <c r="C573" s="2"/>
      <c r="D573" s="2"/>
      <c r="E573" s="2"/>
      <c r="F573" s="2"/>
      <c r="G573" s="28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spans="2:46" ht="15.75" customHeight="1" x14ac:dyDescent="0.2">
      <c r="B574" s="2"/>
      <c r="C574" s="2"/>
      <c r="D574" s="2"/>
      <c r="E574" s="2"/>
      <c r="F574" s="2"/>
      <c r="G574" s="28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spans="2:46" ht="15.75" customHeight="1" x14ac:dyDescent="0.2">
      <c r="B575" s="2"/>
      <c r="C575" s="2"/>
      <c r="D575" s="2"/>
      <c r="E575" s="2"/>
      <c r="F575" s="2"/>
      <c r="G575" s="28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spans="2:46" ht="15.75" customHeight="1" x14ac:dyDescent="0.2">
      <c r="B576" s="2"/>
      <c r="C576" s="2"/>
      <c r="D576" s="2"/>
      <c r="E576" s="2"/>
      <c r="F576" s="2"/>
      <c r="G576" s="28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spans="2:46" ht="15.75" customHeight="1" x14ac:dyDescent="0.2">
      <c r="B577" s="2"/>
      <c r="C577" s="2"/>
      <c r="D577" s="2"/>
      <c r="E577" s="2"/>
      <c r="F577" s="2"/>
      <c r="G577" s="28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spans="2:46" ht="15.75" customHeight="1" x14ac:dyDescent="0.2">
      <c r="B578" s="2"/>
      <c r="C578" s="2"/>
      <c r="D578" s="2"/>
      <c r="E578" s="2"/>
      <c r="F578" s="2"/>
      <c r="G578" s="28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spans="2:46" ht="15.75" customHeight="1" x14ac:dyDescent="0.2">
      <c r="B579" s="2"/>
      <c r="C579" s="2"/>
      <c r="D579" s="2"/>
      <c r="E579" s="2"/>
      <c r="F579" s="2"/>
      <c r="G579" s="28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spans="2:46" ht="15.75" customHeight="1" x14ac:dyDescent="0.2">
      <c r="B580" s="2"/>
      <c r="C580" s="2"/>
      <c r="D580" s="2"/>
      <c r="E580" s="2"/>
      <c r="F580" s="2"/>
      <c r="G580" s="28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spans="2:46" ht="15.75" customHeight="1" x14ac:dyDescent="0.2">
      <c r="B581" s="2"/>
      <c r="C581" s="2"/>
      <c r="D581" s="2"/>
      <c r="E581" s="2"/>
      <c r="F581" s="2"/>
      <c r="G581" s="28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spans="2:46" ht="15.75" customHeight="1" x14ac:dyDescent="0.2">
      <c r="B582" s="2"/>
      <c r="C582" s="2"/>
      <c r="D582" s="2"/>
      <c r="E582" s="2"/>
      <c r="F582" s="2"/>
      <c r="G582" s="28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spans="2:46" ht="15.75" customHeight="1" x14ac:dyDescent="0.2">
      <c r="B583" s="2"/>
      <c r="C583" s="2"/>
      <c r="D583" s="2"/>
      <c r="E583" s="2"/>
      <c r="F583" s="2"/>
      <c r="G583" s="28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spans="2:46" ht="15.75" customHeight="1" x14ac:dyDescent="0.2">
      <c r="B584" s="2"/>
      <c r="C584" s="2"/>
      <c r="D584" s="2"/>
      <c r="E584" s="2"/>
      <c r="F584" s="2"/>
      <c r="G584" s="28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spans="2:46" ht="15.75" customHeight="1" x14ac:dyDescent="0.2">
      <c r="B585" s="2"/>
      <c r="C585" s="2"/>
      <c r="D585" s="2"/>
      <c r="E585" s="2"/>
      <c r="F585" s="2"/>
      <c r="G585" s="28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spans="2:46" ht="15.75" customHeight="1" x14ac:dyDescent="0.2">
      <c r="B586" s="2"/>
      <c r="C586" s="2"/>
      <c r="D586" s="2"/>
      <c r="E586" s="2"/>
      <c r="F586" s="2"/>
      <c r="G586" s="28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spans="2:46" ht="15.75" customHeight="1" x14ac:dyDescent="0.2">
      <c r="B587" s="2"/>
      <c r="C587" s="2"/>
      <c r="D587" s="2"/>
      <c r="E587" s="2"/>
      <c r="F587" s="2"/>
      <c r="G587" s="28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spans="2:46" ht="15.75" customHeight="1" x14ac:dyDescent="0.2">
      <c r="B588" s="2"/>
      <c r="C588" s="2"/>
      <c r="D588" s="2"/>
      <c r="E588" s="2"/>
      <c r="F588" s="2"/>
      <c r="G588" s="28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spans="2:46" ht="15.75" customHeight="1" x14ac:dyDescent="0.2">
      <c r="B589" s="2"/>
      <c r="C589" s="2"/>
      <c r="D589" s="2"/>
      <c r="E589" s="2"/>
      <c r="F589" s="2"/>
      <c r="G589" s="28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spans="2:46" ht="15.75" customHeight="1" x14ac:dyDescent="0.2">
      <c r="B590" s="2"/>
      <c r="C590" s="2"/>
      <c r="D590" s="2"/>
      <c r="E590" s="2"/>
      <c r="F590" s="2"/>
      <c r="G590" s="28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spans="2:46" ht="15.75" customHeight="1" x14ac:dyDescent="0.2">
      <c r="B591" s="2"/>
      <c r="C591" s="2"/>
      <c r="D591" s="2"/>
      <c r="E591" s="2"/>
      <c r="F591" s="2"/>
      <c r="G591" s="28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spans="2:46" ht="15.75" customHeight="1" x14ac:dyDescent="0.2">
      <c r="B592" s="2"/>
      <c r="C592" s="2"/>
      <c r="D592" s="2"/>
      <c r="E592" s="2"/>
      <c r="F592" s="2"/>
      <c r="G592" s="28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spans="2:46" ht="15.75" customHeight="1" x14ac:dyDescent="0.2">
      <c r="B593" s="2"/>
      <c r="C593" s="2"/>
      <c r="D593" s="2"/>
      <c r="E593" s="2"/>
      <c r="F593" s="2"/>
      <c r="G593" s="28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spans="2:46" ht="15.75" customHeight="1" x14ac:dyDescent="0.2">
      <c r="B594" s="2"/>
      <c r="C594" s="2"/>
      <c r="D594" s="2"/>
      <c r="E594" s="2"/>
      <c r="F594" s="2"/>
      <c r="G594" s="28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spans="2:46" ht="15.75" customHeight="1" x14ac:dyDescent="0.2">
      <c r="B595" s="2"/>
      <c r="C595" s="2"/>
      <c r="D595" s="2"/>
      <c r="E595" s="2"/>
      <c r="F595" s="2"/>
      <c r="G595" s="28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spans="2:46" ht="15.75" customHeight="1" x14ac:dyDescent="0.2">
      <c r="B596" s="2"/>
      <c r="C596" s="2"/>
      <c r="D596" s="2"/>
      <c r="E596" s="2"/>
      <c r="F596" s="2"/>
      <c r="G596" s="28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spans="2:46" ht="15.75" customHeight="1" x14ac:dyDescent="0.2">
      <c r="B597" s="2"/>
      <c r="C597" s="2"/>
      <c r="D597" s="2"/>
      <c r="E597" s="2"/>
      <c r="F597" s="2"/>
      <c r="G597" s="28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spans="2:46" ht="15.75" customHeight="1" x14ac:dyDescent="0.2">
      <c r="B598" s="2"/>
      <c r="C598" s="2"/>
      <c r="D598" s="2"/>
      <c r="E598" s="2"/>
      <c r="F598" s="2"/>
      <c r="G598" s="28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spans="2:46" ht="15.75" customHeight="1" x14ac:dyDescent="0.2">
      <c r="B599" s="2"/>
      <c r="C599" s="2"/>
      <c r="D599" s="2"/>
      <c r="E599" s="2"/>
      <c r="F599" s="2"/>
      <c r="G599" s="28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spans="2:46" ht="15.75" customHeight="1" x14ac:dyDescent="0.2">
      <c r="B600" s="2"/>
      <c r="C600" s="2"/>
      <c r="D600" s="2"/>
      <c r="E600" s="2"/>
      <c r="F600" s="2"/>
      <c r="G600" s="28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spans="2:46" ht="15.75" customHeight="1" x14ac:dyDescent="0.2">
      <c r="B601" s="2"/>
      <c r="C601" s="2"/>
      <c r="D601" s="2"/>
      <c r="E601" s="2"/>
      <c r="F601" s="2"/>
      <c r="G601" s="28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spans="2:46" ht="15.75" customHeight="1" x14ac:dyDescent="0.2">
      <c r="B602" s="2"/>
      <c r="C602" s="2"/>
      <c r="D602" s="2"/>
      <c r="E602" s="2"/>
      <c r="F602" s="2"/>
      <c r="G602" s="28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spans="2:46" ht="15.75" customHeight="1" x14ac:dyDescent="0.2">
      <c r="B603" s="2"/>
      <c r="C603" s="2"/>
      <c r="D603" s="2"/>
      <c r="E603" s="2"/>
      <c r="F603" s="2"/>
      <c r="G603" s="28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spans="2:46" ht="15.75" customHeight="1" x14ac:dyDescent="0.2">
      <c r="B604" s="2"/>
      <c r="C604" s="2"/>
      <c r="D604" s="2"/>
      <c r="E604" s="2"/>
      <c r="F604" s="2"/>
      <c r="G604" s="28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spans="2:46" ht="15.75" customHeight="1" x14ac:dyDescent="0.2">
      <c r="B605" s="2"/>
      <c r="C605" s="2"/>
      <c r="D605" s="2"/>
      <c r="E605" s="2"/>
      <c r="F605" s="2"/>
      <c r="G605" s="28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spans="2:46" ht="15.75" customHeight="1" x14ac:dyDescent="0.2">
      <c r="B606" s="2"/>
      <c r="C606" s="2"/>
      <c r="D606" s="2"/>
      <c r="E606" s="2"/>
      <c r="F606" s="2"/>
      <c r="G606" s="28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spans="2:46" ht="15.75" customHeight="1" x14ac:dyDescent="0.2">
      <c r="B607" s="2"/>
      <c r="C607" s="2"/>
      <c r="D607" s="2"/>
      <c r="E607" s="2"/>
      <c r="F607" s="2"/>
      <c r="G607" s="28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spans="2:46" ht="15.75" customHeight="1" x14ac:dyDescent="0.2">
      <c r="B608" s="2"/>
      <c r="C608" s="2"/>
      <c r="D608" s="2"/>
      <c r="E608" s="2"/>
      <c r="F608" s="2"/>
      <c r="G608" s="28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spans="2:46" ht="15.75" customHeight="1" x14ac:dyDescent="0.2">
      <c r="B609" s="2"/>
      <c r="C609" s="2"/>
      <c r="D609" s="2"/>
      <c r="E609" s="2"/>
      <c r="F609" s="2"/>
      <c r="G609" s="28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spans="2:46" ht="15.75" customHeight="1" x14ac:dyDescent="0.2">
      <c r="B610" s="2"/>
      <c r="C610" s="2"/>
      <c r="D610" s="2"/>
      <c r="E610" s="2"/>
      <c r="F610" s="2"/>
      <c r="G610" s="28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spans="2:46" ht="15.75" customHeight="1" x14ac:dyDescent="0.2">
      <c r="B611" s="2"/>
      <c r="C611" s="2"/>
      <c r="D611" s="2"/>
      <c r="E611" s="2"/>
      <c r="F611" s="2"/>
      <c r="G611" s="28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spans="2:46" ht="15.75" customHeight="1" x14ac:dyDescent="0.2">
      <c r="B612" s="2"/>
      <c r="C612" s="2"/>
      <c r="D612" s="2"/>
      <c r="E612" s="2"/>
      <c r="F612" s="2"/>
      <c r="G612" s="28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spans="2:46" ht="15.75" customHeight="1" x14ac:dyDescent="0.2">
      <c r="B613" s="2"/>
      <c r="C613" s="2"/>
      <c r="D613" s="2"/>
      <c r="E613" s="2"/>
      <c r="F613" s="2"/>
      <c r="G613" s="28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spans="2:46" ht="15.75" customHeight="1" x14ac:dyDescent="0.2">
      <c r="B614" s="2"/>
      <c r="C614" s="2"/>
      <c r="D614" s="2"/>
      <c r="E614" s="2"/>
      <c r="F614" s="2"/>
      <c r="G614" s="28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spans="2:46" ht="15.75" customHeight="1" x14ac:dyDescent="0.2">
      <c r="B615" s="2"/>
      <c r="C615" s="2"/>
      <c r="D615" s="2"/>
      <c r="E615" s="2"/>
      <c r="F615" s="2"/>
      <c r="G615" s="28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spans="2:46" ht="15.75" customHeight="1" x14ac:dyDescent="0.2">
      <c r="B616" s="2"/>
      <c r="C616" s="2"/>
      <c r="D616" s="2"/>
      <c r="E616" s="2"/>
      <c r="F616" s="2"/>
      <c r="G616" s="28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spans="2:46" ht="15.75" customHeight="1" x14ac:dyDescent="0.2">
      <c r="B617" s="2"/>
      <c r="C617" s="2"/>
      <c r="D617" s="2"/>
      <c r="E617" s="2"/>
      <c r="F617" s="2"/>
      <c r="G617" s="28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</row>
    <row r="618" spans="2:46" ht="15.75" customHeight="1" x14ac:dyDescent="0.2">
      <c r="B618" s="2"/>
      <c r="C618" s="2"/>
      <c r="D618" s="2"/>
      <c r="E618" s="2"/>
      <c r="F618" s="2"/>
      <c r="G618" s="28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</row>
    <row r="619" spans="2:46" ht="15.75" customHeight="1" x14ac:dyDescent="0.2">
      <c r="B619" s="2"/>
      <c r="C619" s="2"/>
      <c r="D619" s="2"/>
      <c r="E619" s="2"/>
      <c r="F619" s="2"/>
      <c r="G619" s="28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</row>
    <row r="620" spans="2:46" ht="15.75" customHeight="1" x14ac:dyDescent="0.2">
      <c r="B620" s="2"/>
      <c r="C620" s="2"/>
      <c r="D620" s="2"/>
      <c r="E620" s="2"/>
      <c r="F620" s="2"/>
      <c r="G620" s="28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</row>
    <row r="621" spans="2:46" ht="15.75" customHeight="1" x14ac:dyDescent="0.2">
      <c r="B621" s="2"/>
      <c r="C621" s="2"/>
      <c r="D621" s="2"/>
      <c r="E621" s="2"/>
      <c r="F621" s="2"/>
      <c r="G621" s="28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</row>
    <row r="622" spans="2:46" ht="15.75" customHeight="1" x14ac:dyDescent="0.2">
      <c r="B622" s="2"/>
      <c r="C622" s="2"/>
      <c r="D622" s="2"/>
      <c r="E622" s="2"/>
      <c r="F622" s="2"/>
      <c r="G622" s="28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</row>
    <row r="623" spans="2:46" ht="15.75" customHeight="1" x14ac:dyDescent="0.2">
      <c r="B623" s="2"/>
      <c r="C623" s="2"/>
      <c r="D623" s="2"/>
      <c r="E623" s="2"/>
      <c r="F623" s="2"/>
      <c r="G623" s="28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</row>
    <row r="624" spans="2:46" ht="15.75" customHeight="1" x14ac:dyDescent="0.2">
      <c r="B624" s="2"/>
      <c r="C624" s="2"/>
      <c r="D624" s="2"/>
      <c r="E624" s="2"/>
      <c r="F624" s="2"/>
      <c r="G624" s="28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</row>
    <row r="625" spans="2:46" ht="15.75" customHeight="1" x14ac:dyDescent="0.2">
      <c r="B625" s="2"/>
      <c r="C625" s="2"/>
      <c r="D625" s="2"/>
      <c r="E625" s="2"/>
      <c r="F625" s="2"/>
      <c r="G625" s="28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</row>
    <row r="626" spans="2:46" ht="15.75" customHeight="1" x14ac:dyDescent="0.2">
      <c r="B626" s="2"/>
      <c r="C626" s="2"/>
      <c r="D626" s="2"/>
      <c r="E626" s="2"/>
      <c r="F626" s="2"/>
      <c r="G626" s="28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</row>
    <row r="627" spans="2:46" ht="15.75" customHeight="1" x14ac:dyDescent="0.2">
      <c r="B627" s="2"/>
      <c r="C627" s="2"/>
      <c r="D627" s="2"/>
      <c r="E627" s="2"/>
      <c r="F627" s="2"/>
      <c r="G627" s="28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</row>
    <row r="628" spans="2:46" ht="15.75" customHeight="1" x14ac:dyDescent="0.2">
      <c r="B628" s="2"/>
      <c r="C628" s="2"/>
      <c r="D628" s="2"/>
      <c r="E628" s="2"/>
      <c r="F628" s="2"/>
      <c r="G628" s="28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</row>
    <row r="629" spans="2:46" ht="15.75" customHeight="1" x14ac:dyDescent="0.2">
      <c r="B629" s="2"/>
      <c r="C629" s="2"/>
      <c r="D629" s="2"/>
      <c r="E629" s="2"/>
      <c r="F629" s="2"/>
      <c r="G629" s="28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</row>
    <row r="630" spans="2:46" ht="15.75" customHeight="1" x14ac:dyDescent="0.2">
      <c r="B630" s="2"/>
      <c r="C630" s="2"/>
      <c r="D630" s="2"/>
      <c r="E630" s="2"/>
      <c r="F630" s="2"/>
      <c r="G630" s="28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</row>
    <row r="631" spans="2:46" ht="15.75" customHeight="1" x14ac:dyDescent="0.2">
      <c r="B631" s="2"/>
      <c r="C631" s="2"/>
      <c r="D631" s="2"/>
      <c r="E631" s="2"/>
      <c r="F631" s="2"/>
      <c r="G631" s="28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</row>
    <row r="632" spans="2:46" ht="15.75" customHeight="1" x14ac:dyDescent="0.2">
      <c r="B632" s="2"/>
      <c r="C632" s="2"/>
      <c r="D632" s="2"/>
      <c r="E632" s="2"/>
      <c r="F632" s="2"/>
      <c r="G632" s="28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</row>
    <row r="633" spans="2:46" ht="15.75" customHeight="1" x14ac:dyDescent="0.2">
      <c r="B633" s="2"/>
      <c r="C633" s="2"/>
      <c r="D633" s="2"/>
      <c r="E633" s="2"/>
      <c r="F633" s="2"/>
      <c r="G633" s="28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</row>
    <row r="634" spans="2:46" ht="15.75" customHeight="1" x14ac:dyDescent="0.2">
      <c r="B634" s="2"/>
      <c r="C634" s="2"/>
      <c r="D634" s="2"/>
      <c r="E634" s="2"/>
      <c r="F634" s="2"/>
      <c r="G634" s="28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</row>
    <row r="635" spans="2:46" ht="15.75" customHeight="1" x14ac:dyDescent="0.2">
      <c r="B635" s="2"/>
      <c r="C635" s="2"/>
      <c r="D635" s="2"/>
      <c r="E635" s="2"/>
      <c r="F635" s="2"/>
      <c r="G635" s="28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</row>
    <row r="636" spans="2:46" ht="15.75" customHeight="1" x14ac:dyDescent="0.2">
      <c r="B636" s="2"/>
      <c r="C636" s="2"/>
      <c r="D636" s="2"/>
      <c r="E636" s="2"/>
      <c r="F636" s="2"/>
      <c r="G636" s="28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</row>
    <row r="637" spans="2:46" ht="15.75" customHeight="1" x14ac:dyDescent="0.2">
      <c r="B637" s="2"/>
      <c r="C637" s="2"/>
      <c r="D637" s="2"/>
      <c r="E637" s="2"/>
      <c r="F637" s="2"/>
      <c r="G637" s="28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</row>
    <row r="638" spans="2:46" ht="15.75" customHeight="1" x14ac:dyDescent="0.2">
      <c r="B638" s="2"/>
      <c r="C638" s="2"/>
      <c r="D638" s="2"/>
      <c r="E638" s="2"/>
      <c r="F638" s="2"/>
      <c r="G638" s="28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</row>
    <row r="639" spans="2:46" ht="15.75" customHeight="1" x14ac:dyDescent="0.2">
      <c r="B639" s="2"/>
      <c r="C639" s="2"/>
      <c r="D639" s="2"/>
      <c r="E639" s="2"/>
      <c r="F639" s="2"/>
      <c r="G639" s="28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</row>
    <row r="640" spans="2:46" ht="15.75" customHeight="1" x14ac:dyDescent="0.2">
      <c r="B640" s="2"/>
      <c r="C640" s="2"/>
      <c r="D640" s="2"/>
      <c r="E640" s="2"/>
      <c r="F640" s="2"/>
      <c r="G640" s="28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</row>
    <row r="641" spans="2:46" ht="15.75" customHeight="1" x14ac:dyDescent="0.2">
      <c r="B641" s="2"/>
      <c r="C641" s="2"/>
      <c r="D641" s="2"/>
      <c r="E641" s="2"/>
      <c r="F641" s="2"/>
      <c r="G641" s="28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</row>
    <row r="642" spans="2:46" ht="15.75" customHeight="1" x14ac:dyDescent="0.2">
      <c r="B642" s="2"/>
      <c r="C642" s="2"/>
      <c r="D642" s="2"/>
      <c r="E642" s="2"/>
      <c r="F642" s="2"/>
      <c r="G642" s="28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</row>
    <row r="643" spans="2:46" ht="15.75" customHeight="1" x14ac:dyDescent="0.2">
      <c r="B643" s="2"/>
      <c r="C643" s="2"/>
      <c r="D643" s="2"/>
      <c r="E643" s="2"/>
      <c r="F643" s="2"/>
      <c r="G643" s="28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</row>
    <row r="644" spans="2:46" ht="15.75" customHeight="1" x14ac:dyDescent="0.2">
      <c r="B644" s="2"/>
      <c r="C644" s="2"/>
      <c r="D644" s="2"/>
      <c r="E644" s="2"/>
      <c r="F644" s="2"/>
      <c r="G644" s="28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</row>
    <row r="645" spans="2:46" ht="15.75" customHeight="1" x14ac:dyDescent="0.2">
      <c r="B645" s="2"/>
      <c r="C645" s="2"/>
      <c r="D645" s="2"/>
      <c r="E645" s="2"/>
      <c r="F645" s="2"/>
      <c r="G645" s="28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</row>
    <row r="646" spans="2:46" ht="15.75" customHeight="1" x14ac:dyDescent="0.2">
      <c r="B646" s="2"/>
      <c r="C646" s="2"/>
      <c r="D646" s="2"/>
      <c r="E646" s="2"/>
      <c r="F646" s="2"/>
      <c r="G646" s="28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</row>
    <row r="647" spans="2:46" ht="15.75" customHeight="1" x14ac:dyDescent="0.2">
      <c r="B647" s="2"/>
      <c r="C647" s="2"/>
      <c r="D647" s="2"/>
      <c r="E647" s="2"/>
      <c r="F647" s="2"/>
      <c r="G647" s="28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</row>
    <row r="648" spans="2:46" ht="15.75" customHeight="1" x14ac:dyDescent="0.2">
      <c r="B648" s="2"/>
      <c r="C648" s="2"/>
      <c r="D648" s="2"/>
      <c r="E648" s="2"/>
      <c r="F648" s="2"/>
      <c r="G648" s="28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</row>
    <row r="649" spans="2:46" ht="15.75" customHeight="1" x14ac:dyDescent="0.2">
      <c r="B649" s="2"/>
      <c r="C649" s="2"/>
      <c r="D649" s="2"/>
      <c r="E649" s="2"/>
      <c r="F649" s="2"/>
      <c r="G649" s="28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</row>
    <row r="650" spans="2:46" ht="15.75" customHeight="1" x14ac:dyDescent="0.2">
      <c r="B650" s="2"/>
      <c r="C650" s="2"/>
      <c r="D650" s="2"/>
      <c r="E650" s="2"/>
      <c r="F650" s="2"/>
      <c r="G650" s="28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</row>
    <row r="651" spans="2:46" ht="15.75" customHeight="1" x14ac:dyDescent="0.2">
      <c r="B651" s="2"/>
      <c r="C651" s="2"/>
      <c r="D651" s="2"/>
      <c r="E651" s="2"/>
      <c r="F651" s="2"/>
      <c r="G651" s="28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</row>
    <row r="652" spans="2:46" ht="15.75" customHeight="1" x14ac:dyDescent="0.2">
      <c r="B652" s="2"/>
      <c r="C652" s="2"/>
      <c r="D652" s="2"/>
      <c r="E652" s="2"/>
      <c r="F652" s="2"/>
      <c r="G652" s="28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</row>
    <row r="653" spans="2:46" ht="15.75" customHeight="1" x14ac:dyDescent="0.2">
      <c r="B653" s="2"/>
      <c r="C653" s="2"/>
      <c r="D653" s="2"/>
      <c r="E653" s="2"/>
      <c r="F653" s="2"/>
      <c r="G653" s="28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spans="2:46" ht="15.75" customHeight="1" x14ac:dyDescent="0.2">
      <c r="B654" s="2"/>
      <c r="C654" s="2"/>
      <c r="D654" s="2"/>
      <c r="E654" s="2"/>
      <c r="F654" s="2"/>
      <c r="G654" s="28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</row>
    <row r="655" spans="2:46" ht="15.75" customHeight="1" x14ac:dyDescent="0.2">
      <c r="B655" s="2"/>
      <c r="C655" s="2"/>
      <c r="D655" s="2"/>
      <c r="E655" s="2"/>
      <c r="F655" s="2"/>
      <c r="G655" s="28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</row>
    <row r="656" spans="2:46" ht="15.75" customHeight="1" x14ac:dyDescent="0.2">
      <c r="B656" s="2"/>
      <c r="C656" s="2"/>
      <c r="D656" s="2"/>
      <c r="E656" s="2"/>
      <c r="F656" s="2"/>
      <c r="G656" s="28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spans="2:46" ht="15.75" customHeight="1" x14ac:dyDescent="0.2">
      <c r="B657" s="2"/>
      <c r="C657" s="2"/>
      <c r="D657" s="2"/>
      <c r="E657" s="2"/>
      <c r="F657" s="2"/>
      <c r="G657" s="28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</row>
    <row r="658" spans="2:46" ht="15.75" customHeight="1" x14ac:dyDescent="0.2">
      <c r="B658" s="2"/>
      <c r="C658" s="2"/>
      <c r="D658" s="2"/>
      <c r="E658" s="2"/>
      <c r="F658" s="2"/>
      <c r="G658" s="28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</row>
    <row r="659" spans="2:46" ht="15.75" customHeight="1" x14ac:dyDescent="0.2">
      <c r="B659" s="2"/>
      <c r="C659" s="2"/>
      <c r="D659" s="2"/>
      <c r="E659" s="2"/>
      <c r="F659" s="2"/>
      <c r="G659" s="28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spans="2:46" ht="15.75" customHeight="1" x14ac:dyDescent="0.2">
      <c r="B660" s="2"/>
      <c r="C660" s="2"/>
      <c r="D660" s="2"/>
      <c r="E660" s="2"/>
      <c r="F660" s="2"/>
      <c r="G660" s="28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</row>
    <row r="661" spans="2:46" ht="15.75" customHeight="1" x14ac:dyDescent="0.2">
      <c r="B661" s="2"/>
      <c r="C661" s="2"/>
      <c r="D661" s="2"/>
      <c r="E661" s="2"/>
      <c r="F661" s="2"/>
      <c r="G661" s="28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</row>
    <row r="662" spans="2:46" ht="15.75" customHeight="1" x14ac:dyDescent="0.2">
      <c r="B662" s="2"/>
      <c r="C662" s="2"/>
      <c r="D662" s="2"/>
      <c r="E662" s="2"/>
      <c r="F662" s="2"/>
      <c r="G662" s="28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spans="2:46" ht="15.75" customHeight="1" x14ac:dyDescent="0.2">
      <c r="B663" s="2"/>
      <c r="C663" s="2"/>
      <c r="D663" s="2"/>
      <c r="E663" s="2"/>
      <c r="F663" s="2"/>
      <c r="G663" s="28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</row>
    <row r="664" spans="2:46" ht="15.75" customHeight="1" x14ac:dyDescent="0.2">
      <c r="B664" s="2"/>
      <c r="C664" s="2"/>
      <c r="D664" s="2"/>
      <c r="E664" s="2"/>
      <c r="F664" s="2"/>
      <c r="G664" s="28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</row>
    <row r="665" spans="2:46" ht="15.75" customHeight="1" x14ac:dyDescent="0.2">
      <c r="B665" s="2"/>
      <c r="C665" s="2"/>
      <c r="D665" s="2"/>
      <c r="E665" s="2"/>
      <c r="F665" s="2"/>
      <c r="G665" s="28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spans="2:46" ht="15.75" customHeight="1" x14ac:dyDescent="0.2">
      <c r="B666" s="2"/>
      <c r="C666" s="2"/>
      <c r="D666" s="2"/>
      <c r="E666" s="2"/>
      <c r="F666" s="2"/>
      <c r="G666" s="28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</row>
    <row r="667" spans="2:46" ht="15.75" customHeight="1" x14ac:dyDescent="0.2">
      <c r="B667" s="2"/>
      <c r="C667" s="2"/>
      <c r="D667" s="2"/>
      <c r="E667" s="2"/>
      <c r="F667" s="2"/>
      <c r="G667" s="28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</row>
    <row r="668" spans="2:46" ht="15.75" customHeight="1" x14ac:dyDescent="0.2">
      <c r="B668" s="2"/>
      <c r="C668" s="2"/>
      <c r="D668" s="2"/>
      <c r="E668" s="2"/>
      <c r="F668" s="2"/>
      <c r="G668" s="28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</row>
    <row r="669" spans="2:46" ht="15.75" customHeight="1" x14ac:dyDescent="0.2">
      <c r="B669" s="2"/>
      <c r="C669" s="2"/>
      <c r="D669" s="2"/>
      <c r="E669" s="2"/>
      <c r="F669" s="2"/>
      <c r="G669" s="28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</row>
    <row r="670" spans="2:46" ht="15.75" customHeight="1" x14ac:dyDescent="0.2">
      <c r="B670" s="2"/>
      <c r="C670" s="2"/>
      <c r="D670" s="2"/>
      <c r="E670" s="2"/>
      <c r="F670" s="2"/>
      <c r="G670" s="28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</row>
    <row r="671" spans="2:46" ht="15.75" customHeight="1" x14ac:dyDescent="0.2">
      <c r="B671" s="2"/>
      <c r="C671" s="2"/>
      <c r="D671" s="2"/>
      <c r="E671" s="2"/>
      <c r="F671" s="2"/>
      <c r="G671" s="28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</row>
    <row r="672" spans="2:46" ht="15.75" customHeight="1" x14ac:dyDescent="0.2">
      <c r="B672" s="2"/>
      <c r="C672" s="2"/>
      <c r="D672" s="2"/>
      <c r="E672" s="2"/>
      <c r="F672" s="2"/>
      <c r="G672" s="28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</row>
    <row r="673" spans="2:46" ht="15.75" customHeight="1" x14ac:dyDescent="0.2">
      <c r="B673" s="2"/>
      <c r="C673" s="2"/>
      <c r="D673" s="2"/>
      <c r="E673" s="2"/>
      <c r="F673" s="2"/>
      <c r="G673" s="28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</row>
    <row r="674" spans="2:46" ht="15.75" customHeight="1" x14ac:dyDescent="0.2">
      <c r="H674" s="2"/>
    </row>
    <row r="675" spans="2:46" ht="15.75" customHeight="1" x14ac:dyDescent="0.2">
      <c r="H675" s="2"/>
    </row>
    <row r="676" spans="2:46" ht="15.75" customHeight="1" x14ac:dyDescent="0.2">
      <c r="H676" s="2"/>
    </row>
    <row r="677" spans="2:46" ht="15.75" customHeight="1" x14ac:dyDescent="0.2">
      <c r="H677" s="2"/>
    </row>
    <row r="678" spans="2:46" ht="15.75" customHeight="1" x14ac:dyDescent="0.2">
      <c r="H678" s="2"/>
    </row>
    <row r="679" spans="2:46" ht="15.75" customHeight="1" x14ac:dyDescent="0.2">
      <c r="H679" s="2"/>
    </row>
    <row r="680" spans="2:46" ht="15.75" customHeight="1" x14ac:dyDescent="0.2"/>
    <row r="681" spans="2:46" ht="15.75" customHeight="1" x14ac:dyDescent="0.2"/>
    <row r="682" spans="2:46" ht="15.75" customHeight="1" x14ac:dyDescent="0.2"/>
    <row r="683" spans="2:46" ht="15.75" customHeight="1" x14ac:dyDescent="0.2"/>
    <row r="684" spans="2:46" s="2" customFormat="1" ht="15.75" customHeight="1" x14ac:dyDescent="0.2">
      <c r="B684"/>
      <c r="C684"/>
      <c r="D684"/>
      <c r="E684"/>
      <c r="F684"/>
      <c r="G684" s="35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</row>
    <row r="685" spans="2:46" s="2" customFormat="1" ht="15.75" customHeight="1" x14ac:dyDescent="0.2">
      <c r="B685"/>
      <c r="C685"/>
      <c r="D685"/>
      <c r="E685"/>
      <c r="F685"/>
      <c r="G685" s="3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</row>
    <row r="686" spans="2:46" s="2" customFormat="1" ht="15.75" customHeight="1" x14ac:dyDescent="0.2">
      <c r="B686"/>
      <c r="C686"/>
      <c r="D686"/>
      <c r="E686"/>
      <c r="F686"/>
      <c r="G686" s="35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</row>
    <row r="687" spans="2:46" s="2" customFormat="1" ht="15.75" customHeight="1" x14ac:dyDescent="0.2">
      <c r="B687"/>
      <c r="C687"/>
      <c r="D687"/>
      <c r="E687"/>
      <c r="F687"/>
      <c r="G687" s="35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</row>
    <row r="688" spans="2:46" s="2" customFormat="1" ht="15.75" customHeight="1" x14ac:dyDescent="0.2">
      <c r="B688"/>
      <c r="C688"/>
      <c r="D688"/>
      <c r="E688"/>
      <c r="F688"/>
      <c r="G688" s="35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</row>
    <row r="689" spans="2:46" s="2" customFormat="1" ht="15.75" customHeight="1" x14ac:dyDescent="0.2">
      <c r="B689"/>
      <c r="C689"/>
      <c r="D689"/>
      <c r="E689"/>
      <c r="F689"/>
      <c r="G689" s="35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</row>
    <row r="690" spans="2:46" s="2" customFormat="1" ht="15.75" customHeight="1" x14ac:dyDescent="0.2">
      <c r="B690"/>
      <c r="C690"/>
      <c r="D690"/>
      <c r="E690"/>
      <c r="F690"/>
      <c r="G690" s="35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</row>
    <row r="691" spans="2:46" s="2" customFormat="1" ht="15.75" customHeight="1" x14ac:dyDescent="0.2">
      <c r="B691"/>
      <c r="C691"/>
      <c r="D691"/>
      <c r="E691"/>
      <c r="F691"/>
      <c r="G691" s="35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</row>
    <row r="692" spans="2:46" s="2" customFormat="1" ht="15.75" customHeight="1" x14ac:dyDescent="0.2">
      <c r="B692"/>
      <c r="C692"/>
      <c r="D692"/>
      <c r="E692"/>
      <c r="F692"/>
      <c r="G692" s="35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</row>
    <row r="693" spans="2:46" s="2" customFormat="1" ht="15.75" customHeight="1" x14ac:dyDescent="0.2">
      <c r="B693"/>
      <c r="C693"/>
      <c r="D693"/>
      <c r="E693"/>
      <c r="F693"/>
      <c r="G693" s="35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</row>
    <row r="694" spans="2:46" s="2" customFormat="1" ht="15.75" customHeight="1" x14ac:dyDescent="0.2">
      <c r="B694"/>
      <c r="C694"/>
      <c r="D694"/>
      <c r="E694"/>
      <c r="F694"/>
      <c r="G694" s="35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</row>
    <row r="695" spans="2:46" s="2" customFormat="1" ht="15.75" customHeight="1" x14ac:dyDescent="0.2">
      <c r="B695"/>
      <c r="C695"/>
      <c r="D695"/>
      <c r="E695"/>
      <c r="F695"/>
      <c r="G695" s="3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</row>
    <row r="696" spans="2:46" s="2" customFormat="1" ht="15.75" customHeight="1" x14ac:dyDescent="0.2">
      <c r="B696"/>
      <c r="C696"/>
      <c r="D696"/>
      <c r="E696"/>
      <c r="F696"/>
      <c r="G696" s="35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</row>
    <row r="697" spans="2:46" s="2" customFormat="1" ht="15.75" customHeight="1" x14ac:dyDescent="0.2">
      <c r="B697"/>
      <c r="C697"/>
      <c r="D697"/>
      <c r="E697"/>
      <c r="F697"/>
      <c r="G697" s="35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</row>
    <row r="698" spans="2:46" s="2" customFormat="1" ht="15.75" customHeight="1" x14ac:dyDescent="0.2">
      <c r="B698"/>
      <c r="C698"/>
      <c r="D698"/>
      <c r="E698"/>
      <c r="F698"/>
      <c r="G698" s="35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</row>
    <row r="699" spans="2:46" s="2" customFormat="1" ht="15.75" customHeight="1" x14ac:dyDescent="0.2">
      <c r="B699"/>
      <c r="C699"/>
      <c r="D699"/>
      <c r="E699"/>
      <c r="F699"/>
      <c r="G699" s="35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</row>
    <row r="700" spans="2:46" s="2" customFormat="1" ht="15.75" customHeight="1" x14ac:dyDescent="0.2">
      <c r="B700"/>
      <c r="C700"/>
      <c r="D700"/>
      <c r="E700"/>
      <c r="F700"/>
      <c r="G700" s="35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</row>
    <row r="701" spans="2:46" s="2" customFormat="1" ht="15.75" customHeight="1" x14ac:dyDescent="0.2">
      <c r="B701"/>
      <c r="C701"/>
      <c r="D701"/>
      <c r="E701"/>
      <c r="F701"/>
      <c r="G701" s="35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</row>
    <row r="702" spans="2:46" s="2" customFormat="1" ht="15.75" customHeight="1" x14ac:dyDescent="0.2">
      <c r="B702"/>
      <c r="C702"/>
      <c r="D702"/>
      <c r="E702"/>
      <c r="F702"/>
      <c r="G702" s="35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</row>
    <row r="703" spans="2:46" s="2" customFormat="1" ht="15.75" customHeight="1" x14ac:dyDescent="0.2">
      <c r="B703"/>
      <c r="C703"/>
      <c r="D703"/>
      <c r="E703"/>
      <c r="F703"/>
      <c r="G703" s="35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</row>
    <row r="704" spans="2:46" s="2" customFormat="1" ht="15.75" customHeight="1" x14ac:dyDescent="0.2">
      <c r="B704"/>
      <c r="C704"/>
      <c r="D704"/>
      <c r="E704"/>
      <c r="F704"/>
      <c r="G704" s="35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</row>
    <row r="705" spans="2:46" s="2" customFormat="1" ht="15.75" customHeight="1" x14ac:dyDescent="0.2">
      <c r="B705"/>
      <c r="C705"/>
      <c r="D705"/>
      <c r="E705"/>
      <c r="F705"/>
      <c r="G705" s="3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</row>
    <row r="706" spans="2:46" s="2" customFormat="1" ht="15.75" customHeight="1" x14ac:dyDescent="0.2">
      <c r="B706"/>
      <c r="C706"/>
      <c r="D706"/>
      <c r="E706"/>
      <c r="F706"/>
      <c r="G706" s="35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</row>
    <row r="707" spans="2:46" s="2" customFormat="1" ht="15.75" customHeight="1" x14ac:dyDescent="0.2">
      <c r="B707"/>
      <c r="C707"/>
      <c r="D707"/>
      <c r="E707"/>
      <c r="F707"/>
      <c r="G707" s="35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</row>
    <row r="708" spans="2:46" s="2" customFormat="1" ht="15.75" customHeight="1" x14ac:dyDescent="0.2">
      <c r="B708"/>
      <c r="C708"/>
      <c r="D708"/>
      <c r="E708"/>
      <c r="F708"/>
      <c r="G708" s="35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</row>
    <row r="709" spans="2:46" s="2" customFormat="1" ht="15.75" customHeight="1" x14ac:dyDescent="0.2">
      <c r="B709"/>
      <c r="C709"/>
      <c r="D709"/>
      <c r="E709"/>
      <c r="F709"/>
      <c r="G709" s="35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</row>
    <row r="710" spans="2:46" s="2" customFormat="1" ht="15.75" customHeight="1" x14ac:dyDescent="0.2">
      <c r="B710"/>
      <c r="C710"/>
      <c r="D710"/>
      <c r="E710"/>
      <c r="F710"/>
      <c r="G710" s="35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</row>
    <row r="711" spans="2:46" s="2" customFormat="1" ht="15.75" customHeight="1" x14ac:dyDescent="0.2">
      <c r="B711"/>
      <c r="C711"/>
      <c r="D711"/>
      <c r="E711"/>
      <c r="F711"/>
      <c r="G711" s="35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</row>
    <row r="712" spans="2:46" s="2" customFormat="1" ht="15.75" customHeight="1" x14ac:dyDescent="0.2">
      <c r="B712"/>
      <c r="C712"/>
      <c r="D712"/>
      <c r="E712"/>
      <c r="F712"/>
      <c r="G712" s="35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</row>
    <row r="713" spans="2:46" s="2" customFormat="1" ht="15.75" customHeight="1" x14ac:dyDescent="0.2">
      <c r="B713"/>
      <c r="C713"/>
      <c r="D713"/>
      <c r="E713"/>
      <c r="F713"/>
      <c r="G713" s="35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</row>
    <row r="714" spans="2:46" s="2" customFormat="1" ht="15.75" customHeight="1" x14ac:dyDescent="0.2">
      <c r="B714"/>
      <c r="C714"/>
      <c r="D714"/>
      <c r="E714"/>
      <c r="F714"/>
      <c r="G714" s="35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</row>
    <row r="715" spans="2:46" s="2" customFormat="1" ht="15.75" customHeight="1" x14ac:dyDescent="0.2">
      <c r="B715"/>
      <c r="C715"/>
      <c r="D715"/>
      <c r="E715"/>
      <c r="F715"/>
      <c r="G715" s="3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</row>
    <row r="716" spans="2:46" s="2" customFormat="1" ht="15.75" customHeight="1" x14ac:dyDescent="0.2">
      <c r="B716"/>
      <c r="C716"/>
      <c r="D716"/>
      <c r="E716"/>
      <c r="F716"/>
      <c r="G716" s="35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</row>
    <row r="717" spans="2:46" s="2" customFormat="1" ht="15.75" customHeight="1" x14ac:dyDescent="0.2">
      <c r="B717"/>
      <c r="C717"/>
      <c r="D717"/>
      <c r="E717"/>
      <c r="F717"/>
      <c r="G717" s="35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</row>
    <row r="718" spans="2:46" s="2" customFormat="1" ht="15.75" customHeight="1" x14ac:dyDescent="0.2">
      <c r="B718"/>
      <c r="C718"/>
      <c r="D718"/>
      <c r="E718"/>
      <c r="F718"/>
      <c r="G718" s="35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</row>
    <row r="719" spans="2:46" s="2" customFormat="1" ht="15.75" customHeight="1" x14ac:dyDescent="0.2">
      <c r="B719"/>
      <c r="C719"/>
      <c r="D719"/>
      <c r="E719"/>
      <c r="F719"/>
      <c r="G719" s="35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</row>
    <row r="720" spans="2:46" s="2" customFormat="1" ht="15.75" customHeight="1" x14ac:dyDescent="0.2">
      <c r="B720"/>
      <c r="C720"/>
      <c r="D720"/>
      <c r="E720"/>
      <c r="F720"/>
      <c r="G720" s="35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</row>
    <row r="721" spans="2:46" s="2" customFormat="1" ht="15.75" customHeight="1" x14ac:dyDescent="0.2">
      <c r="B721"/>
      <c r="C721"/>
      <c r="D721"/>
      <c r="E721"/>
      <c r="F721"/>
      <c r="G721" s="35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</row>
    <row r="722" spans="2:46" s="2" customFormat="1" ht="15.75" customHeight="1" x14ac:dyDescent="0.2">
      <c r="B722"/>
      <c r="C722"/>
      <c r="D722"/>
      <c r="E722"/>
      <c r="F722"/>
      <c r="G722" s="35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</row>
    <row r="723" spans="2:46" s="2" customFormat="1" ht="15.75" customHeight="1" x14ac:dyDescent="0.2">
      <c r="B723"/>
      <c r="C723"/>
      <c r="D723"/>
      <c r="E723"/>
      <c r="F723"/>
      <c r="G723" s="35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</row>
    <row r="724" spans="2:46" s="2" customFormat="1" ht="15.75" customHeight="1" x14ac:dyDescent="0.2">
      <c r="B724"/>
      <c r="C724"/>
      <c r="D724"/>
      <c r="E724"/>
      <c r="F724"/>
      <c r="G724" s="35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</row>
    <row r="725" spans="2:46" s="2" customFormat="1" ht="15.75" customHeight="1" x14ac:dyDescent="0.2">
      <c r="B725"/>
      <c r="C725"/>
      <c r="D725"/>
      <c r="E725"/>
      <c r="F725"/>
      <c r="G725" s="3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</row>
    <row r="726" spans="2:46" s="2" customFormat="1" ht="15.75" customHeight="1" x14ac:dyDescent="0.2">
      <c r="B726"/>
      <c r="C726"/>
      <c r="D726"/>
      <c r="E726"/>
      <c r="F726"/>
      <c r="G726" s="35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</row>
    <row r="727" spans="2:46" s="2" customFormat="1" ht="15.75" customHeight="1" x14ac:dyDescent="0.2">
      <c r="B727"/>
      <c r="C727"/>
      <c r="D727"/>
      <c r="E727"/>
      <c r="F727"/>
      <c r="G727" s="35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</row>
    <row r="728" spans="2:46" s="2" customFormat="1" ht="15.75" customHeight="1" x14ac:dyDescent="0.2">
      <c r="B728"/>
      <c r="C728"/>
      <c r="D728"/>
      <c r="E728"/>
      <c r="F728"/>
      <c r="G728" s="35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</row>
    <row r="729" spans="2:46" s="2" customFormat="1" ht="15.75" customHeight="1" x14ac:dyDescent="0.2">
      <c r="B729"/>
      <c r="C729"/>
      <c r="D729"/>
      <c r="E729"/>
      <c r="F729"/>
      <c r="G729" s="35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</row>
    <row r="730" spans="2:46" s="2" customFormat="1" ht="15.75" customHeight="1" x14ac:dyDescent="0.2">
      <c r="B730"/>
      <c r="C730"/>
      <c r="D730"/>
      <c r="E730"/>
      <c r="F730"/>
      <c r="G730" s="35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</row>
    <row r="731" spans="2:46" s="2" customFormat="1" ht="15.75" customHeight="1" x14ac:dyDescent="0.2">
      <c r="B731"/>
      <c r="C731"/>
      <c r="D731"/>
      <c r="E731"/>
      <c r="F731"/>
      <c r="G731" s="35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</row>
    <row r="732" spans="2:46" s="2" customFormat="1" ht="15.75" customHeight="1" x14ac:dyDescent="0.2">
      <c r="B732"/>
      <c r="C732"/>
      <c r="D732"/>
      <c r="E732"/>
      <c r="F732"/>
      <c r="G732" s="35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</row>
    <row r="733" spans="2:46" s="2" customFormat="1" ht="15.75" customHeight="1" x14ac:dyDescent="0.2">
      <c r="B733"/>
      <c r="C733"/>
      <c r="D733"/>
      <c r="E733"/>
      <c r="F733"/>
      <c r="G733" s="35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</row>
    <row r="734" spans="2:46" s="2" customFormat="1" ht="15.75" customHeight="1" x14ac:dyDescent="0.2">
      <c r="B734"/>
      <c r="C734"/>
      <c r="D734"/>
      <c r="E734"/>
      <c r="F734"/>
      <c r="G734" s="35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</row>
    <row r="735" spans="2:46" s="2" customFormat="1" ht="15.75" customHeight="1" x14ac:dyDescent="0.2">
      <c r="B735"/>
      <c r="C735"/>
      <c r="D735"/>
      <c r="E735"/>
      <c r="F735"/>
      <c r="G735" s="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</row>
    <row r="736" spans="2:46" s="2" customFormat="1" ht="15.75" customHeight="1" x14ac:dyDescent="0.2">
      <c r="B736"/>
      <c r="C736"/>
      <c r="D736"/>
      <c r="E736"/>
      <c r="F736"/>
      <c r="G736" s="35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</row>
    <row r="737" spans="2:46" s="2" customFormat="1" ht="15.75" customHeight="1" x14ac:dyDescent="0.2">
      <c r="B737"/>
      <c r="C737"/>
      <c r="D737"/>
      <c r="E737"/>
      <c r="F737"/>
      <c r="G737" s="35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</row>
    <row r="738" spans="2:46" s="2" customFormat="1" ht="15.75" customHeight="1" x14ac:dyDescent="0.2">
      <c r="B738"/>
      <c r="C738"/>
      <c r="D738"/>
      <c r="E738"/>
      <c r="F738"/>
      <c r="G738" s="35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</row>
    <row r="739" spans="2:46" s="2" customFormat="1" ht="15.75" customHeight="1" x14ac:dyDescent="0.2">
      <c r="B739"/>
      <c r="C739"/>
      <c r="D739"/>
      <c r="E739"/>
      <c r="F739"/>
      <c r="G739" s="35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</row>
    <row r="740" spans="2:46" s="2" customFormat="1" ht="15.75" customHeight="1" x14ac:dyDescent="0.2">
      <c r="B740"/>
      <c r="C740"/>
      <c r="D740"/>
      <c r="E740"/>
      <c r="F740"/>
      <c r="G740" s="35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</row>
    <row r="741" spans="2:46" s="2" customFormat="1" ht="15.75" customHeight="1" x14ac:dyDescent="0.2">
      <c r="B741"/>
      <c r="C741"/>
      <c r="D741"/>
      <c r="E741"/>
      <c r="F741"/>
      <c r="G741" s="35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</row>
    <row r="742" spans="2:46" s="2" customFormat="1" ht="15.75" customHeight="1" x14ac:dyDescent="0.2">
      <c r="B742"/>
      <c r="C742"/>
      <c r="D742"/>
      <c r="E742"/>
      <c r="F742"/>
      <c r="G742" s="35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</row>
    <row r="743" spans="2:46" s="2" customFormat="1" ht="15.75" customHeight="1" x14ac:dyDescent="0.2">
      <c r="B743"/>
      <c r="C743"/>
      <c r="D743"/>
      <c r="E743"/>
      <c r="F743"/>
      <c r="G743" s="35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</row>
    <row r="744" spans="2:46" s="2" customFormat="1" ht="15.75" customHeight="1" x14ac:dyDescent="0.2">
      <c r="B744"/>
      <c r="C744"/>
      <c r="D744"/>
      <c r="E744"/>
      <c r="F744"/>
      <c r="G744" s="35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</row>
    <row r="745" spans="2:46" s="2" customFormat="1" ht="15.75" customHeight="1" x14ac:dyDescent="0.2">
      <c r="B745"/>
      <c r="C745"/>
      <c r="D745"/>
      <c r="E745"/>
      <c r="F745"/>
      <c r="G745" s="3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</row>
    <row r="746" spans="2:46" s="2" customFormat="1" ht="15.75" customHeight="1" x14ac:dyDescent="0.2">
      <c r="B746"/>
      <c r="C746"/>
      <c r="D746"/>
      <c r="E746"/>
      <c r="F746"/>
      <c r="G746" s="35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</row>
    <row r="747" spans="2:46" s="2" customFormat="1" ht="15.75" customHeight="1" x14ac:dyDescent="0.2">
      <c r="B747"/>
      <c r="C747"/>
      <c r="D747"/>
      <c r="E747"/>
      <c r="F747"/>
      <c r="G747" s="35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</row>
    <row r="748" spans="2:46" s="2" customFormat="1" ht="15.75" customHeight="1" x14ac:dyDescent="0.2">
      <c r="B748"/>
      <c r="C748"/>
      <c r="D748"/>
      <c r="E748"/>
      <c r="F748"/>
      <c r="G748" s="35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</row>
    <row r="749" spans="2:46" s="2" customFormat="1" ht="15.75" customHeight="1" x14ac:dyDescent="0.2">
      <c r="B749"/>
      <c r="C749"/>
      <c r="D749"/>
      <c r="E749"/>
      <c r="F749"/>
      <c r="G749" s="35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</row>
    <row r="750" spans="2:46" s="2" customFormat="1" ht="15.75" customHeight="1" x14ac:dyDescent="0.2">
      <c r="B750"/>
      <c r="C750"/>
      <c r="D750"/>
      <c r="E750"/>
      <c r="F750"/>
      <c r="G750" s="35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</row>
    <row r="751" spans="2:46" s="2" customFormat="1" ht="15.75" customHeight="1" x14ac:dyDescent="0.2">
      <c r="B751"/>
      <c r="C751"/>
      <c r="D751"/>
      <c r="E751"/>
      <c r="F751"/>
      <c r="G751" s="35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</row>
    <row r="752" spans="2:46" s="2" customFormat="1" ht="15.75" customHeight="1" x14ac:dyDescent="0.2">
      <c r="B752"/>
      <c r="C752"/>
      <c r="D752"/>
      <c r="E752"/>
      <c r="F752"/>
      <c r="G752" s="35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</row>
    <row r="753" spans="2:46" s="2" customFormat="1" ht="15.75" customHeight="1" x14ac:dyDescent="0.2">
      <c r="B753"/>
      <c r="C753"/>
      <c r="D753"/>
      <c r="E753"/>
      <c r="F753"/>
      <c r="G753" s="35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</row>
    <row r="754" spans="2:46" s="2" customFormat="1" ht="15.75" customHeight="1" x14ac:dyDescent="0.2">
      <c r="B754"/>
      <c r="C754"/>
      <c r="D754"/>
      <c r="E754"/>
      <c r="F754"/>
      <c r="G754" s="35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</row>
    <row r="755" spans="2:46" s="2" customFormat="1" ht="15.75" customHeight="1" x14ac:dyDescent="0.2">
      <c r="B755"/>
      <c r="C755"/>
      <c r="D755"/>
      <c r="E755"/>
      <c r="F755"/>
      <c r="G755" s="3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</row>
    <row r="756" spans="2:46" s="2" customFormat="1" ht="15.75" customHeight="1" x14ac:dyDescent="0.2">
      <c r="B756"/>
      <c r="C756"/>
      <c r="D756"/>
      <c r="E756"/>
      <c r="F756"/>
      <c r="G756" s="35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</row>
    <row r="757" spans="2:46" s="2" customFormat="1" ht="15.75" customHeight="1" x14ac:dyDescent="0.2">
      <c r="B757"/>
      <c r="C757"/>
      <c r="D757"/>
      <c r="E757"/>
      <c r="F757"/>
      <c r="G757" s="35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</row>
    <row r="758" spans="2:46" s="2" customFormat="1" ht="15.75" customHeight="1" x14ac:dyDescent="0.2">
      <c r="B758"/>
      <c r="C758"/>
      <c r="D758"/>
      <c r="E758"/>
      <c r="F758"/>
      <c r="G758" s="35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</row>
    <row r="759" spans="2:46" s="2" customFormat="1" ht="15.75" customHeight="1" x14ac:dyDescent="0.2">
      <c r="B759"/>
      <c r="C759"/>
      <c r="D759"/>
      <c r="E759"/>
      <c r="F759"/>
      <c r="G759" s="35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</row>
    <row r="760" spans="2:46" s="2" customFormat="1" ht="15.75" customHeight="1" x14ac:dyDescent="0.2">
      <c r="B760"/>
      <c r="C760"/>
      <c r="D760"/>
      <c r="E760"/>
      <c r="F760"/>
      <c r="G760" s="35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</row>
    <row r="761" spans="2:46" s="2" customFormat="1" ht="15.75" customHeight="1" x14ac:dyDescent="0.2">
      <c r="B761"/>
      <c r="C761"/>
      <c r="D761"/>
      <c r="E761"/>
      <c r="F761"/>
      <c r="G761" s="35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</row>
    <row r="762" spans="2:46" s="2" customFormat="1" ht="15.75" customHeight="1" x14ac:dyDescent="0.2">
      <c r="B762"/>
      <c r="C762"/>
      <c r="D762"/>
      <c r="E762"/>
      <c r="F762"/>
      <c r="G762" s="35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</row>
    <row r="763" spans="2:46" s="2" customFormat="1" ht="15.75" customHeight="1" x14ac:dyDescent="0.2">
      <c r="B763"/>
      <c r="C763"/>
      <c r="D763"/>
      <c r="E763"/>
      <c r="F763"/>
      <c r="G763" s="35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</row>
    <row r="764" spans="2:46" s="2" customFormat="1" ht="15.75" customHeight="1" x14ac:dyDescent="0.2">
      <c r="B764"/>
      <c r="C764"/>
      <c r="D764"/>
      <c r="E764"/>
      <c r="F764"/>
      <c r="G764" s="35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</row>
    <row r="765" spans="2:46" s="2" customFormat="1" ht="15.75" customHeight="1" x14ac:dyDescent="0.2">
      <c r="B765"/>
      <c r="C765"/>
      <c r="D765"/>
      <c r="E765"/>
      <c r="F765"/>
      <c r="G765" s="3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</row>
    <row r="766" spans="2:46" s="2" customFormat="1" ht="15.75" customHeight="1" x14ac:dyDescent="0.2">
      <c r="B766"/>
      <c r="C766"/>
      <c r="D766"/>
      <c r="E766"/>
      <c r="F766"/>
      <c r="G766" s="35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</row>
    <row r="767" spans="2:46" s="2" customFormat="1" ht="15.75" customHeight="1" x14ac:dyDescent="0.2">
      <c r="B767"/>
      <c r="C767"/>
      <c r="D767"/>
      <c r="E767"/>
      <c r="F767"/>
      <c r="G767" s="35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</row>
    <row r="768" spans="2:46" s="2" customFormat="1" ht="15.75" customHeight="1" x14ac:dyDescent="0.2">
      <c r="B768"/>
      <c r="C768"/>
      <c r="D768"/>
      <c r="E768"/>
      <c r="F768"/>
      <c r="G768" s="35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</row>
    <row r="769" spans="2:46" s="2" customFormat="1" ht="15.75" customHeight="1" x14ac:dyDescent="0.2">
      <c r="B769"/>
      <c r="C769"/>
      <c r="D769"/>
      <c r="E769"/>
      <c r="F769"/>
      <c r="G769" s="35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</row>
    <row r="770" spans="2:46" s="2" customFormat="1" ht="15.75" customHeight="1" x14ac:dyDescent="0.2">
      <c r="B770"/>
      <c r="C770"/>
      <c r="D770"/>
      <c r="E770"/>
      <c r="F770"/>
      <c r="G770" s="35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</row>
    <row r="771" spans="2:46" s="2" customFormat="1" ht="15.75" customHeight="1" x14ac:dyDescent="0.2">
      <c r="B771"/>
      <c r="C771"/>
      <c r="D771"/>
      <c r="E771"/>
      <c r="F771"/>
      <c r="G771" s="35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</row>
    <row r="772" spans="2:46" s="2" customFormat="1" ht="15.75" customHeight="1" x14ac:dyDescent="0.2">
      <c r="B772"/>
      <c r="C772"/>
      <c r="D772"/>
      <c r="E772"/>
      <c r="F772"/>
      <c r="G772" s="35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</row>
    <row r="773" spans="2:46" s="2" customFormat="1" ht="15.75" customHeight="1" x14ac:dyDescent="0.2">
      <c r="B773"/>
      <c r="C773"/>
      <c r="D773"/>
      <c r="E773"/>
      <c r="F773"/>
      <c r="G773" s="35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</row>
    <row r="774" spans="2:46" s="2" customFormat="1" ht="15.75" customHeight="1" x14ac:dyDescent="0.2">
      <c r="B774"/>
      <c r="C774"/>
      <c r="D774"/>
      <c r="E774"/>
      <c r="F774"/>
      <c r="G774" s="35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</row>
    <row r="775" spans="2:46" s="2" customFormat="1" ht="15.75" customHeight="1" x14ac:dyDescent="0.2">
      <c r="B775"/>
      <c r="C775"/>
      <c r="D775"/>
      <c r="E775"/>
      <c r="F775"/>
      <c r="G775" s="3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</row>
    <row r="776" spans="2:46" s="2" customFormat="1" ht="15.75" customHeight="1" x14ac:dyDescent="0.2">
      <c r="B776"/>
      <c r="C776"/>
      <c r="D776"/>
      <c r="E776"/>
      <c r="F776"/>
      <c r="G776" s="35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</row>
    <row r="777" spans="2:46" s="2" customFormat="1" ht="15.75" customHeight="1" x14ac:dyDescent="0.2">
      <c r="B777"/>
      <c r="C777"/>
      <c r="D777"/>
      <c r="E777"/>
      <c r="F777"/>
      <c r="G777" s="35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</row>
  </sheetData>
  <mergeCells count="2">
    <mergeCell ref="A4:G4"/>
    <mergeCell ref="A5:G5"/>
  </mergeCells>
  <pageMargins left="0.74803149606299213" right="0.15748031496062992" top="0.35433070866141736" bottom="0.15748031496062992" header="0.15748031496062992" footer="0.15748031496062992"/>
  <pageSetup paperSize="9" scale="85" orientation="portrait" r:id="rId1"/>
  <headerFooter alignWithMargins="0"/>
  <rowBreaks count="1" manualBreakCount="1">
    <brk id="78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709"/>
  <sheetViews>
    <sheetView topLeftCell="A19" zoomScaleNormal="100" workbookViewId="0">
      <selection activeCell="A82" sqref="A82"/>
    </sheetView>
  </sheetViews>
  <sheetFormatPr defaultRowHeight="12.75" x14ac:dyDescent="0.2"/>
  <cols>
    <col min="1" max="1" width="6.28515625" style="2" customWidth="1"/>
    <col min="2" max="2" width="73.5703125" customWidth="1"/>
    <col min="3" max="3" width="14.5703125" customWidth="1"/>
    <col min="4" max="4" width="14.140625" hidden="1" customWidth="1"/>
    <col min="5" max="6" width="15.7109375" hidden="1" customWidth="1"/>
    <col min="7" max="7" width="12.28515625" style="35" hidden="1" customWidth="1"/>
    <col min="8" max="8" width="3.85546875" customWidth="1"/>
    <col min="9" max="9" width="10.7109375" style="76" hidden="1" customWidth="1"/>
    <col min="10" max="10" width="9.140625" hidden="1" customWidth="1"/>
    <col min="11" max="11" width="10.42578125" hidden="1" customWidth="1"/>
    <col min="12" max="14" width="9.140625" hidden="1" customWidth="1"/>
    <col min="15" max="16" width="9.5703125" hidden="1" customWidth="1"/>
    <col min="17" max="21" width="9.140625" hidden="1" customWidth="1"/>
    <col min="22" max="28" width="9.140625" customWidth="1"/>
  </cols>
  <sheetData>
    <row r="1" spans="1:47" ht="15" customHeight="1" x14ac:dyDescent="0.3">
      <c r="A1" s="54"/>
      <c r="B1" s="33"/>
      <c r="C1" s="55" t="s">
        <v>484</v>
      </c>
      <c r="H1" s="2"/>
      <c r="I1" s="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5" customHeight="1" x14ac:dyDescent="0.3">
      <c r="A2" s="54"/>
      <c r="B2" s="33"/>
      <c r="C2" s="55" t="str">
        <f>'1.Bev-kiad.'!C2</f>
        <v>a 2/2025.(III.6.) önkormányzati rendelethez</v>
      </c>
      <c r="H2" s="2"/>
      <c r="I2" s="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5" customHeight="1" x14ac:dyDescent="0.3">
      <c r="A3" s="54"/>
      <c r="B3" s="33"/>
      <c r="D3" s="55"/>
      <c r="E3" s="55"/>
      <c r="H3" s="2"/>
      <c r="I3" s="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5" customHeight="1" x14ac:dyDescent="0.3">
      <c r="A4" s="54"/>
      <c r="B4" s="33"/>
      <c r="C4" s="55"/>
      <c r="H4" s="2"/>
      <c r="I4" s="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9.5" x14ac:dyDescent="0.35">
      <c r="A5" s="447" t="s">
        <v>369</v>
      </c>
      <c r="B5" s="447"/>
      <c r="C5" s="447"/>
      <c r="D5" s="447"/>
      <c r="E5" s="447"/>
      <c r="F5" s="447"/>
      <c r="G5" s="447"/>
      <c r="H5" s="2"/>
      <c r="I5" s="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9.5" x14ac:dyDescent="0.35">
      <c r="A6" s="447" t="s">
        <v>791</v>
      </c>
      <c r="B6" s="447"/>
      <c r="C6" s="447"/>
      <c r="D6" s="447"/>
      <c r="E6" s="447"/>
      <c r="F6" s="447"/>
      <c r="G6" s="447"/>
      <c r="H6" s="2"/>
      <c r="I6" s="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3.5" thickBot="1" x14ac:dyDescent="0.25">
      <c r="A7" s="54"/>
      <c r="B7" s="1"/>
      <c r="C7" s="55" t="s">
        <v>0</v>
      </c>
      <c r="H7" s="2"/>
      <c r="I7" s="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53.25" customHeight="1" thickBot="1" x14ac:dyDescent="0.25">
      <c r="A8" s="166" t="s">
        <v>106</v>
      </c>
      <c r="B8" s="263" t="s">
        <v>196</v>
      </c>
      <c r="C8" s="217" t="str">
        <f>'1.Bev-kiad.'!C8</f>
        <v>2025. évi eredeti előirányzat</v>
      </c>
      <c r="D8" s="217" t="str">
        <f>'1.Bev-kiad.'!D8</f>
        <v>Módosított előirányzat 2024.10.havi</v>
      </c>
      <c r="E8" s="217" t="str">
        <f>'1.Bev-kiad.'!E8</f>
        <v>Módosított előirányzat 2024..havi</v>
      </c>
      <c r="F8" s="217" t="str">
        <f>'1.Bev-kiad.'!F8</f>
        <v>Módosított előirányzat 2024.12.31.</v>
      </c>
      <c r="G8" s="42" t="str">
        <f>'2.működés'!G7</f>
        <v>Teljesítés 2024.12.31.</v>
      </c>
      <c r="H8" s="239"/>
      <c r="I8" s="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20.25" customHeight="1" x14ac:dyDescent="0.2">
      <c r="A9" s="167" t="s">
        <v>107</v>
      </c>
      <c r="B9" s="159" t="s">
        <v>353</v>
      </c>
      <c r="C9" s="207">
        <f>SUM(C14+C24+C30)</f>
        <v>0</v>
      </c>
      <c r="D9" s="207">
        <f>SUM(D14+D24+D30)</f>
        <v>5988</v>
      </c>
      <c r="E9" s="207">
        <f>SUM(E14+E24+E30)</f>
        <v>0</v>
      </c>
      <c r="F9" s="207">
        <f>SUM(F14+F24+F30)</f>
        <v>0</v>
      </c>
      <c r="G9" s="207">
        <f>SUM(G14+G24+G30)</f>
        <v>0</v>
      </c>
      <c r="H9" s="7"/>
      <c r="I9" s="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2.75" hidden="1" customHeight="1" x14ac:dyDescent="0.2">
      <c r="A10" s="8" t="s">
        <v>110</v>
      </c>
      <c r="B10" s="162" t="s">
        <v>114</v>
      </c>
      <c r="C10" s="6"/>
      <c r="D10" s="6"/>
      <c r="E10" s="6"/>
      <c r="F10" s="6"/>
      <c r="G10" s="6"/>
      <c r="H10" s="7"/>
      <c r="I10" s="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2.75" hidden="1" customHeight="1" x14ac:dyDescent="0.2">
      <c r="A11" s="8" t="s">
        <v>111</v>
      </c>
      <c r="B11" s="162" t="s">
        <v>115</v>
      </c>
      <c r="C11" s="10"/>
      <c r="D11" s="10"/>
      <c r="E11" s="10"/>
      <c r="F11" s="10"/>
      <c r="G11" s="10"/>
      <c r="H11" s="7"/>
      <c r="I11" s="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2.75" hidden="1" customHeight="1" x14ac:dyDescent="0.2">
      <c r="A12" s="8" t="s">
        <v>112</v>
      </c>
      <c r="B12" s="162" t="s">
        <v>116</v>
      </c>
      <c r="C12" s="12"/>
      <c r="D12" s="12"/>
      <c r="E12" s="12"/>
      <c r="F12" s="12"/>
      <c r="G12" s="12"/>
      <c r="H12" s="7"/>
      <c r="I12" s="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2.75" hidden="1" customHeight="1" x14ac:dyDescent="0.2">
      <c r="A13" s="8" t="s">
        <v>113</v>
      </c>
      <c r="B13" s="162" t="s">
        <v>118</v>
      </c>
      <c r="C13" s="12"/>
      <c r="D13" s="12"/>
      <c r="E13" s="12"/>
      <c r="F13" s="12"/>
      <c r="G13" s="12"/>
      <c r="H13" s="7"/>
      <c r="I13" s="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8" customHeight="1" x14ac:dyDescent="0.25">
      <c r="A14" s="13" t="s">
        <v>119</v>
      </c>
      <c r="B14" s="160" t="s">
        <v>234</v>
      </c>
      <c r="C14" s="41">
        <f>SUM(C15+C19)</f>
        <v>0</v>
      </c>
      <c r="D14" s="41">
        <f>SUM(D15+D19)</f>
        <v>5988</v>
      </c>
      <c r="E14" s="41">
        <f>SUM(E15+E19)</f>
        <v>0</v>
      </c>
      <c r="F14" s="41">
        <f>SUM(F15+F19)</f>
        <v>0</v>
      </c>
      <c r="G14" s="41">
        <f>SUM(G15+G19)</f>
        <v>0</v>
      </c>
      <c r="H14" s="7"/>
      <c r="I14" s="28"/>
      <c r="J14" s="2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3.5" customHeight="1" x14ac:dyDescent="0.2">
      <c r="A15" s="8"/>
      <c r="B15" s="162" t="s">
        <v>322</v>
      </c>
      <c r="C15" s="5">
        <f>SUM(C16:C18)</f>
        <v>0</v>
      </c>
      <c r="D15" s="5">
        <f>SUM(D16:D18)</f>
        <v>5988</v>
      </c>
      <c r="E15" s="5">
        <f>SUM(E16:E18)</f>
        <v>0</v>
      </c>
      <c r="F15" s="5">
        <f>SUM(F18:F18)</f>
        <v>0</v>
      </c>
      <c r="G15" s="5">
        <f>SUM(G18:G18)</f>
        <v>0</v>
      </c>
      <c r="H15" s="7"/>
      <c r="I15" s="28"/>
      <c r="J15" s="2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3.5" customHeight="1" x14ac:dyDescent="0.2">
      <c r="A16" s="8"/>
      <c r="B16" s="162"/>
      <c r="C16" s="296"/>
      <c r="D16" s="296">
        <v>5988</v>
      </c>
      <c r="E16" s="296"/>
      <c r="F16" s="5"/>
      <c r="G16" s="5"/>
      <c r="H16" s="7"/>
      <c r="I16" s="28"/>
      <c r="J16" s="2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3.5" hidden="1" customHeight="1" x14ac:dyDescent="0.2">
      <c r="A17" s="8"/>
      <c r="B17" s="162"/>
      <c r="C17" s="296"/>
      <c r="D17" s="296"/>
      <c r="E17" s="296"/>
      <c r="F17" s="5"/>
      <c r="G17" s="5"/>
      <c r="H17" s="7"/>
      <c r="I17" s="28"/>
      <c r="J17" s="2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idden="1" x14ac:dyDescent="0.2">
      <c r="A18" s="8"/>
      <c r="B18" s="162"/>
      <c r="C18" s="296"/>
      <c r="D18" s="296"/>
      <c r="E18" s="296"/>
      <c r="F18" s="296"/>
      <c r="G18" s="296"/>
      <c r="H18" s="7"/>
      <c r="I18" s="28"/>
      <c r="J18" s="2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x14ac:dyDescent="0.2">
      <c r="A19" s="8"/>
      <c r="B19" s="162" t="s">
        <v>305</v>
      </c>
      <c r="C19" s="5">
        <f>C21+C20</f>
        <v>0</v>
      </c>
      <c r="D19" s="5">
        <f>D21+D20</f>
        <v>0</v>
      </c>
      <c r="E19" s="5">
        <f>E21+E20</f>
        <v>0</v>
      </c>
      <c r="F19" s="5">
        <f>F21+F20</f>
        <v>0</v>
      </c>
      <c r="G19" s="5">
        <f>G21+G20</f>
        <v>0</v>
      </c>
      <c r="H19" s="7"/>
      <c r="I19" s="28"/>
      <c r="J19" s="2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x14ac:dyDescent="0.2">
      <c r="A20" s="8"/>
      <c r="B20" s="163"/>
      <c r="C20" s="296"/>
      <c r="D20" s="296"/>
      <c r="E20" s="296"/>
      <c r="F20" s="296"/>
      <c r="G20" s="296"/>
      <c r="H20" s="7"/>
      <c r="I20" s="28"/>
      <c r="J20" s="2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idden="1" x14ac:dyDescent="0.2">
      <c r="A21" s="8"/>
      <c r="B21" s="163"/>
      <c r="C21" s="296"/>
      <c r="D21" s="296"/>
      <c r="E21" s="296"/>
      <c r="F21" s="296">
        <v>0</v>
      </c>
      <c r="G21" s="296">
        <v>0</v>
      </c>
      <c r="H21" s="7"/>
      <c r="I21" s="28"/>
      <c r="J21" s="2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idden="1" x14ac:dyDescent="0.2">
      <c r="A22" s="8" t="s">
        <v>122</v>
      </c>
      <c r="B22" s="162" t="s">
        <v>125</v>
      </c>
      <c r="C22" s="12"/>
      <c r="D22" s="12"/>
      <c r="E22" s="12"/>
      <c r="F22" s="12"/>
      <c r="G22" s="12"/>
      <c r="H22" s="7"/>
      <c r="I22" s="28"/>
      <c r="J22" s="2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idden="1" x14ac:dyDescent="0.2">
      <c r="A23" s="8" t="s">
        <v>123</v>
      </c>
      <c r="B23" s="162" t="s">
        <v>126</v>
      </c>
      <c r="C23" s="12"/>
      <c r="D23" s="12"/>
      <c r="E23" s="12"/>
      <c r="F23" s="12"/>
      <c r="G23" s="12"/>
      <c r="H23" s="7"/>
      <c r="I23" s="28"/>
      <c r="J23" s="2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7.25" customHeight="1" x14ac:dyDescent="0.25">
      <c r="A24" s="13" t="s">
        <v>166</v>
      </c>
      <c r="B24" s="160" t="s">
        <v>235</v>
      </c>
      <c r="C24" s="41">
        <f>SUM(C25:C29)</f>
        <v>0</v>
      </c>
      <c r="D24" s="41">
        <f>SUM(D25:D29)</f>
        <v>0</v>
      </c>
      <c r="E24" s="41">
        <f>SUM(E25:E29)</f>
        <v>0</v>
      </c>
      <c r="F24" s="41">
        <f>SUM(F25:F29)</f>
        <v>0</v>
      </c>
      <c r="G24" s="41">
        <f>SUM(G25:G29)</f>
        <v>0</v>
      </c>
      <c r="H24" s="7"/>
      <c r="I24" s="28"/>
      <c r="J24" s="2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3.5" customHeight="1" x14ac:dyDescent="0.2">
      <c r="A25" s="8" t="s">
        <v>167</v>
      </c>
      <c r="B25" s="20" t="s">
        <v>236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7"/>
      <c r="I25" s="28"/>
      <c r="J25" s="2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3.5" customHeight="1" x14ac:dyDescent="0.2">
      <c r="A26" s="8" t="s">
        <v>168</v>
      </c>
      <c r="B26" s="20" t="s">
        <v>237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7"/>
      <c r="I26" s="28"/>
      <c r="J26" s="2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3.5" customHeight="1" x14ac:dyDescent="0.2">
      <c r="A27" s="8" t="s">
        <v>169</v>
      </c>
      <c r="B27" s="20" t="s">
        <v>461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7"/>
      <c r="I27" s="28"/>
      <c r="J27" s="2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3.5" customHeight="1" x14ac:dyDescent="0.2">
      <c r="A28" s="8" t="s">
        <v>170</v>
      </c>
      <c r="B28" s="20" t="s">
        <v>462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7"/>
      <c r="I28" s="28"/>
      <c r="J28" s="2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3.5" customHeight="1" x14ac:dyDescent="0.2">
      <c r="A29" s="152" t="s">
        <v>171</v>
      </c>
      <c r="B29" s="20" t="s">
        <v>238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7"/>
      <c r="I29" s="28"/>
      <c r="J29" s="2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8" customHeight="1" x14ac:dyDescent="0.25">
      <c r="A30" s="13" t="s">
        <v>178</v>
      </c>
      <c r="B30" s="160" t="s">
        <v>316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7"/>
      <c r="I30" s="28"/>
      <c r="J30" s="27"/>
      <c r="K30" s="7">
        <v>193952252</v>
      </c>
      <c r="L30" s="2" t="s">
        <v>604</v>
      </c>
      <c r="M30" s="2" t="s">
        <v>608</v>
      </c>
      <c r="P30" s="7">
        <v>151265293</v>
      </c>
      <c r="Q30" s="2" t="s">
        <v>604</v>
      </c>
      <c r="R30" s="2" t="s">
        <v>608</v>
      </c>
      <c r="S30" s="10">
        <f>(151265+694171+269237+2000+5000+5000+475+1107)</f>
        <v>1128255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3.5" hidden="1" customHeight="1" x14ac:dyDescent="0.25">
      <c r="A31" s="8" t="s">
        <v>185</v>
      </c>
      <c r="B31" s="20" t="s">
        <v>188</v>
      </c>
      <c r="C31" s="40"/>
      <c r="D31" s="40"/>
      <c r="E31" s="40"/>
      <c r="F31" s="40"/>
      <c r="G31" s="40"/>
      <c r="H31" s="7"/>
      <c r="I31" s="28"/>
      <c r="J31" s="27"/>
      <c r="K31" s="7"/>
      <c r="L31" s="2"/>
      <c r="M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3.5" hidden="1" customHeight="1" x14ac:dyDescent="0.25">
      <c r="A32" s="8" t="s">
        <v>186</v>
      </c>
      <c r="B32" s="20" t="s">
        <v>189</v>
      </c>
      <c r="C32" s="40"/>
      <c r="D32" s="40"/>
      <c r="E32" s="40"/>
      <c r="F32" s="40"/>
      <c r="G32" s="40"/>
      <c r="H32" s="7"/>
      <c r="I32" s="28"/>
      <c r="J32" s="27"/>
      <c r="K32" s="7"/>
      <c r="L32" s="2"/>
      <c r="M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3.5" hidden="1" customHeight="1" thickBot="1" x14ac:dyDescent="0.3">
      <c r="A33" s="11" t="s">
        <v>187</v>
      </c>
      <c r="B33" s="169" t="s">
        <v>190</v>
      </c>
      <c r="C33" s="170"/>
      <c r="D33" s="170"/>
      <c r="E33" s="170"/>
      <c r="F33" s="170"/>
      <c r="G33" s="170"/>
      <c r="H33" s="7"/>
      <c r="I33" s="28"/>
      <c r="J33" s="27"/>
      <c r="K33" s="7"/>
      <c r="L33" s="2"/>
      <c r="M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8" customHeight="1" x14ac:dyDescent="0.25">
      <c r="A34" s="201"/>
      <c r="B34" s="203" t="s">
        <v>354</v>
      </c>
      <c r="C34" s="208">
        <f>SUM(C35+C37)</f>
        <v>0</v>
      </c>
      <c r="D34" s="208">
        <f>SUM(D35+D37)</f>
        <v>13524</v>
      </c>
      <c r="E34" s="208">
        <f>SUM(E35+E37)</f>
        <v>13524</v>
      </c>
      <c r="F34" s="208">
        <f>SUM(F35+F37)</f>
        <v>13524</v>
      </c>
      <c r="G34" s="208">
        <f>SUM(G35+G37)</f>
        <v>13524</v>
      </c>
      <c r="H34" s="7"/>
      <c r="I34" s="28"/>
      <c r="J34" s="27"/>
      <c r="K34" s="7">
        <v>340592562</v>
      </c>
      <c r="L34" s="2" t="s">
        <v>605</v>
      </c>
      <c r="M34" s="2" t="s">
        <v>608</v>
      </c>
      <c r="P34" s="7">
        <v>694171538</v>
      </c>
      <c r="Q34" s="2" t="s">
        <v>605</v>
      </c>
      <c r="R34" s="2" t="s">
        <v>608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8" customHeight="1" x14ac:dyDescent="0.25">
      <c r="A35" s="201"/>
      <c r="B35" s="200" t="s">
        <v>358</v>
      </c>
      <c r="C35" s="30">
        <f>SUM(C36:C36)</f>
        <v>0</v>
      </c>
      <c r="D35" s="30">
        <f>SUM(D36:D36)</f>
        <v>13524</v>
      </c>
      <c r="E35" s="30">
        <f>SUM(E36:E36)</f>
        <v>13524</v>
      </c>
      <c r="F35" s="30">
        <f>SUM(F36:F36)</f>
        <v>13524</v>
      </c>
      <c r="G35" s="30">
        <f>SUM(G36:G36)</f>
        <v>13524</v>
      </c>
      <c r="H35" s="7"/>
      <c r="I35" s="28"/>
      <c r="J35" s="27"/>
      <c r="K35" s="7">
        <v>3906086</v>
      </c>
      <c r="L35" s="2" t="s">
        <v>606</v>
      </c>
      <c r="M35" s="2" t="s">
        <v>608</v>
      </c>
      <c r="P35" s="7">
        <f>270000000-763466</f>
        <v>269236534</v>
      </c>
      <c r="Q35" s="2" t="s">
        <v>606</v>
      </c>
      <c r="R35" s="2" t="s">
        <v>608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3.5" customHeight="1" x14ac:dyDescent="0.2">
      <c r="A36" s="201"/>
      <c r="B36" s="202" t="s">
        <v>632</v>
      </c>
      <c r="C36" s="10">
        <v>0</v>
      </c>
      <c r="D36" s="10">
        <f>13524</f>
        <v>13524</v>
      </c>
      <c r="E36" s="10">
        <f>13524</f>
        <v>13524</v>
      </c>
      <c r="F36" s="10">
        <f>13524</f>
        <v>13524</v>
      </c>
      <c r="G36" s="10">
        <f>13524</f>
        <v>13524</v>
      </c>
      <c r="H36" s="7"/>
      <c r="I36" s="10">
        <f t="shared" ref="I36" si="0">(193952+3906+340593+4920)</f>
        <v>543371</v>
      </c>
      <c r="J36" s="27"/>
      <c r="K36" s="7">
        <f>4999441-79000</f>
        <v>4920441</v>
      </c>
      <c r="L36" s="2" t="s">
        <v>637</v>
      </c>
      <c r="M36" s="2" t="s">
        <v>610</v>
      </c>
      <c r="P36" s="7">
        <v>1999723</v>
      </c>
      <c r="Q36" s="2" t="s">
        <v>607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8" customHeight="1" thickBot="1" x14ac:dyDescent="0.3">
      <c r="A37" s="201"/>
      <c r="B37" s="200" t="s">
        <v>359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7"/>
      <c r="I37" s="28"/>
      <c r="J37" s="27"/>
      <c r="K37" s="7"/>
      <c r="L37" s="2"/>
      <c r="M37" s="2"/>
      <c r="P37" s="7">
        <v>4999929</v>
      </c>
      <c r="Q37" s="2" t="s">
        <v>609</v>
      </c>
      <c r="R37" s="2" t="s">
        <v>610</v>
      </c>
      <c r="S37" s="2"/>
      <c r="T37" s="2">
        <v>1147812980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3.5" hidden="1" customHeight="1" thickBot="1" x14ac:dyDescent="0.25">
      <c r="A38" s="201"/>
      <c r="B38" s="11" t="s">
        <v>360</v>
      </c>
      <c r="C38" s="11"/>
      <c r="D38" s="11"/>
      <c r="E38" s="11"/>
      <c r="F38" s="11"/>
      <c r="G38" s="247"/>
      <c r="H38" s="7"/>
      <c r="I38" s="28"/>
      <c r="J38" s="27"/>
      <c r="K38" s="7"/>
      <c r="L38" s="2"/>
      <c r="M38" s="2"/>
      <c r="P38" s="7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20.25" thickBot="1" x14ac:dyDescent="0.4">
      <c r="A39" s="262"/>
      <c r="B39" s="266" t="s">
        <v>1</v>
      </c>
      <c r="C39" s="273">
        <f>SUM(C14+C24+C30+C35)</f>
        <v>0</v>
      </c>
      <c r="D39" s="273">
        <f>SUM(D14+D24+D30+D35)</f>
        <v>19512</v>
      </c>
      <c r="E39" s="273">
        <f>SUM(E14+E24+E30+E35)</f>
        <v>13524</v>
      </c>
      <c r="F39" s="273">
        <f>SUM(F14+F24+F30+F35)</f>
        <v>13524</v>
      </c>
      <c r="G39" s="272">
        <f>SUM(G14+G24+G30+G35)</f>
        <v>13524</v>
      </c>
      <c r="H39" s="7"/>
      <c r="I39" s="28"/>
      <c r="J39" s="27"/>
      <c r="K39" s="7"/>
      <c r="L39" s="2"/>
      <c r="M39" s="2"/>
      <c r="P39" s="7">
        <v>5000000</v>
      </c>
      <c r="Q39" s="2" t="s">
        <v>611</v>
      </c>
      <c r="R39" s="2" t="s">
        <v>610</v>
      </c>
      <c r="S39" s="2"/>
      <c r="T39" s="7">
        <f>T37-P30-P34-P35-P36-P37-P39-P40-P41</f>
        <v>19558356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20.25" customHeight="1" x14ac:dyDescent="0.25">
      <c r="A40" s="152"/>
      <c r="B40" s="164" t="s">
        <v>352</v>
      </c>
      <c r="C40" s="206">
        <f>SUM(C41+C55+C63)</f>
        <v>984</v>
      </c>
      <c r="D40" s="206">
        <f>SUM(D41+D55+D63)</f>
        <v>25167</v>
      </c>
      <c r="E40" s="206">
        <f>SUM(E41+E55+E63)</f>
        <v>17149</v>
      </c>
      <c r="F40" s="206">
        <f>SUM(F41+F55+F63)</f>
        <v>17150</v>
      </c>
      <c r="G40" s="206">
        <f>SUM(G41+G55+G63)</f>
        <v>17151</v>
      </c>
      <c r="H40" s="7"/>
      <c r="I40" s="28"/>
      <c r="J40" s="27"/>
      <c r="K40" s="7"/>
      <c r="L40" s="2"/>
      <c r="M40" s="2"/>
      <c r="P40" s="7">
        <f>9999835-9375118-150000</f>
        <v>474717</v>
      </c>
      <c r="Q40" s="2" t="s">
        <v>616</v>
      </c>
      <c r="R40" s="2"/>
      <c r="S40" s="2"/>
      <c r="T40" s="7">
        <f>T39-'2.működés'!I114</f>
        <v>18626009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8" customHeight="1" x14ac:dyDescent="0.25">
      <c r="A41" s="13" t="s">
        <v>239</v>
      </c>
      <c r="B41" s="160" t="s">
        <v>4</v>
      </c>
      <c r="C41" s="41">
        <f>C42+C46</f>
        <v>984</v>
      </c>
      <c r="D41" s="41">
        <f>D42+D46</f>
        <v>9372</v>
      </c>
      <c r="E41" s="41">
        <f>E42+E46</f>
        <v>3623</v>
      </c>
      <c r="F41" s="41">
        <f>F42+F46</f>
        <v>3623</v>
      </c>
      <c r="G41" s="41">
        <f>G42+G46</f>
        <v>3623</v>
      </c>
      <c r="H41" s="7"/>
      <c r="I41" s="28"/>
      <c r="J41" s="27"/>
      <c r="K41" s="7"/>
      <c r="L41" s="2"/>
      <c r="M41" s="2"/>
      <c r="P41" s="7">
        <f>19991022-18594132-290000</f>
        <v>1106890</v>
      </c>
      <c r="Q41" s="2" t="s">
        <v>615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3.5" customHeight="1" x14ac:dyDescent="0.2">
      <c r="A42" s="13"/>
      <c r="B42" s="19" t="s">
        <v>307</v>
      </c>
      <c r="C42" s="5">
        <f>C43+C44</f>
        <v>0</v>
      </c>
      <c r="D42" s="5">
        <f>D43+D44</f>
        <v>0</v>
      </c>
      <c r="E42" s="5">
        <f>E43+E44</f>
        <v>0</v>
      </c>
      <c r="F42" s="5">
        <f>F43+F44</f>
        <v>0</v>
      </c>
      <c r="G42" s="5">
        <f>G43+G44</f>
        <v>0</v>
      </c>
      <c r="H42" s="7"/>
      <c r="I42" s="28"/>
      <c r="J42" s="2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3.5" customHeight="1" x14ac:dyDescent="0.2">
      <c r="A43" s="13"/>
      <c r="B43" s="198"/>
      <c r="C43" s="297"/>
      <c r="D43" s="297"/>
      <c r="E43" s="297"/>
      <c r="F43" s="297"/>
      <c r="G43" s="297"/>
      <c r="H43" s="7"/>
      <c r="I43" s="28"/>
      <c r="J43" s="2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3.5" hidden="1" customHeight="1" x14ac:dyDescent="0.2">
      <c r="A44" s="13"/>
      <c r="B44" s="198"/>
      <c r="C44" s="297"/>
      <c r="D44" s="297"/>
      <c r="E44" s="297"/>
      <c r="F44" s="297"/>
      <c r="G44" s="297"/>
      <c r="H44" s="7"/>
      <c r="I44" s="28"/>
      <c r="J44" s="2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3.5" hidden="1" customHeight="1" x14ac:dyDescent="0.2">
      <c r="A45" s="13"/>
      <c r="B45" s="198"/>
      <c r="C45" s="297"/>
      <c r="D45" s="297"/>
      <c r="E45" s="297"/>
      <c r="F45" s="297"/>
      <c r="G45" s="297"/>
      <c r="H45" s="7"/>
      <c r="I45" s="28"/>
      <c r="J45" s="27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3.5" customHeight="1" x14ac:dyDescent="0.2">
      <c r="A46" s="13"/>
      <c r="B46" s="198" t="s">
        <v>346</v>
      </c>
      <c r="C46" s="5">
        <f>SUM(C47:C54)</f>
        <v>984</v>
      </c>
      <c r="D46" s="5">
        <f>SUM(D47:D54)</f>
        <v>9372</v>
      </c>
      <c r="E46" s="5">
        <f>SUM(E47:E54)</f>
        <v>3623</v>
      </c>
      <c r="F46" s="5">
        <f>SUM(F47:F54)</f>
        <v>3623</v>
      </c>
      <c r="G46" s="5">
        <f>SUM(G47:G54)</f>
        <v>3623</v>
      </c>
      <c r="H46" s="7"/>
      <c r="I46" s="28"/>
      <c r="J46" s="2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x14ac:dyDescent="0.2">
      <c r="A47" s="13"/>
      <c r="B47" s="163" t="s">
        <v>711</v>
      </c>
      <c r="C47" s="297">
        <v>350</v>
      </c>
      <c r="D47" s="297">
        <v>350</v>
      </c>
      <c r="E47" s="297">
        <v>350</v>
      </c>
      <c r="F47" s="297">
        <v>350</v>
      </c>
      <c r="G47" s="297">
        <v>350</v>
      </c>
      <c r="H47" s="7"/>
      <c r="I47" s="28"/>
      <c r="J47" s="2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x14ac:dyDescent="0.2">
      <c r="A48" s="13"/>
      <c r="B48" s="306" t="s">
        <v>833</v>
      </c>
      <c r="C48" s="296">
        <v>634</v>
      </c>
      <c r="D48" s="296">
        <v>3273</v>
      </c>
      <c r="E48" s="296">
        <v>3273</v>
      </c>
      <c r="F48" s="296">
        <v>3273</v>
      </c>
      <c r="G48" s="296">
        <v>3273</v>
      </c>
      <c r="H48" s="7"/>
      <c r="I48" s="28"/>
      <c r="J48" s="2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x14ac:dyDescent="0.2">
      <c r="A49" s="13"/>
      <c r="B49" s="306"/>
      <c r="C49" s="296">
        <v>0</v>
      </c>
      <c r="D49" s="296">
        <v>5749</v>
      </c>
      <c r="E49" s="296"/>
      <c r="F49" s="296"/>
      <c r="G49" s="296"/>
      <c r="H49" s="7"/>
      <c r="I49" s="28"/>
      <c r="J49" s="27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idden="1" x14ac:dyDescent="0.2">
      <c r="A50" s="13"/>
      <c r="B50" s="306"/>
      <c r="C50" s="296"/>
      <c r="D50" s="296"/>
      <c r="E50" s="296"/>
      <c r="F50" s="296"/>
      <c r="G50" s="296"/>
      <c r="H50" s="7"/>
      <c r="I50" s="28"/>
      <c r="J50" s="2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idden="1" x14ac:dyDescent="0.2">
      <c r="A51" s="13"/>
      <c r="B51" s="306"/>
      <c r="C51" s="296"/>
      <c r="D51" s="296"/>
      <c r="E51" s="296"/>
      <c r="F51" s="296"/>
      <c r="G51" s="296"/>
      <c r="H51" s="7"/>
      <c r="I51" s="28"/>
      <c r="J51" s="27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idden="1" x14ac:dyDescent="0.2">
      <c r="A52" s="13"/>
      <c r="B52" s="198"/>
      <c r="C52" s="224"/>
      <c r="D52" s="224"/>
      <c r="E52" s="224"/>
      <c r="F52" s="224"/>
      <c r="G52" s="224"/>
      <c r="H52" s="7"/>
      <c r="I52" s="28"/>
      <c r="J52" s="27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idden="1" x14ac:dyDescent="0.2">
      <c r="A53" s="13"/>
      <c r="B53" s="198"/>
      <c r="C53" s="224"/>
      <c r="D53" s="224"/>
      <c r="E53" s="224"/>
      <c r="F53" s="224"/>
      <c r="G53" s="224"/>
      <c r="H53" s="7"/>
      <c r="I53" s="28"/>
      <c r="J53" s="2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idden="1" x14ac:dyDescent="0.2">
      <c r="A54" s="13"/>
      <c r="B54" s="198"/>
      <c r="C54" s="224"/>
      <c r="D54" s="224"/>
      <c r="E54" s="224"/>
      <c r="F54" s="224"/>
      <c r="G54" s="224"/>
      <c r="H54" s="7"/>
      <c r="I54" s="35"/>
      <c r="J54" s="2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8" customHeight="1" x14ac:dyDescent="0.25">
      <c r="A55" s="13" t="s">
        <v>495</v>
      </c>
      <c r="B55" s="174" t="s">
        <v>3</v>
      </c>
      <c r="C55" s="41">
        <f>SUM(C56+C58)</f>
        <v>0</v>
      </c>
      <c r="D55" s="41">
        <f>SUM(D56+D58)</f>
        <v>2271</v>
      </c>
      <c r="E55" s="41">
        <f>SUM(E56+E58)</f>
        <v>0</v>
      </c>
      <c r="F55" s="41">
        <f>SUM(F56+F58)</f>
        <v>0</v>
      </c>
      <c r="G55" s="41">
        <f>SUM(G56+G58)</f>
        <v>0</v>
      </c>
      <c r="H55" s="7"/>
      <c r="I55" s="28"/>
      <c r="J55" s="2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3.5" customHeight="1" x14ac:dyDescent="0.2">
      <c r="A56" s="13"/>
      <c r="B56" s="19" t="s">
        <v>317</v>
      </c>
      <c r="C56" s="5">
        <f>C57</f>
        <v>0</v>
      </c>
      <c r="D56" s="5">
        <f>D57</f>
        <v>0</v>
      </c>
      <c r="E56" s="5">
        <f>E57</f>
        <v>0</v>
      </c>
      <c r="F56" s="5">
        <f>F57</f>
        <v>0</v>
      </c>
      <c r="G56" s="5">
        <f>G57</f>
        <v>0</v>
      </c>
      <c r="H56" s="7"/>
      <c r="I56" s="28"/>
      <c r="J56" s="2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x14ac:dyDescent="0.2">
      <c r="A57" s="13"/>
      <c r="B57" s="163"/>
      <c r="C57" s="297"/>
      <c r="D57" s="297"/>
      <c r="E57" s="297"/>
      <c r="F57" s="297"/>
      <c r="G57" s="297"/>
      <c r="H57" s="7"/>
      <c r="I57" s="28"/>
      <c r="J57" s="2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3.5" customHeight="1" x14ac:dyDescent="0.2">
      <c r="A58" s="13"/>
      <c r="B58" s="19" t="s">
        <v>318</v>
      </c>
      <c r="C58" s="5">
        <f>SUM(C59:C62)</f>
        <v>0</v>
      </c>
      <c r="D58" s="5">
        <f>SUM(D59:D62)</f>
        <v>2271</v>
      </c>
      <c r="E58" s="5">
        <f>SUM(E59:E62)</f>
        <v>0</v>
      </c>
      <c r="F58" s="5">
        <f>SUM(F59:F62)</f>
        <v>0</v>
      </c>
      <c r="G58" s="5">
        <f>SUM(G59:G62)</f>
        <v>0</v>
      </c>
      <c r="H58" s="7"/>
      <c r="I58" s="28"/>
      <c r="J58" s="2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3.5" customHeight="1" x14ac:dyDescent="0.2">
      <c r="A59" s="13"/>
      <c r="B59" s="8"/>
      <c r="C59" s="12"/>
      <c r="D59" s="12">
        <f>2500-229</f>
        <v>2271</v>
      </c>
      <c r="E59" s="12"/>
      <c r="F59" s="12"/>
      <c r="G59" s="12"/>
      <c r="H59" s="7"/>
      <c r="I59" s="28"/>
      <c r="J59" s="2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3.5" hidden="1" customHeight="1" x14ac:dyDescent="0.2">
      <c r="A60" s="13"/>
      <c r="B60" s="8"/>
      <c r="C60" s="12"/>
      <c r="D60" s="12"/>
      <c r="E60" s="12"/>
      <c r="F60" s="12"/>
      <c r="G60" s="12"/>
      <c r="H60" s="7"/>
      <c r="I60" s="28"/>
      <c r="J60" s="27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3.5" hidden="1" customHeight="1" x14ac:dyDescent="0.2">
      <c r="A61" s="13"/>
      <c r="B61" s="8"/>
      <c r="C61" s="12"/>
      <c r="D61" s="12"/>
      <c r="E61" s="12"/>
      <c r="F61" s="12"/>
      <c r="G61" s="12"/>
      <c r="H61" s="7"/>
      <c r="I61" s="28"/>
      <c r="J61" s="27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3.5" hidden="1" customHeight="1" x14ac:dyDescent="0.2">
      <c r="A62" s="13"/>
      <c r="B62" s="8"/>
      <c r="C62" s="12"/>
      <c r="D62" s="12"/>
      <c r="E62" s="12"/>
      <c r="F62" s="12"/>
      <c r="G62" s="12"/>
      <c r="H62" s="7"/>
      <c r="I62" s="28"/>
      <c r="J62" s="27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9.5" customHeight="1" x14ac:dyDescent="0.25">
      <c r="A63" s="13"/>
      <c r="B63" s="22" t="s">
        <v>13</v>
      </c>
      <c r="C63" s="41">
        <f t="shared" ref="C63:D63" si="1">SUM(C64:C68)</f>
        <v>0</v>
      </c>
      <c r="D63" s="41">
        <f t="shared" si="1"/>
        <v>13524</v>
      </c>
      <c r="E63" s="41">
        <f t="shared" ref="E63:G63" si="2">SUM(E64:E68)</f>
        <v>13526</v>
      </c>
      <c r="F63" s="41">
        <f t="shared" si="2"/>
        <v>13527</v>
      </c>
      <c r="G63" s="41">
        <f t="shared" si="2"/>
        <v>13528</v>
      </c>
      <c r="H63" s="7"/>
      <c r="I63" s="28">
        <v>7827309</v>
      </c>
      <c r="J63" s="27" t="s">
        <v>712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3.5" hidden="1" customHeight="1" x14ac:dyDescent="0.2">
      <c r="A64" s="13"/>
      <c r="B64" s="8" t="s">
        <v>371</v>
      </c>
      <c r="C64" s="31">
        <v>0</v>
      </c>
      <c r="D64" s="31">
        <v>7828</v>
      </c>
      <c r="E64" s="31">
        <v>7830</v>
      </c>
      <c r="F64" s="31">
        <v>7831</v>
      </c>
      <c r="G64" s="31">
        <v>7832</v>
      </c>
      <c r="H64" s="7"/>
      <c r="I64" s="28">
        <v>3680406</v>
      </c>
      <c r="J64" s="27" t="s">
        <v>638</v>
      </c>
      <c r="K64" s="2"/>
      <c r="L64" s="28"/>
      <c r="M64" s="2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3.5" hidden="1" customHeight="1" thickBot="1" x14ac:dyDescent="0.25">
      <c r="A65" s="13"/>
      <c r="B65" s="171" t="s">
        <v>559</v>
      </c>
      <c r="C65" s="268">
        <v>0</v>
      </c>
      <c r="D65" s="268">
        <f>13524-7828</f>
        <v>5696</v>
      </c>
      <c r="E65" s="268">
        <f t="shared" ref="E65:G65" si="3">13524-7828</f>
        <v>5696</v>
      </c>
      <c r="F65" s="268">
        <f t="shared" si="3"/>
        <v>5696</v>
      </c>
      <c r="G65" s="268">
        <f t="shared" si="3"/>
        <v>5696</v>
      </c>
      <c r="H65" s="7"/>
      <c r="I65" s="28">
        <v>3450219</v>
      </c>
      <c r="J65" s="27" t="s">
        <v>706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3.5" hidden="1" customHeight="1" thickBot="1" x14ac:dyDescent="0.25">
      <c r="A66" s="261"/>
      <c r="B66" s="201" t="s">
        <v>621</v>
      </c>
      <c r="C66" s="268"/>
      <c r="D66" s="268"/>
      <c r="E66" s="268"/>
      <c r="F66" s="268"/>
      <c r="G66" s="268"/>
      <c r="H66" s="7"/>
      <c r="I66" s="28">
        <f t="shared" ref="I66:I68" si="4">E66-D66</f>
        <v>0</v>
      </c>
      <c r="J66" s="27" t="s">
        <v>614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13.5" hidden="1" customHeight="1" thickBot="1" x14ac:dyDescent="0.25">
      <c r="A67" s="261"/>
      <c r="B67" s="201"/>
      <c r="C67" s="268"/>
      <c r="D67" s="268"/>
      <c r="E67" s="268"/>
      <c r="F67" s="268"/>
      <c r="G67" s="268"/>
      <c r="H67" s="7"/>
      <c r="I67" s="28">
        <f t="shared" si="4"/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13.5" hidden="1" customHeight="1" thickBot="1" x14ac:dyDescent="0.25">
      <c r="A68" s="261"/>
      <c r="B68" s="201" t="s">
        <v>594</v>
      </c>
      <c r="C68" s="268"/>
      <c r="D68" s="268"/>
      <c r="E68" s="268"/>
      <c r="F68" s="268"/>
      <c r="G68" s="268"/>
      <c r="H68" s="7"/>
      <c r="I68" s="28">
        <f t="shared" si="4"/>
        <v>0</v>
      </c>
      <c r="J68" s="27" t="s">
        <v>613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9.5" customHeight="1" thickBot="1" x14ac:dyDescent="0.3">
      <c r="A69" s="201"/>
      <c r="B69" s="211" t="s">
        <v>351</v>
      </c>
      <c r="C69" s="267">
        <v>0</v>
      </c>
      <c r="D69" s="267">
        <v>0</v>
      </c>
      <c r="E69" s="267">
        <v>0</v>
      </c>
      <c r="F69" s="267">
        <v>0</v>
      </c>
      <c r="G69" s="267">
        <v>0</v>
      </c>
      <c r="H69" s="7"/>
      <c r="I69" s="28">
        <f>I64-I65</f>
        <v>230187</v>
      </c>
      <c r="J69" s="27" t="s">
        <v>707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24" customHeight="1" thickBot="1" x14ac:dyDescent="0.4">
      <c r="A70" s="262"/>
      <c r="B70" s="266" t="s">
        <v>2</v>
      </c>
      <c r="C70" s="273">
        <f>SUM(C41+C55+C63+C69)</f>
        <v>984</v>
      </c>
      <c r="D70" s="273">
        <f>SUM(D41+D55+D63+D69)</f>
        <v>25167</v>
      </c>
      <c r="E70" s="273">
        <f>SUM(E41+E55+E63+E69)</f>
        <v>17149</v>
      </c>
      <c r="F70" s="273">
        <f>SUM(F41+F55+F63+F69)</f>
        <v>17150</v>
      </c>
      <c r="G70" s="272">
        <f>SUM(G41+G55+G63+G69)</f>
        <v>17151</v>
      </c>
      <c r="H70" s="7"/>
      <c r="I70" s="28"/>
      <c r="J70" s="2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5.75" customHeight="1" x14ac:dyDescent="0.2">
      <c r="B71" s="2"/>
      <c r="C71" s="7"/>
      <c r="D71" s="249"/>
      <c r="E71" s="249"/>
      <c r="F71" s="249"/>
      <c r="G71" s="250"/>
      <c r="H71" s="7"/>
      <c r="I71" s="28"/>
      <c r="J71" s="2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5.75" customHeight="1" x14ac:dyDescent="0.2">
      <c r="B72" s="2"/>
      <c r="C72" s="2"/>
      <c r="D72" s="2"/>
      <c r="E72" s="2"/>
      <c r="F72" s="2"/>
      <c r="G72" s="2"/>
      <c r="H72" s="7"/>
      <c r="I72" s="28"/>
      <c r="J72" s="2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5.75" customHeight="1" x14ac:dyDescent="0.2">
      <c r="B73" s="2"/>
      <c r="C73" s="2"/>
      <c r="D73" s="2"/>
      <c r="E73" s="2"/>
      <c r="F73" s="2"/>
      <c r="G73" s="2"/>
      <c r="H73" s="7"/>
      <c r="I73" s="28"/>
      <c r="J73" s="2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5.75" customHeight="1" x14ac:dyDescent="0.2">
      <c r="B74" s="2"/>
      <c r="C74" s="2"/>
      <c r="D74" s="2"/>
      <c r="E74" s="2"/>
      <c r="F74" s="2"/>
      <c r="G74" s="2"/>
      <c r="H74" s="7"/>
      <c r="I74" s="28"/>
      <c r="J74" s="2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5.75" customHeight="1" x14ac:dyDescent="0.2">
      <c r="B75" s="2"/>
      <c r="C75" s="2"/>
      <c r="D75" s="2"/>
      <c r="E75" s="2"/>
      <c r="F75" s="2"/>
      <c r="G75" s="2"/>
      <c r="H75" s="7"/>
      <c r="I75" s="28"/>
      <c r="J75" s="2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5.75" customHeight="1" x14ac:dyDescent="0.2">
      <c r="B76" s="2"/>
      <c r="C76" s="2"/>
      <c r="D76" s="2"/>
      <c r="E76" s="2"/>
      <c r="F76" s="2"/>
      <c r="G76" s="2"/>
      <c r="H76" s="7"/>
      <c r="I76" s="28"/>
      <c r="J76" s="2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5.75" customHeight="1" x14ac:dyDescent="0.2">
      <c r="B77" s="2"/>
      <c r="C77" s="2"/>
      <c r="D77" s="2"/>
      <c r="E77" s="2"/>
      <c r="F77" s="2"/>
      <c r="G77" s="2"/>
      <c r="H77" s="7"/>
      <c r="I77" s="28"/>
      <c r="J77" s="2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5.75" customHeight="1" x14ac:dyDescent="0.2">
      <c r="A78"/>
      <c r="B78" s="2"/>
      <c r="C78" s="2"/>
      <c r="D78" s="2"/>
      <c r="E78" s="2"/>
      <c r="F78" s="2"/>
      <c r="G78" s="2"/>
      <c r="H78" s="7"/>
      <c r="I78" s="28"/>
      <c r="J78" s="2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5.75" customHeight="1" x14ac:dyDescent="0.2">
      <c r="A79"/>
      <c r="B79" s="2"/>
      <c r="C79" s="2"/>
      <c r="D79" s="2"/>
      <c r="E79" s="2"/>
      <c r="F79" s="2"/>
      <c r="G79" s="2"/>
      <c r="H79" s="7"/>
      <c r="I79" s="28"/>
      <c r="J79" s="2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5.75" customHeight="1" x14ac:dyDescent="0.2">
      <c r="A80"/>
      <c r="B80" s="2"/>
      <c r="C80" s="2"/>
      <c r="D80" s="2"/>
      <c r="E80" s="2"/>
      <c r="F80" s="2"/>
      <c r="G80" s="2"/>
      <c r="H80" s="7"/>
      <c r="I80" s="28"/>
      <c r="J80" s="2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15.75" customHeight="1" x14ac:dyDescent="0.2">
      <c r="A81"/>
      <c r="B81" s="2"/>
      <c r="C81" s="2"/>
      <c r="D81" s="2"/>
      <c r="E81" s="2"/>
      <c r="F81" s="2"/>
      <c r="G81" s="2"/>
      <c r="H81" s="7"/>
      <c r="I81" s="28"/>
      <c r="J81" s="2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15.75" customHeight="1" x14ac:dyDescent="0.2">
      <c r="A82"/>
      <c r="B82" s="2"/>
      <c r="C82" s="2"/>
      <c r="D82" s="2"/>
      <c r="E82" s="2"/>
      <c r="F82" s="2"/>
      <c r="G82" s="2"/>
      <c r="H82" s="7"/>
      <c r="I82" s="28"/>
      <c r="J82" s="2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ht="15.75" customHeight="1" x14ac:dyDescent="0.2">
      <c r="A83"/>
      <c r="B83" s="2"/>
      <c r="C83" s="2"/>
      <c r="D83" s="2"/>
      <c r="E83" s="2"/>
      <c r="F83" s="2"/>
      <c r="G83" s="2"/>
      <c r="H83" s="7"/>
      <c r="I83" s="28"/>
      <c r="J83" s="2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5.75" customHeight="1" x14ac:dyDescent="0.2">
      <c r="A84"/>
      <c r="B84" s="2"/>
      <c r="C84" s="2"/>
      <c r="D84" s="2"/>
      <c r="E84" s="2"/>
      <c r="F84" s="2"/>
      <c r="G84" s="2"/>
      <c r="H84" s="7"/>
      <c r="I84" s="28"/>
      <c r="J84" s="2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15.75" customHeight="1" x14ac:dyDescent="0.2">
      <c r="A85"/>
      <c r="B85" s="2"/>
      <c r="C85" s="2"/>
      <c r="D85" s="2"/>
      <c r="E85" s="2"/>
      <c r="F85" s="2"/>
      <c r="G85" s="2"/>
      <c r="H85" s="7"/>
      <c r="I85" s="28"/>
      <c r="J85" s="2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5.75" customHeight="1" x14ac:dyDescent="0.2">
      <c r="A86"/>
      <c r="B86" s="2"/>
      <c r="C86" s="2"/>
      <c r="D86" s="2"/>
      <c r="E86" s="2"/>
      <c r="F86" s="2"/>
      <c r="G86" s="2"/>
      <c r="H86" s="7"/>
      <c r="I86" s="28"/>
      <c r="J86" s="2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5.75" customHeight="1" x14ac:dyDescent="0.2">
      <c r="A87"/>
      <c r="B87" s="2"/>
      <c r="C87" s="2"/>
      <c r="D87" s="2"/>
      <c r="E87" s="2"/>
      <c r="F87" s="2"/>
      <c r="G87" s="2"/>
      <c r="H87" s="7"/>
      <c r="I87" s="28"/>
      <c r="J87" s="2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15.75" customHeight="1" x14ac:dyDescent="0.2">
      <c r="A88"/>
      <c r="B88" s="2"/>
      <c r="C88" s="2"/>
      <c r="D88" s="2"/>
      <c r="E88" s="2"/>
      <c r="F88" s="2"/>
      <c r="G88" s="2"/>
      <c r="H88" s="7"/>
      <c r="I88" s="28"/>
      <c r="J88" s="2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5.75" customHeight="1" x14ac:dyDescent="0.2">
      <c r="A89"/>
      <c r="B89" s="2"/>
      <c r="C89" s="2"/>
      <c r="D89" s="2"/>
      <c r="E89" s="2"/>
      <c r="F89" s="2"/>
      <c r="G89" s="2"/>
      <c r="H89" s="7"/>
      <c r="I89" s="28"/>
      <c r="J89" s="2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5.75" customHeight="1" x14ac:dyDescent="0.2">
      <c r="A90"/>
      <c r="B90" s="2"/>
      <c r="C90" s="2"/>
      <c r="D90" s="2"/>
      <c r="E90" s="2"/>
      <c r="F90" s="2"/>
      <c r="G90" s="2"/>
      <c r="H90" s="7"/>
      <c r="I90" s="28"/>
      <c r="J90" s="2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5.75" customHeight="1" x14ac:dyDescent="0.2">
      <c r="A91"/>
      <c r="B91" s="2"/>
      <c r="C91" s="2"/>
      <c r="D91" s="2"/>
      <c r="E91" s="2"/>
      <c r="F91" s="2"/>
      <c r="G91" s="2"/>
      <c r="H91" s="7"/>
      <c r="I91" s="28"/>
      <c r="J91" s="2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5.75" customHeight="1" x14ac:dyDescent="0.2">
      <c r="A92"/>
      <c r="B92" s="2"/>
      <c r="C92" s="2"/>
      <c r="D92" s="2"/>
      <c r="E92" s="2"/>
      <c r="F92" s="2"/>
      <c r="G92" s="2"/>
      <c r="H92" s="7"/>
      <c r="I92" s="28"/>
      <c r="J92" s="2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5.75" customHeight="1" x14ac:dyDescent="0.2">
      <c r="A93"/>
      <c r="B93" s="2"/>
      <c r="C93" s="2"/>
      <c r="D93" s="2"/>
      <c r="E93" s="2"/>
      <c r="F93" s="2"/>
      <c r="G93" s="2"/>
      <c r="H93" s="7"/>
      <c r="I93" s="28"/>
      <c r="J93" s="2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15.75" customHeight="1" x14ac:dyDescent="0.2">
      <c r="A94"/>
      <c r="B94" s="2"/>
      <c r="C94" s="2"/>
      <c r="D94" s="2"/>
      <c r="E94" s="2"/>
      <c r="F94" s="2"/>
      <c r="G94" s="2"/>
      <c r="H94" s="7"/>
      <c r="I94" s="28"/>
      <c r="J94" s="2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5.75" customHeight="1" x14ac:dyDescent="0.2">
      <c r="A95"/>
      <c r="B95" s="2"/>
      <c r="C95" s="2"/>
      <c r="D95" s="2"/>
      <c r="E95" s="2"/>
      <c r="F95" s="2"/>
      <c r="G95" s="2"/>
      <c r="H95" s="7"/>
      <c r="I95" s="28"/>
      <c r="J95" s="2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5.75" customHeight="1" x14ac:dyDescent="0.2">
      <c r="A96"/>
      <c r="B96" s="2"/>
      <c r="C96" s="2"/>
      <c r="D96" s="2"/>
      <c r="E96" s="2"/>
      <c r="F96" s="2"/>
      <c r="G96" s="2"/>
      <c r="H96" s="7"/>
      <c r="I96" s="28"/>
      <c r="J96" s="2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5.75" customHeight="1" x14ac:dyDescent="0.2">
      <c r="A97"/>
      <c r="B97" s="2"/>
      <c r="C97" s="2"/>
      <c r="D97" s="2"/>
      <c r="E97" s="2"/>
      <c r="F97" s="2"/>
      <c r="G97" s="2"/>
      <c r="H97" s="7"/>
      <c r="I97" s="28"/>
      <c r="J97" s="2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15.75" customHeight="1" x14ac:dyDescent="0.2">
      <c r="A98"/>
      <c r="B98" s="2"/>
      <c r="C98" s="2"/>
      <c r="D98" s="2"/>
      <c r="E98" s="2"/>
      <c r="F98" s="2"/>
      <c r="G98" s="2"/>
      <c r="H98" s="7"/>
      <c r="I98" s="28"/>
      <c r="J98" s="2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5.75" customHeight="1" x14ac:dyDescent="0.2">
      <c r="A99"/>
      <c r="B99" s="2"/>
      <c r="C99" s="2"/>
      <c r="D99" s="2"/>
      <c r="E99" s="2"/>
      <c r="F99" s="2"/>
      <c r="G99" s="2"/>
      <c r="H99" s="7"/>
      <c r="I99" s="28"/>
      <c r="J99" s="2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5.75" customHeight="1" x14ac:dyDescent="0.2">
      <c r="A100"/>
      <c r="B100" s="2"/>
      <c r="C100" s="2"/>
      <c r="D100" s="2"/>
      <c r="E100" s="2"/>
      <c r="F100" s="2"/>
      <c r="G100" s="2"/>
      <c r="H100" s="7"/>
      <c r="I100" s="28"/>
      <c r="J100" s="2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ht="15.75" customHeight="1" x14ac:dyDescent="0.2">
      <c r="A101"/>
      <c r="B101" s="2"/>
      <c r="C101" s="2"/>
      <c r="D101" s="2"/>
      <c r="E101" s="2"/>
      <c r="F101" s="2"/>
      <c r="G101" s="2"/>
      <c r="H101" s="7"/>
      <c r="I101" s="28"/>
      <c r="J101" s="2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ht="15.75" customHeight="1" x14ac:dyDescent="0.2">
      <c r="A102"/>
      <c r="B102" s="2"/>
      <c r="C102" s="2"/>
      <c r="D102" s="2"/>
      <c r="E102" s="2"/>
      <c r="F102" s="2"/>
      <c r="G102" s="2"/>
      <c r="H102" s="7"/>
      <c r="I102" s="28"/>
      <c r="J102" s="2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ht="15.75" customHeight="1" x14ac:dyDescent="0.2">
      <c r="A103"/>
      <c r="B103" s="2"/>
      <c r="C103" s="2"/>
      <c r="D103" s="2"/>
      <c r="E103" s="2"/>
      <c r="F103" s="2"/>
      <c r="G103" s="2"/>
      <c r="H103" s="7"/>
      <c r="I103" s="28"/>
      <c r="J103" s="2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ht="15.75" customHeight="1" x14ac:dyDescent="0.2">
      <c r="A104"/>
      <c r="B104" s="2"/>
      <c r="C104" s="2"/>
      <c r="D104" s="2"/>
      <c r="E104" s="2"/>
      <c r="F104" s="2"/>
      <c r="G104" s="2"/>
      <c r="H104" s="7"/>
      <c r="I104" s="28"/>
      <c r="J104" s="2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ht="15.75" customHeight="1" x14ac:dyDescent="0.2">
      <c r="A105"/>
      <c r="B105" s="2"/>
      <c r="C105" s="2"/>
      <c r="D105" s="2"/>
      <c r="E105" s="2"/>
      <c r="F105" s="2"/>
      <c r="G105" s="2"/>
      <c r="H105" s="7"/>
      <c r="I105" s="28"/>
      <c r="J105" s="2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ht="15.75" customHeight="1" x14ac:dyDescent="0.2">
      <c r="A106"/>
      <c r="B106" s="2"/>
      <c r="C106" s="2"/>
      <c r="D106" s="2"/>
      <c r="E106" s="2"/>
      <c r="F106" s="2"/>
      <c r="G106" s="2"/>
      <c r="H106" s="7"/>
      <c r="I106" s="28"/>
      <c r="J106" s="2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ht="15.75" customHeight="1" x14ac:dyDescent="0.2">
      <c r="A107"/>
      <c r="B107" s="2"/>
      <c r="C107" s="2"/>
      <c r="D107" s="2"/>
      <c r="E107" s="2"/>
      <c r="F107" s="2"/>
      <c r="G107" s="2"/>
      <c r="H107" s="7"/>
      <c r="I107" s="28"/>
      <c r="J107" s="2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ht="15.75" customHeight="1" x14ac:dyDescent="0.2">
      <c r="A108"/>
      <c r="B108" s="2"/>
      <c r="C108" s="2"/>
      <c r="D108" s="2"/>
      <c r="E108" s="2"/>
      <c r="F108" s="2"/>
      <c r="G108" s="2"/>
      <c r="H108" s="7"/>
      <c r="I108" s="28"/>
      <c r="J108" s="2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ht="15.75" customHeight="1" x14ac:dyDescent="0.2">
      <c r="A109"/>
      <c r="B109" s="2"/>
      <c r="C109" s="2"/>
      <c r="D109" s="2"/>
      <c r="E109" s="2"/>
      <c r="F109" s="2"/>
      <c r="G109" s="2"/>
      <c r="H109" s="7"/>
      <c r="I109" s="28"/>
      <c r="J109" s="2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1:47" ht="15.75" customHeight="1" x14ac:dyDescent="0.2">
      <c r="A110"/>
      <c r="B110" s="2"/>
      <c r="C110" s="2"/>
      <c r="D110" s="2"/>
      <c r="E110" s="2"/>
      <c r="F110" s="2"/>
      <c r="G110" s="2"/>
      <c r="H110" s="7"/>
      <c r="I110" s="28"/>
      <c r="J110" s="2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ht="15.75" customHeight="1" x14ac:dyDescent="0.2">
      <c r="A111"/>
      <c r="B111" s="2"/>
      <c r="C111" s="2"/>
      <c r="D111" s="2"/>
      <c r="E111" s="2"/>
      <c r="F111" s="2"/>
      <c r="G111" s="2"/>
      <c r="H111" s="7"/>
      <c r="I111" s="28"/>
      <c r="J111" s="2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1:47" ht="15.75" customHeight="1" x14ac:dyDescent="0.2">
      <c r="A112"/>
      <c r="B112" s="2"/>
      <c r="C112" s="2"/>
      <c r="D112" s="2"/>
      <c r="E112" s="2"/>
      <c r="F112" s="2"/>
      <c r="G112" s="2"/>
      <c r="H112" s="7"/>
      <c r="I112" s="28"/>
      <c r="J112" s="2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7" ht="15.75" customHeight="1" x14ac:dyDescent="0.2">
      <c r="A113"/>
      <c r="B113" s="2"/>
      <c r="C113" s="2"/>
      <c r="D113" s="2"/>
      <c r="E113" s="2"/>
      <c r="F113" s="2"/>
      <c r="G113" s="2"/>
      <c r="H113" s="7"/>
      <c r="I113" s="28"/>
      <c r="J113" s="2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1:47" ht="15.75" customHeight="1" x14ac:dyDescent="0.2">
      <c r="A114"/>
      <c r="B114" s="2"/>
      <c r="C114" s="2"/>
      <c r="D114" s="2"/>
      <c r="E114" s="2"/>
      <c r="F114" s="2"/>
      <c r="G114" s="2"/>
      <c r="H114" s="7"/>
      <c r="I114" s="28"/>
      <c r="J114" s="2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1:47" ht="15.75" customHeight="1" x14ac:dyDescent="0.2">
      <c r="A115"/>
      <c r="B115" s="2"/>
      <c r="C115" s="2"/>
      <c r="D115" s="2"/>
      <c r="E115" s="2"/>
      <c r="F115" s="2"/>
      <c r="G115" s="2"/>
      <c r="H115" s="7"/>
      <c r="I115" s="28"/>
      <c r="J115" s="2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1:47" ht="15.75" customHeight="1" x14ac:dyDescent="0.2">
      <c r="A116"/>
      <c r="B116" s="2"/>
      <c r="C116" s="2"/>
      <c r="D116" s="2"/>
      <c r="E116" s="2"/>
      <c r="F116" s="2"/>
      <c r="G116" s="2"/>
      <c r="H116" s="7"/>
      <c r="I116" s="28"/>
      <c r="J116" s="2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1:47" ht="15.75" customHeight="1" x14ac:dyDescent="0.2">
      <c r="A117"/>
      <c r="B117" s="2"/>
      <c r="C117" s="2"/>
      <c r="D117" s="2"/>
      <c r="E117" s="2"/>
      <c r="F117" s="2"/>
      <c r="G117" s="2"/>
      <c r="H117" s="7"/>
      <c r="I117" s="28"/>
      <c r="J117" s="2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ht="15.75" customHeight="1" x14ac:dyDescent="0.2">
      <c r="A118"/>
      <c r="B118" s="2"/>
      <c r="C118" s="2"/>
      <c r="D118" s="2"/>
      <c r="E118" s="2"/>
      <c r="F118" s="2"/>
      <c r="G118" s="2"/>
      <c r="H118" s="7"/>
      <c r="I118" s="28"/>
      <c r="J118" s="2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ht="15.75" customHeight="1" x14ac:dyDescent="0.2">
      <c r="A119"/>
      <c r="B119" s="2"/>
      <c r="C119" s="2"/>
      <c r="D119" s="2"/>
      <c r="E119" s="2"/>
      <c r="F119" s="2"/>
      <c r="G119" s="2"/>
      <c r="H119" s="7"/>
      <c r="I119" s="28"/>
      <c r="J119" s="2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ht="15.75" customHeight="1" x14ac:dyDescent="0.2">
      <c r="A120"/>
      <c r="B120" s="2"/>
      <c r="C120" s="2"/>
      <c r="D120" s="2"/>
      <c r="E120" s="2"/>
      <c r="F120" s="2"/>
      <c r="G120" s="2"/>
      <c r="H120" s="7"/>
      <c r="I120" s="28"/>
      <c r="J120" s="2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ht="15.75" customHeight="1" x14ac:dyDescent="0.2">
      <c r="A121"/>
      <c r="B121" s="2"/>
      <c r="C121" s="2"/>
      <c r="D121" s="2"/>
      <c r="E121" s="2"/>
      <c r="F121" s="2"/>
      <c r="G121" s="2"/>
      <c r="H121" s="7"/>
      <c r="I121" s="28"/>
      <c r="J121" s="2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47" ht="15.75" customHeight="1" x14ac:dyDescent="0.2">
      <c r="A122"/>
      <c r="B122" s="2"/>
      <c r="C122" s="2"/>
      <c r="D122" s="2"/>
      <c r="E122" s="2"/>
      <c r="F122" s="2"/>
      <c r="G122" s="2"/>
      <c r="H122" s="7"/>
      <c r="I122" s="28"/>
      <c r="J122" s="2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47" ht="15.75" customHeight="1" x14ac:dyDescent="0.2">
      <c r="A123"/>
      <c r="B123" s="2"/>
      <c r="C123" s="2"/>
      <c r="D123" s="2"/>
      <c r="E123" s="2"/>
      <c r="F123" s="2"/>
      <c r="G123" s="2"/>
      <c r="H123" s="7"/>
      <c r="I123" s="28"/>
      <c r="J123" s="2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1:47" ht="15.75" customHeight="1" x14ac:dyDescent="0.2">
      <c r="A124"/>
      <c r="B124" s="2"/>
      <c r="C124" s="2"/>
      <c r="D124" s="2"/>
      <c r="E124" s="2"/>
      <c r="F124" s="2"/>
      <c r="G124" s="2"/>
      <c r="H124" s="7"/>
      <c r="I124" s="28"/>
      <c r="J124" s="2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47" ht="15.75" customHeight="1" x14ac:dyDescent="0.2">
      <c r="A125"/>
      <c r="B125" s="2"/>
      <c r="C125" s="2"/>
      <c r="D125" s="2"/>
      <c r="E125" s="2"/>
      <c r="F125" s="2"/>
      <c r="G125" s="2"/>
      <c r="H125" s="2"/>
      <c r="I125" s="28"/>
      <c r="J125" s="2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1:47" ht="15.75" customHeight="1" x14ac:dyDescent="0.2">
      <c r="A126"/>
      <c r="B126" s="2"/>
      <c r="C126" s="2"/>
      <c r="D126" s="2"/>
      <c r="E126" s="2"/>
      <c r="F126" s="2"/>
      <c r="G126" s="2"/>
      <c r="H126" s="7"/>
      <c r="I126" s="28"/>
      <c r="J126" s="2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ht="15.75" customHeight="1" x14ac:dyDescent="0.2">
      <c r="A127"/>
      <c r="B127" s="2"/>
      <c r="C127" s="2"/>
      <c r="D127" s="2"/>
      <c r="E127" s="2"/>
      <c r="F127" s="2"/>
      <c r="G127" s="2"/>
      <c r="H127" s="2"/>
      <c r="I127" s="28"/>
      <c r="J127" s="2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ht="15.75" customHeight="1" x14ac:dyDescent="0.2">
      <c r="A128"/>
      <c r="B128" s="2"/>
      <c r="C128" s="2"/>
      <c r="D128" s="2"/>
      <c r="E128" s="2"/>
      <c r="F128" s="2"/>
      <c r="G128" s="2"/>
      <c r="H128" s="2"/>
      <c r="I128" s="28"/>
      <c r="J128" s="27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 ht="15.75" customHeight="1" x14ac:dyDescent="0.2">
      <c r="A129"/>
      <c r="B129" s="2"/>
      <c r="C129" s="2"/>
      <c r="D129" s="2"/>
      <c r="E129" s="2"/>
      <c r="F129" s="2"/>
      <c r="G129" s="2"/>
      <c r="H129" s="2"/>
      <c r="I129" s="28"/>
      <c r="J129" s="27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1:47" ht="15.75" customHeight="1" x14ac:dyDescent="0.2">
      <c r="A130"/>
      <c r="B130" s="2"/>
      <c r="C130" s="2"/>
      <c r="D130" s="2"/>
      <c r="E130" s="2"/>
      <c r="F130" s="2"/>
      <c r="G130" s="2"/>
      <c r="H130" s="2"/>
      <c r="I130" s="28"/>
      <c r="J130" s="27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1:47" ht="15.75" customHeight="1" x14ac:dyDescent="0.2">
      <c r="A131"/>
      <c r="B131" s="2"/>
      <c r="C131" s="2"/>
      <c r="D131" s="2"/>
      <c r="E131" s="2"/>
      <c r="F131" s="2"/>
      <c r="G131" s="2"/>
      <c r="H131" s="2"/>
      <c r="I131" s="28"/>
      <c r="J131" s="27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1:47" ht="15.75" customHeight="1" x14ac:dyDescent="0.2">
      <c r="A132"/>
      <c r="B132" s="2"/>
      <c r="C132" s="2"/>
      <c r="D132" s="2"/>
      <c r="E132" s="2"/>
      <c r="F132" s="2"/>
      <c r="G132" s="2"/>
      <c r="H132" s="2"/>
      <c r="I132" s="28"/>
      <c r="J132" s="27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1:47" ht="15.75" customHeight="1" x14ac:dyDescent="0.2">
      <c r="A133"/>
      <c r="B133" s="2"/>
      <c r="C133" s="2"/>
      <c r="D133" s="2"/>
      <c r="E133" s="2"/>
      <c r="F133" s="2"/>
      <c r="G133" s="28"/>
      <c r="H133" s="2"/>
      <c r="I133" s="28"/>
      <c r="J133" s="27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1:47" ht="15.75" customHeight="1" x14ac:dyDescent="0.2">
      <c r="A134"/>
      <c r="B134" s="2"/>
      <c r="C134" s="2"/>
      <c r="D134" s="2"/>
      <c r="E134" s="2"/>
      <c r="F134" s="2"/>
      <c r="G134" s="28"/>
      <c r="H134" s="2"/>
      <c r="I134" s="28"/>
      <c r="J134" s="27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1:47" ht="15.75" customHeight="1" x14ac:dyDescent="0.2">
      <c r="A135"/>
      <c r="B135" s="2"/>
      <c r="C135" s="2"/>
      <c r="D135" s="2"/>
      <c r="E135" s="2"/>
      <c r="F135" s="2"/>
      <c r="G135" s="28"/>
      <c r="H135" s="2"/>
      <c r="I135" s="28"/>
      <c r="J135" s="27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1:47" ht="15.75" customHeight="1" x14ac:dyDescent="0.2">
      <c r="A136"/>
      <c r="B136" s="2"/>
      <c r="C136" s="2"/>
      <c r="D136" s="2"/>
      <c r="E136" s="2"/>
      <c r="F136" s="2"/>
      <c r="G136" s="28"/>
      <c r="H136" s="2"/>
      <c r="I136" s="28"/>
      <c r="J136" s="27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1:47" ht="15.75" customHeight="1" x14ac:dyDescent="0.2">
      <c r="A137"/>
      <c r="B137" s="2"/>
      <c r="C137" s="2"/>
      <c r="D137" s="2"/>
      <c r="E137" s="2"/>
      <c r="F137" s="2"/>
      <c r="G137" s="28"/>
      <c r="H137" s="2"/>
      <c r="I137" s="28"/>
      <c r="J137" s="2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1:47" ht="15.75" customHeight="1" x14ac:dyDescent="0.2">
      <c r="A138"/>
      <c r="B138" s="2"/>
      <c r="C138" s="2"/>
      <c r="D138" s="2"/>
      <c r="E138" s="2"/>
      <c r="F138" s="2"/>
      <c r="G138" s="28"/>
      <c r="H138" s="2"/>
      <c r="I138" s="28"/>
      <c r="J138" s="27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7" ht="15.75" customHeight="1" x14ac:dyDescent="0.2">
      <c r="A139"/>
      <c r="B139" s="2"/>
      <c r="C139" s="2"/>
      <c r="D139" s="2"/>
      <c r="E139" s="2"/>
      <c r="F139" s="2"/>
      <c r="G139" s="28"/>
      <c r="H139" s="2"/>
      <c r="I139" s="28"/>
      <c r="J139" s="27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7" ht="15.75" customHeight="1" x14ac:dyDescent="0.2">
      <c r="A140"/>
      <c r="B140" s="2"/>
      <c r="C140" s="2"/>
      <c r="D140" s="2"/>
      <c r="E140" s="2"/>
      <c r="F140" s="2"/>
      <c r="G140" s="28"/>
      <c r="H140" s="2"/>
      <c r="I140" s="28"/>
      <c r="J140" s="27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 ht="15.75" customHeight="1" x14ac:dyDescent="0.2">
      <c r="A141"/>
      <c r="B141" s="2"/>
      <c r="C141" s="2"/>
      <c r="D141" s="2"/>
      <c r="E141" s="2"/>
      <c r="F141" s="2"/>
      <c r="G141" s="28"/>
      <c r="H141" s="2"/>
      <c r="I141" s="28"/>
      <c r="J141" s="27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ht="15.75" customHeight="1" x14ac:dyDescent="0.2">
      <c r="A142"/>
      <c r="B142" s="2"/>
      <c r="C142" s="2"/>
      <c r="D142" s="2"/>
      <c r="E142" s="2"/>
      <c r="F142" s="2"/>
      <c r="G142" s="28"/>
      <c r="H142" s="2"/>
      <c r="I142" s="28"/>
      <c r="J142" s="27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ht="15.75" customHeight="1" x14ac:dyDescent="0.2">
      <c r="A143"/>
      <c r="B143" s="2"/>
      <c r="C143" s="2"/>
      <c r="D143" s="2"/>
      <c r="E143" s="2"/>
      <c r="F143" s="2"/>
      <c r="G143" s="28"/>
      <c r="H143" s="2"/>
      <c r="I143" s="28"/>
      <c r="J143" s="27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7" ht="15.75" customHeight="1" x14ac:dyDescent="0.2">
      <c r="A144"/>
      <c r="B144" s="2"/>
      <c r="C144" s="2"/>
      <c r="D144" s="2"/>
      <c r="E144" s="2"/>
      <c r="F144" s="2"/>
      <c r="G144" s="28"/>
      <c r="H144" s="2"/>
      <c r="I144" s="28"/>
      <c r="J144" s="27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7" ht="15.75" customHeight="1" x14ac:dyDescent="0.2">
      <c r="A145"/>
      <c r="B145" s="2"/>
      <c r="C145" s="2"/>
      <c r="D145" s="2"/>
      <c r="E145" s="2"/>
      <c r="F145" s="2"/>
      <c r="G145" s="28"/>
      <c r="H145" s="2"/>
      <c r="I145" s="28"/>
      <c r="J145" s="27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7" ht="15.75" customHeight="1" x14ac:dyDescent="0.2">
      <c r="A146"/>
      <c r="B146" s="2"/>
      <c r="C146" s="2"/>
      <c r="D146" s="2"/>
      <c r="E146" s="2"/>
      <c r="F146" s="2"/>
      <c r="G146" s="28"/>
      <c r="H146" s="2"/>
      <c r="I146" s="28"/>
      <c r="J146" s="27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7" ht="15.75" customHeight="1" x14ac:dyDescent="0.2">
      <c r="A147"/>
      <c r="B147" s="2"/>
      <c r="C147" s="2"/>
      <c r="D147" s="2"/>
      <c r="E147" s="2"/>
      <c r="F147" s="2"/>
      <c r="G147" s="28"/>
      <c r="H147" s="2"/>
      <c r="I147" s="28"/>
      <c r="J147" s="27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7" ht="15.75" customHeight="1" x14ac:dyDescent="0.2">
      <c r="A148"/>
      <c r="B148" s="2"/>
      <c r="C148" s="2"/>
      <c r="D148" s="2"/>
      <c r="E148" s="2"/>
      <c r="F148" s="2"/>
      <c r="G148" s="28"/>
      <c r="H148" s="2"/>
      <c r="I148" s="28"/>
      <c r="J148" s="27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ht="15.75" customHeight="1" x14ac:dyDescent="0.2">
      <c r="A149"/>
      <c r="B149" s="2"/>
      <c r="C149" s="2"/>
      <c r="D149" s="2"/>
      <c r="E149" s="2"/>
      <c r="F149" s="2"/>
      <c r="G149" s="28"/>
      <c r="H149" s="2"/>
      <c r="I149" s="28"/>
      <c r="J149" s="27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7" ht="15.75" customHeight="1" x14ac:dyDescent="0.2">
      <c r="A150"/>
      <c r="B150" s="2"/>
      <c r="C150" s="2"/>
      <c r="D150" s="2"/>
      <c r="E150" s="2"/>
      <c r="F150" s="2"/>
      <c r="G150" s="28"/>
      <c r="H150" s="2"/>
      <c r="I150" s="28"/>
      <c r="J150" s="27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7" ht="15.75" customHeight="1" x14ac:dyDescent="0.2">
      <c r="A151"/>
      <c r="B151" s="2"/>
      <c r="C151" s="2"/>
      <c r="D151" s="2"/>
      <c r="E151" s="2"/>
      <c r="F151" s="2"/>
      <c r="G151" s="28"/>
      <c r="H151" s="2"/>
      <c r="I151" s="28"/>
      <c r="J151" s="27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7" ht="15.75" customHeight="1" x14ac:dyDescent="0.2">
      <c r="A152"/>
      <c r="B152" s="2"/>
      <c r="C152" s="2"/>
      <c r="D152" s="2"/>
      <c r="E152" s="2"/>
      <c r="F152" s="2"/>
      <c r="G152" s="28"/>
      <c r="H152" s="2"/>
      <c r="I152" s="28"/>
      <c r="J152" s="27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1:47" ht="15.75" customHeight="1" x14ac:dyDescent="0.2">
      <c r="A153"/>
      <c r="B153" s="2"/>
      <c r="C153" s="2"/>
      <c r="D153" s="2"/>
      <c r="E153" s="2"/>
      <c r="F153" s="2"/>
      <c r="G153" s="28"/>
      <c r="H153" s="2"/>
      <c r="I153" s="28"/>
      <c r="J153" s="27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1:47" ht="15.75" customHeight="1" x14ac:dyDescent="0.2">
      <c r="A154"/>
      <c r="B154" s="2"/>
      <c r="C154" s="2"/>
      <c r="D154" s="2"/>
      <c r="E154" s="2"/>
      <c r="F154" s="2"/>
      <c r="G154" s="28"/>
      <c r="H154" s="2"/>
      <c r="I154" s="28"/>
      <c r="J154" s="27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1:47" ht="15.75" customHeight="1" x14ac:dyDescent="0.2">
      <c r="A155"/>
      <c r="B155" s="2"/>
      <c r="C155" s="2"/>
      <c r="D155" s="2"/>
      <c r="E155" s="2"/>
      <c r="F155" s="2"/>
      <c r="G155" s="28"/>
      <c r="H155" s="2"/>
      <c r="I155" s="28"/>
      <c r="J155" s="27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1:47" ht="15.75" customHeight="1" x14ac:dyDescent="0.2">
      <c r="A156"/>
      <c r="B156" s="2"/>
      <c r="C156" s="2"/>
      <c r="D156" s="2"/>
      <c r="E156" s="2"/>
      <c r="F156" s="2"/>
      <c r="G156" s="28"/>
      <c r="H156" s="2"/>
      <c r="I156" s="28"/>
      <c r="J156" s="27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47" ht="15.75" customHeight="1" x14ac:dyDescent="0.2">
      <c r="A157"/>
      <c r="B157" s="2"/>
      <c r="C157" s="2"/>
      <c r="D157" s="2"/>
      <c r="E157" s="2"/>
      <c r="F157" s="2"/>
      <c r="G157" s="28"/>
      <c r="H157" s="2"/>
      <c r="I157" s="28"/>
      <c r="J157" s="27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ht="15.75" customHeight="1" x14ac:dyDescent="0.2">
      <c r="A158"/>
      <c r="B158" s="2"/>
      <c r="C158" s="2"/>
      <c r="D158" s="2"/>
      <c r="E158" s="2"/>
      <c r="F158" s="2"/>
      <c r="G158" s="28"/>
      <c r="H158" s="2"/>
      <c r="I158" s="28"/>
      <c r="J158" s="27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47" ht="15.75" customHeight="1" x14ac:dyDescent="0.2">
      <c r="A159"/>
      <c r="B159" s="2"/>
      <c r="C159" s="2"/>
      <c r="D159" s="2"/>
      <c r="E159" s="2"/>
      <c r="F159" s="2"/>
      <c r="G159" s="28"/>
      <c r="H159" s="2"/>
      <c r="I159" s="28"/>
      <c r="J159" s="27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47" ht="15.75" customHeight="1" x14ac:dyDescent="0.2">
      <c r="A160"/>
      <c r="B160" s="2"/>
      <c r="C160" s="2"/>
      <c r="D160" s="2"/>
      <c r="E160" s="2"/>
      <c r="F160" s="2"/>
      <c r="G160" s="28"/>
      <c r="H160" s="2"/>
      <c r="I160" s="28"/>
      <c r="J160" s="27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ht="15.75" customHeight="1" x14ac:dyDescent="0.2">
      <c r="A161"/>
      <c r="B161" s="2"/>
      <c r="C161" s="2"/>
      <c r="D161" s="2"/>
      <c r="E161" s="2"/>
      <c r="F161" s="2"/>
      <c r="G161" s="28"/>
      <c r="H161" s="2"/>
      <c r="I161" s="28"/>
      <c r="J161" s="27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ht="15.75" customHeight="1" x14ac:dyDescent="0.2">
      <c r="A162"/>
      <c r="B162" s="2"/>
      <c r="C162" s="2"/>
      <c r="D162" s="2"/>
      <c r="E162" s="2"/>
      <c r="F162" s="2"/>
      <c r="G162" s="28"/>
      <c r="H162" s="2"/>
      <c r="I162" s="28"/>
      <c r="J162" s="27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ht="15.75" customHeight="1" x14ac:dyDescent="0.2">
      <c r="A163"/>
      <c r="B163" s="2"/>
      <c r="C163" s="2"/>
      <c r="D163" s="2"/>
      <c r="E163" s="2"/>
      <c r="F163" s="2"/>
      <c r="G163" s="28"/>
      <c r="H163" s="2"/>
      <c r="I163" s="28"/>
      <c r="J163" s="27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ht="15.75" customHeight="1" x14ac:dyDescent="0.2">
      <c r="A164"/>
      <c r="B164" s="2"/>
      <c r="C164" s="2"/>
      <c r="D164" s="2"/>
      <c r="E164" s="2"/>
      <c r="F164" s="2"/>
      <c r="G164" s="28"/>
      <c r="H164" s="2"/>
      <c r="I164" s="28"/>
      <c r="J164" s="27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ht="15.75" customHeight="1" x14ac:dyDescent="0.2">
      <c r="A165"/>
      <c r="B165" s="2"/>
      <c r="C165" s="2"/>
      <c r="D165" s="2"/>
      <c r="E165" s="2"/>
      <c r="F165" s="2"/>
      <c r="G165" s="28"/>
      <c r="H165" s="2"/>
      <c r="I165" s="28"/>
      <c r="J165" s="27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ht="15.75" customHeight="1" x14ac:dyDescent="0.2">
      <c r="A166"/>
      <c r="B166" s="2"/>
      <c r="C166" s="2"/>
      <c r="D166" s="2"/>
      <c r="E166" s="2"/>
      <c r="F166" s="2"/>
      <c r="G166" s="28"/>
      <c r="H166" s="2"/>
      <c r="I166" s="28"/>
      <c r="J166" s="27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ht="15.75" customHeight="1" x14ac:dyDescent="0.2">
      <c r="A167"/>
      <c r="B167" s="2"/>
      <c r="C167" s="2"/>
      <c r="D167" s="2"/>
      <c r="E167" s="2"/>
      <c r="F167" s="2"/>
      <c r="G167" s="28"/>
      <c r="H167" s="2"/>
      <c r="I167" s="28"/>
      <c r="J167" s="27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ht="15.75" customHeight="1" x14ac:dyDescent="0.2">
      <c r="A168"/>
      <c r="B168" s="2"/>
      <c r="C168" s="2"/>
      <c r="D168" s="2"/>
      <c r="E168" s="2"/>
      <c r="F168" s="2"/>
      <c r="G168" s="28"/>
      <c r="H168" s="2"/>
      <c r="I168" s="28"/>
      <c r="J168" s="27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ht="15.75" customHeight="1" x14ac:dyDescent="0.2">
      <c r="A169"/>
      <c r="B169" s="2"/>
      <c r="C169" s="2"/>
      <c r="D169" s="2"/>
      <c r="E169" s="2"/>
      <c r="F169" s="2"/>
      <c r="G169" s="28"/>
      <c r="H169" s="2"/>
      <c r="I169" s="28"/>
      <c r="J169" s="27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ht="15.75" customHeight="1" x14ac:dyDescent="0.2">
      <c r="A170"/>
      <c r="B170" s="2"/>
      <c r="C170" s="2"/>
      <c r="D170" s="2"/>
      <c r="E170" s="2"/>
      <c r="F170" s="2"/>
      <c r="G170" s="28"/>
      <c r="H170" s="2"/>
      <c r="I170" s="28"/>
      <c r="J170" s="27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ht="15.75" customHeight="1" x14ac:dyDescent="0.2">
      <c r="A171"/>
      <c r="B171" s="2"/>
      <c r="C171" s="2"/>
      <c r="D171" s="2"/>
      <c r="E171" s="2"/>
      <c r="F171" s="2"/>
      <c r="G171" s="28"/>
      <c r="H171" s="2"/>
      <c r="I171" s="28"/>
      <c r="J171" s="27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ht="15.75" customHeight="1" x14ac:dyDescent="0.2">
      <c r="A172"/>
      <c r="B172" s="2"/>
      <c r="C172" s="2"/>
      <c r="D172" s="2"/>
      <c r="E172" s="2"/>
      <c r="F172" s="2"/>
      <c r="G172" s="28"/>
      <c r="H172" s="2"/>
      <c r="I172" s="28"/>
      <c r="J172" s="27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ht="15.75" customHeight="1" x14ac:dyDescent="0.2">
      <c r="A173"/>
      <c r="B173" s="2"/>
      <c r="C173" s="2"/>
      <c r="D173" s="2"/>
      <c r="E173" s="2"/>
      <c r="F173" s="2"/>
      <c r="G173" s="28"/>
      <c r="H173" s="2"/>
      <c r="I173" s="28"/>
      <c r="J173" s="27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ht="15.75" customHeight="1" x14ac:dyDescent="0.2">
      <c r="A174"/>
      <c r="B174" s="2"/>
      <c r="C174" s="2"/>
      <c r="D174" s="2"/>
      <c r="E174" s="2"/>
      <c r="F174" s="2"/>
      <c r="G174" s="28"/>
      <c r="H174" s="2"/>
      <c r="I174" s="28"/>
      <c r="J174" s="27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ht="15.75" customHeight="1" x14ac:dyDescent="0.2">
      <c r="A175"/>
      <c r="B175" s="2"/>
      <c r="C175" s="2"/>
      <c r="D175" s="2"/>
      <c r="E175" s="2"/>
      <c r="F175" s="2"/>
      <c r="G175" s="28"/>
      <c r="H175" s="2"/>
      <c r="I175" s="28"/>
      <c r="J175" s="27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ht="15.75" customHeight="1" x14ac:dyDescent="0.2">
      <c r="A176"/>
      <c r="B176" s="2"/>
      <c r="C176" s="2"/>
      <c r="D176" s="2"/>
      <c r="E176" s="2"/>
      <c r="F176" s="2"/>
      <c r="G176" s="28"/>
      <c r="H176" s="2"/>
      <c r="I176" s="28"/>
      <c r="J176" s="27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ht="15.75" customHeight="1" x14ac:dyDescent="0.2">
      <c r="A177"/>
      <c r="B177" s="2"/>
      <c r="C177" s="2"/>
      <c r="D177" s="2"/>
      <c r="E177" s="2"/>
      <c r="F177" s="2"/>
      <c r="G177" s="28"/>
      <c r="H177" s="2"/>
      <c r="I177" s="28"/>
      <c r="J177" s="27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ht="15.75" customHeight="1" x14ac:dyDescent="0.2">
      <c r="A178"/>
      <c r="B178" s="2"/>
      <c r="C178" s="2"/>
      <c r="D178" s="2"/>
      <c r="E178" s="2"/>
      <c r="F178" s="2"/>
      <c r="G178" s="28"/>
      <c r="H178" s="2"/>
      <c r="I178" s="28"/>
      <c r="J178" s="27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ht="15.75" customHeight="1" x14ac:dyDescent="0.2">
      <c r="A179"/>
      <c r="B179" s="2"/>
      <c r="C179" s="2"/>
      <c r="D179" s="2"/>
      <c r="E179" s="2"/>
      <c r="F179" s="2"/>
      <c r="G179" s="28"/>
      <c r="H179" s="2"/>
      <c r="I179" s="28"/>
      <c r="J179" s="27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ht="15.75" customHeight="1" x14ac:dyDescent="0.2">
      <c r="A180"/>
      <c r="B180" s="2"/>
      <c r="C180" s="2"/>
      <c r="D180" s="2"/>
      <c r="E180" s="2"/>
      <c r="F180" s="2"/>
      <c r="G180" s="28"/>
      <c r="H180" s="2"/>
      <c r="I180" s="28"/>
      <c r="J180" s="27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ht="15.75" customHeight="1" x14ac:dyDescent="0.2">
      <c r="A181"/>
      <c r="B181" s="2"/>
      <c r="C181" s="2"/>
      <c r="D181" s="2"/>
      <c r="E181" s="2"/>
      <c r="F181" s="2"/>
      <c r="G181" s="28"/>
      <c r="H181" s="2"/>
      <c r="I181" s="28"/>
      <c r="J181" s="27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ht="15.75" customHeight="1" x14ac:dyDescent="0.2">
      <c r="A182"/>
      <c r="B182" s="2"/>
      <c r="C182" s="2"/>
      <c r="D182" s="2"/>
      <c r="E182" s="2"/>
      <c r="F182" s="2"/>
      <c r="G182" s="28"/>
      <c r="H182" s="2"/>
      <c r="I182" s="28"/>
      <c r="J182" s="27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ht="15.75" customHeight="1" x14ac:dyDescent="0.2">
      <c r="A183"/>
      <c r="B183" s="2"/>
      <c r="C183" s="2"/>
      <c r="D183" s="2"/>
      <c r="E183" s="2"/>
      <c r="F183" s="2"/>
      <c r="G183" s="28"/>
      <c r="H183" s="2"/>
      <c r="I183" s="28"/>
      <c r="J183" s="27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ht="15.75" customHeight="1" x14ac:dyDescent="0.2">
      <c r="A184"/>
      <c r="B184" s="2"/>
      <c r="C184" s="2"/>
      <c r="D184" s="2"/>
      <c r="E184" s="2"/>
      <c r="F184" s="2"/>
      <c r="G184" s="28"/>
      <c r="H184" s="2"/>
      <c r="I184" s="28"/>
      <c r="J184" s="27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ht="15.75" customHeight="1" x14ac:dyDescent="0.2">
      <c r="A185"/>
      <c r="B185" s="2"/>
      <c r="C185" s="2"/>
      <c r="D185" s="2"/>
      <c r="E185" s="2"/>
      <c r="F185" s="2"/>
      <c r="G185" s="28"/>
      <c r="H185" s="2"/>
      <c r="I185" s="28"/>
      <c r="J185" s="27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ht="15.75" customHeight="1" x14ac:dyDescent="0.2">
      <c r="A186"/>
      <c r="B186" s="2"/>
      <c r="C186" s="2"/>
      <c r="D186" s="2"/>
      <c r="E186" s="2"/>
      <c r="F186" s="2"/>
      <c r="G186" s="28"/>
      <c r="H186" s="2"/>
      <c r="I186" s="28"/>
      <c r="J186" s="27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ht="15.75" customHeight="1" x14ac:dyDescent="0.2">
      <c r="A187"/>
      <c r="B187" s="2"/>
      <c r="C187" s="2"/>
      <c r="D187" s="2"/>
      <c r="E187" s="2"/>
      <c r="F187" s="2"/>
      <c r="G187" s="28"/>
      <c r="H187" s="2"/>
      <c r="I187" s="28"/>
      <c r="J187" s="27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ht="15.75" customHeight="1" x14ac:dyDescent="0.2">
      <c r="A188"/>
      <c r="B188" s="2"/>
      <c r="C188" s="2"/>
      <c r="D188" s="2"/>
      <c r="E188" s="2"/>
      <c r="F188" s="2"/>
      <c r="G188" s="28"/>
      <c r="H188" s="2"/>
      <c r="I188" s="28"/>
      <c r="J188" s="27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ht="15.75" customHeight="1" x14ac:dyDescent="0.2">
      <c r="A189"/>
      <c r="B189" s="2"/>
      <c r="C189" s="2"/>
      <c r="D189" s="2"/>
      <c r="E189" s="2"/>
      <c r="F189" s="2"/>
      <c r="G189" s="28"/>
      <c r="H189" s="2"/>
      <c r="I189" s="28"/>
      <c r="J189" s="27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ht="15.75" customHeight="1" x14ac:dyDescent="0.2">
      <c r="A190"/>
      <c r="B190" s="2"/>
      <c r="C190" s="2"/>
      <c r="D190" s="2"/>
      <c r="E190" s="2"/>
      <c r="F190" s="2"/>
      <c r="G190" s="28"/>
      <c r="H190" s="2"/>
      <c r="I190" s="7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ht="15.75" customHeight="1" x14ac:dyDescent="0.2">
      <c r="A191"/>
      <c r="B191" s="2"/>
      <c r="C191" s="2"/>
      <c r="D191" s="2"/>
      <c r="E191" s="2"/>
      <c r="F191" s="2"/>
      <c r="G191" s="28"/>
      <c r="H191" s="2"/>
      <c r="I191" s="7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ht="15.75" customHeight="1" x14ac:dyDescent="0.2">
      <c r="A192"/>
      <c r="B192" s="2"/>
      <c r="C192" s="2"/>
      <c r="D192" s="2"/>
      <c r="E192" s="2"/>
      <c r="F192" s="2"/>
      <c r="G192" s="28"/>
      <c r="H192" s="2"/>
      <c r="I192" s="7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ht="15.75" customHeight="1" x14ac:dyDescent="0.2">
      <c r="A193"/>
      <c r="B193" s="2"/>
      <c r="C193" s="2"/>
      <c r="D193" s="2"/>
      <c r="E193" s="2"/>
      <c r="F193" s="2"/>
      <c r="G193" s="28"/>
      <c r="H193" s="2"/>
      <c r="I193" s="7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1:47" ht="15.75" customHeight="1" x14ac:dyDescent="0.2">
      <c r="A194"/>
      <c r="B194" s="2"/>
      <c r="C194" s="2"/>
      <c r="D194" s="2"/>
      <c r="E194" s="2"/>
      <c r="F194" s="2"/>
      <c r="G194" s="28"/>
      <c r="H194" s="2"/>
      <c r="I194" s="7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1:47" ht="15.75" customHeight="1" x14ac:dyDescent="0.2">
      <c r="A195"/>
      <c r="B195" s="2"/>
      <c r="C195" s="2"/>
      <c r="D195" s="2"/>
      <c r="E195" s="2"/>
      <c r="F195" s="2"/>
      <c r="G195" s="28"/>
      <c r="H195" s="2"/>
      <c r="I195" s="7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1:47" ht="15.75" customHeight="1" x14ac:dyDescent="0.2">
      <c r="A196"/>
      <c r="B196" s="2"/>
      <c r="C196" s="2"/>
      <c r="D196" s="2"/>
      <c r="E196" s="2"/>
      <c r="F196" s="2"/>
      <c r="G196" s="28"/>
      <c r="H196" s="2"/>
      <c r="I196" s="7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47" ht="15.75" customHeight="1" x14ac:dyDescent="0.2">
      <c r="A197"/>
      <c r="B197" s="2"/>
      <c r="C197" s="2"/>
      <c r="D197" s="2"/>
      <c r="E197" s="2"/>
      <c r="F197" s="2"/>
      <c r="G197" s="28"/>
      <c r="H197" s="2"/>
      <c r="I197" s="7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ht="15.75" customHeight="1" x14ac:dyDescent="0.2">
      <c r="A198"/>
      <c r="B198" s="2"/>
      <c r="C198" s="2"/>
      <c r="D198" s="2"/>
      <c r="E198" s="2"/>
      <c r="F198" s="2"/>
      <c r="G198" s="28"/>
      <c r="H198" s="2"/>
      <c r="I198" s="7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1:47" ht="15.75" customHeight="1" x14ac:dyDescent="0.2">
      <c r="A199"/>
      <c r="B199" s="2"/>
      <c r="C199" s="2"/>
      <c r="D199" s="2"/>
      <c r="E199" s="2"/>
      <c r="F199" s="2"/>
      <c r="G199" s="28"/>
      <c r="H199" s="2"/>
      <c r="I199" s="7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ht="15.75" customHeight="1" x14ac:dyDescent="0.2">
      <c r="A200"/>
      <c r="B200" s="2"/>
      <c r="C200" s="2"/>
      <c r="D200" s="2"/>
      <c r="E200" s="2"/>
      <c r="F200" s="2"/>
      <c r="G200" s="28"/>
      <c r="H200" s="2"/>
      <c r="I200" s="7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7" ht="15.75" customHeight="1" x14ac:dyDescent="0.2">
      <c r="A201"/>
      <c r="B201" s="2"/>
      <c r="C201" s="2"/>
      <c r="D201" s="2"/>
      <c r="E201" s="2"/>
      <c r="F201" s="2"/>
      <c r="G201" s="28"/>
      <c r="H201" s="2"/>
      <c r="I201" s="7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1:47" ht="15.75" customHeight="1" x14ac:dyDescent="0.2">
      <c r="A202"/>
      <c r="B202" s="2"/>
      <c r="C202" s="2"/>
      <c r="D202" s="2"/>
      <c r="E202" s="2"/>
      <c r="F202" s="2"/>
      <c r="G202" s="28"/>
      <c r="H202" s="2"/>
      <c r="I202" s="7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1:47" ht="15.75" customHeight="1" x14ac:dyDescent="0.2">
      <c r="A203"/>
      <c r="B203" s="2"/>
      <c r="C203" s="2"/>
      <c r="D203" s="2"/>
      <c r="E203" s="2"/>
      <c r="F203" s="2"/>
      <c r="G203" s="28"/>
      <c r="H203" s="2"/>
      <c r="I203" s="7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ht="15.75" customHeight="1" x14ac:dyDescent="0.2">
      <c r="A204"/>
      <c r="B204" s="2"/>
      <c r="C204" s="2"/>
      <c r="D204" s="2"/>
      <c r="E204" s="2"/>
      <c r="F204" s="2"/>
      <c r="G204" s="28"/>
      <c r="H204" s="2"/>
      <c r="I204" s="7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ht="15.75" customHeight="1" x14ac:dyDescent="0.2">
      <c r="A205"/>
      <c r="B205" s="2"/>
      <c r="C205" s="2"/>
      <c r="D205" s="2"/>
      <c r="E205" s="2"/>
      <c r="F205" s="2"/>
      <c r="G205" s="28"/>
      <c r="H205" s="2"/>
      <c r="I205" s="7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1:47" ht="15.75" customHeight="1" x14ac:dyDescent="0.2">
      <c r="A206"/>
      <c r="B206" s="2"/>
      <c r="C206" s="2"/>
      <c r="D206" s="2"/>
      <c r="E206" s="2"/>
      <c r="F206" s="2"/>
      <c r="G206" s="28"/>
      <c r="H206" s="2"/>
      <c r="I206" s="7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1:47" ht="15.75" customHeight="1" x14ac:dyDescent="0.2">
      <c r="A207"/>
      <c r="B207" s="2"/>
      <c r="C207" s="2"/>
      <c r="D207" s="2"/>
      <c r="E207" s="2"/>
      <c r="F207" s="2"/>
      <c r="G207" s="28"/>
      <c r="H207" s="2"/>
      <c r="I207" s="7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1:47" ht="15.75" customHeight="1" x14ac:dyDescent="0.2">
      <c r="A208"/>
      <c r="B208" s="2"/>
      <c r="C208" s="2"/>
      <c r="D208" s="2"/>
      <c r="E208" s="2"/>
      <c r="F208" s="2"/>
      <c r="G208" s="28"/>
      <c r="H208" s="2"/>
      <c r="I208" s="7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1:47" ht="15.75" customHeight="1" x14ac:dyDescent="0.2">
      <c r="A209"/>
      <c r="B209" s="2"/>
      <c r="C209" s="2"/>
      <c r="D209" s="2"/>
      <c r="E209" s="2"/>
      <c r="F209" s="2"/>
      <c r="G209" s="28"/>
      <c r="H209" s="2"/>
      <c r="I209" s="7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1:47" ht="15.75" customHeight="1" x14ac:dyDescent="0.2">
      <c r="A210"/>
      <c r="B210" s="2"/>
      <c r="C210" s="2"/>
      <c r="D210" s="2"/>
      <c r="E210" s="2"/>
      <c r="F210" s="2"/>
      <c r="G210" s="28"/>
      <c r="H210" s="2"/>
      <c r="I210" s="7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1:47" ht="15.75" customHeight="1" x14ac:dyDescent="0.2">
      <c r="A211"/>
      <c r="B211" s="2"/>
      <c r="C211" s="2"/>
      <c r="D211" s="2"/>
      <c r="E211" s="2"/>
      <c r="F211" s="2"/>
      <c r="G211" s="28"/>
      <c r="H211" s="2"/>
      <c r="I211" s="7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1:47" ht="15.75" customHeight="1" x14ac:dyDescent="0.2">
      <c r="A212"/>
      <c r="B212" s="2"/>
      <c r="C212" s="2"/>
      <c r="D212" s="2"/>
      <c r="E212" s="2"/>
      <c r="F212" s="2"/>
      <c r="G212" s="28"/>
      <c r="H212" s="2"/>
      <c r="I212" s="7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1:47" ht="15.75" customHeight="1" x14ac:dyDescent="0.2">
      <c r="A213"/>
      <c r="B213" s="2"/>
      <c r="C213" s="2"/>
      <c r="D213" s="2"/>
      <c r="E213" s="2"/>
      <c r="F213" s="2"/>
      <c r="G213" s="28"/>
      <c r="H213" s="2"/>
      <c r="I213" s="7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1:47" ht="15.75" customHeight="1" x14ac:dyDescent="0.2">
      <c r="A214"/>
      <c r="B214" s="2"/>
      <c r="C214" s="2"/>
      <c r="D214" s="2"/>
      <c r="E214" s="2"/>
      <c r="F214" s="2"/>
      <c r="G214" s="28"/>
      <c r="H214" s="2"/>
      <c r="I214" s="7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1:47" ht="15.75" customHeight="1" x14ac:dyDescent="0.2">
      <c r="A215"/>
      <c r="B215" s="2"/>
      <c r="C215" s="2"/>
      <c r="D215" s="2"/>
      <c r="E215" s="2"/>
      <c r="F215" s="2"/>
      <c r="G215" s="28"/>
      <c r="H215" s="2"/>
      <c r="I215" s="7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1:47" ht="15.75" customHeight="1" x14ac:dyDescent="0.2">
      <c r="A216"/>
      <c r="B216" s="2"/>
      <c r="C216" s="2"/>
      <c r="D216" s="2"/>
      <c r="E216" s="2"/>
      <c r="F216" s="2"/>
      <c r="G216" s="28"/>
      <c r="H216" s="2"/>
      <c r="I216" s="7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1:47" ht="15.75" customHeight="1" x14ac:dyDescent="0.2">
      <c r="A217"/>
      <c r="B217" s="2"/>
      <c r="C217" s="2"/>
      <c r="D217" s="2"/>
      <c r="E217" s="2"/>
      <c r="F217" s="2"/>
      <c r="G217" s="28"/>
      <c r="H217" s="2"/>
      <c r="I217" s="7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1:47" ht="15.75" customHeight="1" x14ac:dyDescent="0.2">
      <c r="A218"/>
      <c r="B218" s="2"/>
      <c r="C218" s="2"/>
      <c r="D218" s="2"/>
      <c r="E218" s="2"/>
      <c r="F218" s="2"/>
      <c r="G218" s="28"/>
      <c r="H218" s="2"/>
      <c r="I218" s="7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1:47" ht="15.75" customHeight="1" x14ac:dyDescent="0.2">
      <c r="A219"/>
      <c r="B219" s="2"/>
      <c r="C219" s="2"/>
      <c r="D219" s="2"/>
      <c r="E219" s="2"/>
      <c r="F219" s="2"/>
      <c r="G219" s="28"/>
      <c r="H219" s="2"/>
      <c r="I219" s="7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1:47" ht="15.75" customHeight="1" x14ac:dyDescent="0.2">
      <c r="A220"/>
      <c r="B220" s="2"/>
      <c r="C220" s="2"/>
      <c r="D220" s="2"/>
      <c r="E220" s="2"/>
      <c r="F220" s="2"/>
      <c r="G220" s="28"/>
      <c r="H220" s="2"/>
      <c r="I220" s="7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1:47" ht="15.75" customHeight="1" x14ac:dyDescent="0.2">
      <c r="A221"/>
      <c r="B221" s="2"/>
      <c r="C221" s="2"/>
      <c r="D221" s="2"/>
      <c r="E221" s="2"/>
      <c r="F221" s="2"/>
      <c r="G221" s="28"/>
      <c r="H221" s="2"/>
      <c r="I221" s="7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1:47" ht="15.75" customHeight="1" x14ac:dyDescent="0.2">
      <c r="A222"/>
      <c r="B222" s="2"/>
      <c r="C222" s="2"/>
      <c r="D222" s="2"/>
      <c r="E222" s="2"/>
      <c r="F222" s="2"/>
      <c r="G222" s="28"/>
      <c r="H222" s="2"/>
      <c r="I222" s="7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1:47" ht="15.75" customHeight="1" x14ac:dyDescent="0.2">
      <c r="A223"/>
      <c r="B223" s="2"/>
      <c r="C223" s="2"/>
      <c r="D223" s="2"/>
      <c r="E223" s="2"/>
      <c r="F223" s="2"/>
      <c r="G223" s="28"/>
      <c r="H223" s="2"/>
      <c r="I223" s="7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1:47" ht="15.75" customHeight="1" x14ac:dyDescent="0.2">
      <c r="A224"/>
      <c r="B224" s="2"/>
      <c r="C224" s="2"/>
      <c r="D224" s="2"/>
      <c r="E224" s="2"/>
      <c r="F224" s="2"/>
      <c r="G224" s="28"/>
      <c r="H224" s="2"/>
      <c r="I224" s="7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1:47" ht="15.75" customHeight="1" x14ac:dyDescent="0.2">
      <c r="A225"/>
      <c r="B225" s="2"/>
      <c r="C225" s="2"/>
      <c r="D225" s="2"/>
      <c r="E225" s="2"/>
      <c r="F225" s="2"/>
      <c r="G225" s="28"/>
      <c r="H225" s="2"/>
      <c r="I225" s="7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1:47" ht="15.75" customHeight="1" x14ac:dyDescent="0.2">
      <c r="A226"/>
      <c r="B226" s="2"/>
      <c r="C226" s="2"/>
      <c r="D226" s="2"/>
      <c r="E226" s="2"/>
      <c r="F226" s="2"/>
      <c r="G226" s="28"/>
      <c r="H226" s="2"/>
      <c r="I226" s="7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1:47" ht="15.75" customHeight="1" x14ac:dyDescent="0.2">
      <c r="A227"/>
      <c r="B227" s="2"/>
      <c r="C227" s="2"/>
      <c r="D227" s="2"/>
      <c r="E227" s="2"/>
      <c r="F227" s="2"/>
      <c r="G227" s="28"/>
      <c r="H227" s="2"/>
      <c r="I227" s="7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1:47" ht="15.75" customHeight="1" x14ac:dyDescent="0.2">
      <c r="A228"/>
      <c r="B228" s="2"/>
      <c r="C228" s="2"/>
      <c r="D228" s="2"/>
      <c r="E228" s="2"/>
      <c r="F228" s="2"/>
      <c r="G228" s="28"/>
      <c r="H228" s="2"/>
      <c r="I228" s="7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1:47" ht="15.75" customHeight="1" x14ac:dyDescent="0.2">
      <c r="A229"/>
      <c r="B229" s="2"/>
      <c r="C229" s="2"/>
      <c r="D229" s="2"/>
      <c r="E229" s="2"/>
      <c r="F229" s="2"/>
      <c r="G229" s="28"/>
      <c r="H229" s="2"/>
      <c r="I229" s="7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1:47" ht="15.75" customHeight="1" x14ac:dyDescent="0.2">
      <c r="A230"/>
      <c r="B230" s="2"/>
      <c r="C230" s="2"/>
      <c r="D230" s="2"/>
      <c r="E230" s="2"/>
      <c r="F230" s="2"/>
      <c r="G230" s="28"/>
      <c r="H230" s="2"/>
      <c r="I230" s="7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1:47" ht="15.75" customHeight="1" x14ac:dyDescent="0.2">
      <c r="A231"/>
      <c r="B231" s="2"/>
      <c r="C231" s="2"/>
      <c r="D231" s="2"/>
      <c r="E231" s="2"/>
      <c r="F231" s="2"/>
      <c r="G231" s="28"/>
      <c r="H231" s="2"/>
      <c r="I231" s="7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:47" ht="15.75" customHeight="1" x14ac:dyDescent="0.2">
      <c r="A232"/>
      <c r="B232" s="2"/>
      <c r="C232" s="2"/>
      <c r="D232" s="2"/>
      <c r="E232" s="2"/>
      <c r="F232" s="2"/>
      <c r="G232" s="28"/>
      <c r="H232" s="2"/>
      <c r="I232" s="7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1:47" ht="15.75" customHeight="1" x14ac:dyDescent="0.2">
      <c r="A233"/>
      <c r="B233" s="2"/>
      <c r="C233" s="2"/>
      <c r="D233" s="2"/>
      <c r="E233" s="2"/>
      <c r="F233" s="2"/>
      <c r="G233" s="28"/>
      <c r="H233" s="2"/>
      <c r="I233" s="7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1:47" ht="15.75" customHeight="1" x14ac:dyDescent="0.2">
      <c r="A234"/>
      <c r="B234" s="2"/>
      <c r="C234" s="2"/>
      <c r="D234" s="2"/>
      <c r="E234" s="2"/>
      <c r="F234" s="2"/>
      <c r="G234" s="28"/>
      <c r="H234" s="2"/>
      <c r="I234" s="7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1:47" ht="15.75" customHeight="1" x14ac:dyDescent="0.2">
      <c r="A235"/>
      <c r="B235" s="2"/>
      <c r="C235" s="2"/>
      <c r="D235" s="2"/>
      <c r="E235" s="2"/>
      <c r="F235" s="2"/>
      <c r="G235" s="28"/>
      <c r="H235" s="2"/>
      <c r="I235" s="7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1:47" ht="15.75" customHeight="1" x14ac:dyDescent="0.2">
      <c r="A236"/>
      <c r="B236" s="2"/>
      <c r="C236" s="2"/>
      <c r="D236" s="2"/>
      <c r="E236" s="2"/>
      <c r="F236" s="2"/>
      <c r="G236" s="28"/>
      <c r="H236" s="2"/>
      <c r="I236" s="7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1:47" ht="15.75" customHeight="1" x14ac:dyDescent="0.2">
      <c r="A237"/>
      <c r="B237" s="2"/>
      <c r="C237" s="2"/>
      <c r="D237" s="2"/>
      <c r="E237" s="2"/>
      <c r="F237" s="2"/>
      <c r="G237" s="28"/>
      <c r="H237" s="2"/>
      <c r="I237" s="7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1:47" ht="15.75" customHeight="1" x14ac:dyDescent="0.2">
      <c r="A238"/>
      <c r="B238" s="2"/>
      <c r="C238" s="2"/>
      <c r="D238" s="2"/>
      <c r="E238" s="2"/>
      <c r="F238" s="2"/>
      <c r="G238" s="28"/>
      <c r="H238" s="2"/>
      <c r="I238" s="7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1:47" ht="15.75" customHeight="1" x14ac:dyDescent="0.2">
      <c r="A239"/>
      <c r="B239" s="2"/>
      <c r="C239" s="2"/>
      <c r="D239" s="2"/>
      <c r="E239" s="2"/>
      <c r="F239" s="2"/>
      <c r="G239" s="28"/>
      <c r="H239" s="2"/>
      <c r="I239" s="7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1:47" ht="15.75" customHeight="1" x14ac:dyDescent="0.2">
      <c r="A240"/>
      <c r="B240" s="2"/>
      <c r="C240" s="2"/>
      <c r="D240" s="2"/>
      <c r="E240" s="2"/>
      <c r="F240" s="2"/>
      <c r="G240" s="28"/>
      <c r="H240" s="2"/>
      <c r="I240" s="7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1:47" ht="15.75" customHeight="1" x14ac:dyDescent="0.2">
      <c r="A241"/>
      <c r="B241" s="2"/>
      <c r="C241" s="2"/>
      <c r="D241" s="2"/>
      <c r="E241" s="2"/>
      <c r="F241" s="2"/>
      <c r="G241" s="28"/>
      <c r="H241" s="2"/>
      <c r="I241" s="7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1:47" ht="15.75" customHeight="1" x14ac:dyDescent="0.2">
      <c r="A242"/>
      <c r="B242" s="2"/>
      <c r="C242" s="2"/>
      <c r="D242" s="2"/>
      <c r="E242" s="2"/>
      <c r="F242" s="2"/>
      <c r="G242" s="28"/>
      <c r="H242" s="2"/>
      <c r="I242" s="7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1:47" ht="15.75" customHeight="1" x14ac:dyDescent="0.2">
      <c r="A243"/>
      <c r="B243" s="2"/>
      <c r="C243" s="2"/>
      <c r="D243" s="2"/>
      <c r="E243" s="2"/>
      <c r="F243" s="2"/>
      <c r="G243" s="28"/>
      <c r="H243" s="2"/>
      <c r="I243" s="7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1:47" ht="15.75" customHeight="1" x14ac:dyDescent="0.2">
      <c r="A244"/>
      <c r="B244" s="2"/>
      <c r="C244" s="2"/>
      <c r="D244" s="2"/>
      <c r="E244" s="2"/>
      <c r="F244" s="2"/>
      <c r="G244" s="28"/>
      <c r="H244" s="2"/>
      <c r="I244" s="7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1:47" ht="15.75" customHeight="1" x14ac:dyDescent="0.2">
      <c r="A245"/>
      <c r="B245" s="2"/>
      <c r="C245" s="2"/>
      <c r="D245" s="2"/>
      <c r="E245" s="2"/>
      <c r="F245" s="2"/>
      <c r="G245" s="28"/>
      <c r="H245" s="2"/>
      <c r="I245" s="7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1:47" ht="15.75" customHeight="1" x14ac:dyDescent="0.2">
      <c r="A246"/>
      <c r="B246" s="2"/>
      <c r="C246" s="2"/>
      <c r="D246" s="2"/>
      <c r="E246" s="2"/>
      <c r="F246" s="2"/>
      <c r="G246" s="28"/>
      <c r="H246" s="2"/>
      <c r="I246" s="7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1:47" ht="15.75" customHeight="1" x14ac:dyDescent="0.2">
      <c r="A247"/>
      <c r="B247" s="2"/>
      <c r="C247" s="2"/>
      <c r="D247" s="2"/>
      <c r="E247" s="2"/>
      <c r="F247" s="2"/>
      <c r="G247" s="28"/>
      <c r="H247" s="2"/>
      <c r="I247" s="7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1:47" ht="15.75" customHeight="1" x14ac:dyDescent="0.2">
      <c r="A248"/>
      <c r="B248" s="2"/>
      <c r="C248" s="2"/>
      <c r="D248" s="2"/>
      <c r="E248" s="2"/>
      <c r="F248" s="2"/>
      <c r="G248" s="28"/>
      <c r="H248" s="2"/>
      <c r="I248" s="7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1:47" ht="15.75" customHeight="1" x14ac:dyDescent="0.2">
      <c r="A249"/>
      <c r="B249" s="2"/>
      <c r="C249" s="2"/>
      <c r="D249" s="2"/>
      <c r="E249" s="2"/>
      <c r="F249" s="2"/>
      <c r="G249" s="28"/>
      <c r="H249" s="2"/>
      <c r="I249" s="7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1:47" ht="15.75" customHeight="1" x14ac:dyDescent="0.2">
      <c r="A250"/>
      <c r="B250" s="2"/>
      <c r="C250" s="2"/>
      <c r="D250" s="2"/>
      <c r="E250" s="2"/>
      <c r="F250" s="2"/>
      <c r="G250" s="28"/>
      <c r="H250" s="2"/>
      <c r="I250" s="7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1:47" ht="15.75" customHeight="1" x14ac:dyDescent="0.2">
      <c r="A251"/>
      <c r="B251" s="2"/>
      <c r="C251" s="2"/>
      <c r="D251" s="2"/>
      <c r="E251" s="2"/>
      <c r="F251" s="2"/>
      <c r="G251" s="28"/>
      <c r="H251" s="2"/>
      <c r="I251" s="7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1:47" ht="15.75" customHeight="1" x14ac:dyDescent="0.2">
      <c r="A252"/>
      <c r="B252" s="2"/>
      <c r="C252" s="2"/>
      <c r="D252" s="2"/>
      <c r="E252" s="2"/>
      <c r="F252" s="2"/>
      <c r="G252" s="28"/>
      <c r="H252" s="2"/>
      <c r="I252" s="7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1:47" ht="15.75" customHeight="1" x14ac:dyDescent="0.2">
      <c r="A253"/>
      <c r="B253" s="2"/>
      <c r="C253" s="2"/>
      <c r="D253" s="2"/>
      <c r="E253" s="2"/>
      <c r="F253" s="2"/>
      <c r="G253" s="28"/>
      <c r="H253" s="2"/>
      <c r="I253" s="7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1:47" ht="15.75" customHeight="1" x14ac:dyDescent="0.2">
      <c r="A254"/>
      <c r="B254" s="2"/>
      <c r="C254" s="2"/>
      <c r="D254" s="2"/>
      <c r="E254" s="2"/>
      <c r="F254" s="2"/>
      <c r="G254" s="28"/>
      <c r="H254" s="2"/>
      <c r="I254" s="7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1:47" ht="15.75" customHeight="1" x14ac:dyDescent="0.2">
      <c r="A255"/>
      <c r="B255" s="2"/>
      <c r="C255" s="2"/>
      <c r="D255" s="2"/>
      <c r="E255" s="2"/>
      <c r="F255" s="2"/>
      <c r="G255" s="28"/>
      <c r="H255" s="2"/>
      <c r="I255" s="7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1:47" ht="15.75" customHeight="1" x14ac:dyDescent="0.2">
      <c r="A256"/>
      <c r="B256" s="2"/>
      <c r="C256" s="2"/>
      <c r="D256" s="2"/>
      <c r="E256" s="2"/>
      <c r="F256" s="2"/>
      <c r="G256" s="28"/>
      <c r="H256" s="2"/>
      <c r="I256" s="7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1:47" ht="15.75" customHeight="1" x14ac:dyDescent="0.2">
      <c r="A257"/>
      <c r="B257" s="2"/>
      <c r="C257" s="2"/>
      <c r="D257" s="2"/>
      <c r="E257" s="2"/>
      <c r="F257" s="2"/>
      <c r="G257" s="28"/>
      <c r="H257" s="2"/>
      <c r="I257" s="7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1:47" ht="15.75" customHeight="1" x14ac:dyDescent="0.2">
      <c r="A258"/>
      <c r="B258" s="2"/>
      <c r="C258" s="2"/>
      <c r="D258" s="2"/>
      <c r="E258" s="2"/>
      <c r="F258" s="2"/>
      <c r="G258" s="28"/>
      <c r="H258" s="2"/>
      <c r="I258" s="7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1:47" ht="15.75" customHeight="1" x14ac:dyDescent="0.2">
      <c r="A259"/>
      <c r="B259" s="2"/>
      <c r="C259" s="2"/>
      <c r="D259" s="2"/>
      <c r="E259" s="2"/>
      <c r="F259" s="2"/>
      <c r="G259" s="28"/>
      <c r="H259" s="2"/>
      <c r="I259" s="7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1:47" ht="15.75" customHeight="1" x14ac:dyDescent="0.2">
      <c r="A260"/>
      <c r="B260" s="2"/>
      <c r="C260" s="2"/>
      <c r="D260" s="2"/>
      <c r="E260" s="2"/>
      <c r="F260" s="2"/>
      <c r="G260" s="28"/>
      <c r="H260" s="2"/>
      <c r="I260" s="7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1:47" ht="15.75" customHeight="1" x14ac:dyDescent="0.2">
      <c r="A261"/>
      <c r="B261" s="2"/>
      <c r="C261" s="2"/>
      <c r="D261" s="2"/>
      <c r="E261" s="2"/>
      <c r="F261" s="2"/>
      <c r="G261" s="28"/>
      <c r="H261" s="2"/>
      <c r="I261" s="7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1:47" ht="15.75" customHeight="1" x14ac:dyDescent="0.2">
      <c r="A262"/>
      <c r="B262" s="2"/>
      <c r="C262" s="2"/>
      <c r="D262" s="2"/>
      <c r="E262" s="2"/>
      <c r="F262" s="2"/>
      <c r="G262" s="28"/>
      <c r="H262" s="2"/>
      <c r="I262" s="7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1:47" ht="15.75" customHeight="1" x14ac:dyDescent="0.2">
      <c r="A263"/>
      <c r="B263" s="2"/>
      <c r="C263" s="2"/>
      <c r="D263" s="2"/>
      <c r="E263" s="2"/>
      <c r="F263" s="2"/>
      <c r="G263" s="28"/>
      <c r="H263" s="2"/>
      <c r="I263" s="7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1:47" ht="15.75" customHeight="1" x14ac:dyDescent="0.2">
      <c r="A264"/>
      <c r="B264" s="2"/>
      <c r="C264" s="2"/>
      <c r="D264" s="2"/>
      <c r="E264" s="2"/>
      <c r="F264" s="2"/>
      <c r="G264" s="28"/>
      <c r="H264" s="2"/>
      <c r="I264" s="7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1:47" ht="15.75" customHeight="1" x14ac:dyDescent="0.2">
      <c r="A265"/>
      <c r="B265" s="2"/>
      <c r="C265" s="2"/>
      <c r="D265" s="2"/>
      <c r="E265" s="2"/>
      <c r="F265" s="2"/>
      <c r="G265" s="28"/>
      <c r="H265" s="2"/>
      <c r="I265" s="7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1:47" ht="15.75" customHeight="1" x14ac:dyDescent="0.2">
      <c r="A266"/>
      <c r="B266" s="2"/>
      <c r="C266" s="2"/>
      <c r="D266" s="2"/>
      <c r="E266" s="2"/>
      <c r="F266" s="2"/>
      <c r="G266" s="28"/>
      <c r="H266" s="2"/>
      <c r="I266" s="7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1:47" ht="15.75" customHeight="1" x14ac:dyDescent="0.2">
      <c r="A267"/>
      <c r="B267" s="2"/>
      <c r="C267" s="2"/>
      <c r="D267" s="2"/>
      <c r="E267" s="2"/>
      <c r="F267" s="2"/>
      <c r="G267" s="28"/>
      <c r="H267" s="2"/>
      <c r="I267" s="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1:47" ht="15.75" customHeight="1" x14ac:dyDescent="0.2">
      <c r="A268"/>
      <c r="B268" s="2"/>
      <c r="C268" s="2"/>
      <c r="D268" s="2"/>
      <c r="E268" s="2"/>
      <c r="F268" s="2"/>
      <c r="G268" s="28"/>
      <c r="H268" s="2"/>
      <c r="I268" s="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1:47" ht="15.75" customHeight="1" x14ac:dyDescent="0.2">
      <c r="A269"/>
      <c r="B269" s="2"/>
      <c r="C269" s="2"/>
      <c r="D269" s="2"/>
      <c r="E269" s="2"/>
      <c r="F269" s="2"/>
      <c r="G269" s="28"/>
      <c r="H269" s="2"/>
      <c r="I269" s="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1:47" ht="15.75" customHeight="1" x14ac:dyDescent="0.2">
      <c r="A270"/>
      <c r="B270" s="2"/>
      <c r="C270" s="2"/>
      <c r="D270" s="2"/>
      <c r="E270" s="2"/>
      <c r="F270" s="2"/>
      <c r="G270" s="28"/>
      <c r="H270" s="2"/>
      <c r="I270" s="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1:47" ht="15.75" customHeight="1" x14ac:dyDescent="0.2">
      <c r="A271"/>
      <c r="B271" s="2"/>
      <c r="C271" s="2"/>
      <c r="D271" s="2"/>
      <c r="E271" s="2"/>
      <c r="F271" s="2"/>
      <c r="G271" s="28"/>
      <c r="H271" s="2"/>
      <c r="I271" s="7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1:47" ht="15.75" customHeight="1" x14ac:dyDescent="0.2">
      <c r="A272"/>
      <c r="B272" s="2"/>
      <c r="C272" s="2"/>
      <c r="D272" s="2"/>
      <c r="E272" s="2"/>
      <c r="F272" s="2"/>
      <c r="G272" s="28"/>
      <c r="H272" s="2"/>
      <c r="I272" s="7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1:47" ht="15.75" customHeight="1" x14ac:dyDescent="0.2">
      <c r="A273"/>
      <c r="B273" s="2"/>
      <c r="C273" s="2"/>
      <c r="D273" s="2"/>
      <c r="E273" s="2"/>
      <c r="F273" s="2"/>
      <c r="G273" s="28"/>
      <c r="H273" s="2"/>
      <c r="I273" s="7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1:47" ht="15.75" customHeight="1" x14ac:dyDescent="0.2">
      <c r="A274"/>
      <c r="B274" s="2"/>
      <c r="C274" s="2"/>
      <c r="D274" s="2"/>
      <c r="E274" s="2"/>
      <c r="F274" s="2"/>
      <c r="G274" s="28"/>
      <c r="H274" s="2"/>
      <c r="I274" s="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1:47" ht="15.75" customHeight="1" x14ac:dyDescent="0.2">
      <c r="A275"/>
      <c r="B275" s="2"/>
      <c r="C275" s="2"/>
      <c r="D275" s="2"/>
      <c r="E275" s="2"/>
      <c r="F275" s="2"/>
      <c r="G275" s="28"/>
      <c r="H275" s="2"/>
      <c r="I275" s="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1:47" ht="15.75" customHeight="1" x14ac:dyDescent="0.2">
      <c r="A276"/>
      <c r="B276" s="2"/>
      <c r="C276" s="2"/>
      <c r="D276" s="2"/>
      <c r="E276" s="2"/>
      <c r="F276" s="2"/>
      <c r="G276" s="28"/>
      <c r="H276" s="2"/>
      <c r="I276" s="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1:47" ht="15.75" customHeight="1" x14ac:dyDescent="0.2">
      <c r="A277"/>
      <c r="B277" s="2"/>
      <c r="C277" s="2"/>
      <c r="D277" s="2"/>
      <c r="E277" s="2"/>
      <c r="F277" s="2"/>
      <c r="G277" s="28"/>
      <c r="H277" s="2"/>
      <c r="I277" s="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1:47" ht="15.75" customHeight="1" x14ac:dyDescent="0.2">
      <c r="A278"/>
      <c r="B278" s="2"/>
      <c r="C278" s="2"/>
      <c r="D278" s="2"/>
      <c r="E278" s="2"/>
      <c r="F278" s="2"/>
      <c r="G278" s="28"/>
      <c r="H278" s="2"/>
      <c r="I278" s="7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1:47" ht="15.75" customHeight="1" x14ac:dyDescent="0.2">
      <c r="A279"/>
      <c r="B279" s="2"/>
      <c r="C279" s="2"/>
      <c r="D279" s="2"/>
      <c r="E279" s="2"/>
      <c r="F279" s="2"/>
      <c r="G279" s="28"/>
      <c r="H279" s="2"/>
      <c r="I279" s="7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1:47" ht="15.75" customHeight="1" x14ac:dyDescent="0.2">
      <c r="A280"/>
      <c r="B280" s="2"/>
      <c r="C280" s="2"/>
      <c r="D280" s="2"/>
      <c r="E280" s="2"/>
      <c r="F280" s="2"/>
      <c r="G280" s="28"/>
      <c r="H280" s="2"/>
      <c r="I280" s="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1:47" ht="15.75" customHeight="1" x14ac:dyDescent="0.2">
      <c r="A281"/>
      <c r="B281" s="2"/>
      <c r="C281" s="2"/>
      <c r="D281" s="2"/>
      <c r="E281" s="2"/>
      <c r="F281" s="2"/>
      <c r="G281" s="28"/>
      <c r="H281" s="2"/>
      <c r="I281" s="7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1:47" ht="15.75" customHeight="1" x14ac:dyDescent="0.2">
      <c r="A282"/>
      <c r="B282" s="2"/>
      <c r="C282" s="2"/>
      <c r="D282" s="2"/>
      <c r="E282" s="2"/>
      <c r="F282" s="2"/>
      <c r="G282" s="28"/>
      <c r="H282" s="2"/>
      <c r="I282" s="7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1:47" ht="15.75" customHeight="1" x14ac:dyDescent="0.2">
      <c r="A283"/>
      <c r="B283" s="2"/>
      <c r="C283" s="2"/>
      <c r="D283" s="2"/>
      <c r="E283" s="2"/>
      <c r="F283" s="2"/>
      <c r="G283" s="28"/>
      <c r="H283" s="2"/>
      <c r="I283" s="7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1:47" ht="15.75" customHeight="1" x14ac:dyDescent="0.2">
      <c r="A284"/>
      <c r="B284" s="2"/>
      <c r="C284" s="2"/>
      <c r="D284" s="2"/>
      <c r="E284" s="2"/>
      <c r="F284" s="2"/>
      <c r="G284" s="28"/>
      <c r="H284" s="2"/>
      <c r="I284" s="7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1:47" ht="15.75" customHeight="1" x14ac:dyDescent="0.2">
      <c r="A285"/>
      <c r="B285" s="2"/>
      <c r="C285" s="2"/>
      <c r="D285" s="2"/>
      <c r="E285" s="2"/>
      <c r="F285" s="2"/>
      <c r="G285" s="28"/>
      <c r="H285" s="2"/>
      <c r="I285" s="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1:47" ht="15.75" customHeight="1" x14ac:dyDescent="0.2">
      <c r="A286"/>
      <c r="B286" s="2"/>
      <c r="C286" s="2"/>
      <c r="D286" s="2"/>
      <c r="E286" s="2"/>
      <c r="F286" s="2"/>
      <c r="G286" s="28"/>
      <c r="H286" s="2"/>
      <c r="I286" s="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1:47" ht="15.75" customHeight="1" x14ac:dyDescent="0.2">
      <c r="A287"/>
      <c r="B287" s="2"/>
      <c r="C287" s="2"/>
      <c r="D287" s="2"/>
      <c r="E287" s="2"/>
      <c r="F287" s="2"/>
      <c r="G287" s="28"/>
      <c r="H287" s="2"/>
      <c r="I287" s="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1:47" ht="15.75" customHeight="1" x14ac:dyDescent="0.2">
      <c r="A288"/>
      <c r="B288" s="2"/>
      <c r="C288" s="2"/>
      <c r="D288" s="2"/>
      <c r="E288" s="2"/>
      <c r="F288" s="2"/>
      <c r="G288" s="28"/>
      <c r="H288" s="2"/>
      <c r="I288" s="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1:47" ht="15.75" customHeight="1" x14ac:dyDescent="0.2">
      <c r="A289"/>
      <c r="B289" s="2"/>
      <c r="C289" s="2"/>
      <c r="D289" s="2"/>
      <c r="E289" s="2"/>
      <c r="F289" s="2"/>
      <c r="G289" s="28"/>
      <c r="H289" s="2"/>
      <c r="I289" s="7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1:47" ht="15.75" customHeight="1" x14ac:dyDescent="0.2">
      <c r="A290"/>
      <c r="B290" s="2"/>
      <c r="C290" s="2"/>
      <c r="D290" s="2"/>
      <c r="E290" s="2"/>
      <c r="F290" s="2"/>
      <c r="G290" s="28"/>
      <c r="H290" s="2"/>
      <c r="I290" s="7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1:47" ht="15.75" customHeight="1" x14ac:dyDescent="0.2">
      <c r="A291"/>
      <c r="B291" s="2"/>
      <c r="C291" s="2"/>
      <c r="D291" s="2"/>
      <c r="E291" s="2"/>
      <c r="F291" s="2"/>
      <c r="G291" s="28"/>
      <c r="H291" s="2"/>
      <c r="I291" s="7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1:47" ht="15.75" customHeight="1" x14ac:dyDescent="0.2">
      <c r="A292"/>
      <c r="B292" s="2"/>
      <c r="C292" s="2"/>
      <c r="D292" s="2"/>
      <c r="E292" s="2"/>
      <c r="F292" s="2"/>
      <c r="G292" s="28"/>
      <c r="H292" s="2"/>
      <c r="I292" s="7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1:47" ht="15.75" customHeight="1" x14ac:dyDescent="0.2">
      <c r="A293"/>
      <c r="B293" s="2"/>
      <c r="C293" s="2"/>
      <c r="D293" s="2"/>
      <c r="E293" s="2"/>
      <c r="F293" s="2"/>
      <c r="G293" s="28"/>
      <c r="H293" s="2"/>
      <c r="I293" s="7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1:47" ht="15.75" customHeight="1" x14ac:dyDescent="0.2">
      <c r="A294"/>
      <c r="B294" s="2"/>
      <c r="C294" s="2"/>
      <c r="D294" s="2"/>
      <c r="E294" s="2"/>
      <c r="F294" s="2"/>
      <c r="G294" s="28"/>
      <c r="H294" s="2"/>
      <c r="I294" s="7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1:47" ht="15.75" customHeight="1" x14ac:dyDescent="0.2">
      <c r="A295"/>
      <c r="B295" s="2"/>
      <c r="C295" s="2"/>
      <c r="D295" s="2"/>
      <c r="E295" s="2"/>
      <c r="F295" s="2"/>
      <c r="G295" s="28"/>
      <c r="H295" s="2"/>
      <c r="I295" s="7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1:47" ht="15.75" customHeight="1" x14ac:dyDescent="0.2">
      <c r="A296"/>
      <c r="B296" s="2"/>
      <c r="C296" s="2"/>
      <c r="D296" s="2"/>
      <c r="E296" s="2"/>
      <c r="F296" s="2"/>
      <c r="G296" s="28"/>
      <c r="H296" s="2"/>
      <c r="I296" s="7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1:47" ht="15.75" customHeight="1" x14ac:dyDescent="0.2">
      <c r="A297"/>
      <c r="B297" s="2"/>
      <c r="C297" s="2"/>
      <c r="D297" s="2"/>
      <c r="E297" s="2"/>
      <c r="F297" s="2"/>
      <c r="G297" s="28"/>
      <c r="H297" s="2"/>
      <c r="I297" s="7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1:47" ht="15.75" customHeight="1" x14ac:dyDescent="0.2">
      <c r="A298"/>
      <c r="B298" s="2"/>
      <c r="C298" s="2"/>
      <c r="D298" s="2"/>
      <c r="E298" s="2"/>
      <c r="F298" s="2"/>
      <c r="G298" s="28"/>
      <c r="H298" s="2"/>
      <c r="I298" s="7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1:47" ht="15.75" customHeight="1" x14ac:dyDescent="0.2">
      <c r="A299"/>
      <c r="B299" s="2"/>
      <c r="C299" s="2"/>
      <c r="D299" s="2"/>
      <c r="E299" s="2"/>
      <c r="F299" s="2"/>
      <c r="G299" s="28"/>
      <c r="H299" s="2"/>
      <c r="I299" s="7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1:47" ht="15.75" customHeight="1" x14ac:dyDescent="0.2">
      <c r="A300"/>
      <c r="B300" s="2"/>
      <c r="C300" s="2"/>
      <c r="D300" s="2"/>
      <c r="E300" s="2"/>
      <c r="F300" s="2"/>
      <c r="G300" s="28"/>
      <c r="H300" s="2"/>
      <c r="I300" s="7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1:47" ht="15.75" customHeight="1" x14ac:dyDescent="0.2">
      <c r="A301"/>
      <c r="B301" s="2"/>
      <c r="C301" s="2"/>
      <c r="D301" s="2"/>
      <c r="E301" s="2"/>
      <c r="F301" s="2"/>
      <c r="G301" s="28"/>
      <c r="H301" s="2"/>
      <c r="I301" s="7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1:47" ht="15.75" customHeight="1" x14ac:dyDescent="0.2">
      <c r="A302"/>
      <c r="B302" s="2"/>
      <c r="C302" s="2"/>
      <c r="D302" s="2"/>
      <c r="E302" s="2"/>
      <c r="F302" s="2"/>
      <c r="G302" s="28"/>
      <c r="H302" s="2"/>
      <c r="I302" s="7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1:47" ht="15.75" customHeight="1" x14ac:dyDescent="0.2">
      <c r="A303"/>
      <c r="B303" s="2"/>
      <c r="C303" s="2"/>
      <c r="D303" s="2"/>
      <c r="E303" s="2"/>
      <c r="F303" s="2"/>
      <c r="G303" s="28"/>
      <c r="H303" s="2"/>
      <c r="I303" s="7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1:47" ht="15.75" customHeight="1" x14ac:dyDescent="0.2">
      <c r="A304"/>
      <c r="B304" s="2"/>
      <c r="C304" s="2"/>
      <c r="D304" s="2"/>
      <c r="E304" s="2"/>
      <c r="F304" s="2"/>
      <c r="G304" s="28"/>
      <c r="H304" s="2"/>
      <c r="I304" s="7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1:47" ht="15.75" customHeight="1" x14ac:dyDescent="0.2">
      <c r="A305"/>
      <c r="B305" s="2"/>
      <c r="C305" s="2"/>
      <c r="D305" s="2"/>
      <c r="E305" s="2"/>
      <c r="F305" s="2"/>
      <c r="G305" s="28"/>
      <c r="H305" s="2"/>
      <c r="I305" s="7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1:47" ht="15.75" customHeight="1" x14ac:dyDescent="0.2">
      <c r="A306"/>
      <c r="B306" s="2"/>
      <c r="C306" s="2"/>
      <c r="D306" s="2"/>
      <c r="E306" s="2"/>
      <c r="F306" s="2"/>
      <c r="G306" s="28"/>
      <c r="H306" s="2"/>
      <c r="I306" s="7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1:47" ht="15.75" customHeight="1" x14ac:dyDescent="0.2">
      <c r="A307"/>
      <c r="B307" s="2"/>
      <c r="C307" s="2"/>
      <c r="D307" s="2"/>
      <c r="E307" s="2"/>
      <c r="F307" s="2"/>
      <c r="G307" s="28"/>
      <c r="H307" s="2"/>
      <c r="I307" s="7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1:47" ht="15.75" customHeight="1" x14ac:dyDescent="0.2">
      <c r="A308"/>
      <c r="B308" s="2"/>
      <c r="C308" s="2"/>
      <c r="D308" s="2"/>
      <c r="E308" s="2"/>
      <c r="F308" s="2"/>
      <c r="G308" s="28"/>
      <c r="H308" s="2"/>
      <c r="I308" s="7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1:47" ht="15.75" customHeight="1" x14ac:dyDescent="0.2">
      <c r="A309"/>
      <c r="B309" s="2"/>
      <c r="C309" s="2"/>
      <c r="D309" s="2"/>
      <c r="E309" s="2"/>
      <c r="F309" s="2"/>
      <c r="G309" s="28"/>
      <c r="H309" s="2"/>
      <c r="I309" s="7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1:47" ht="15.75" customHeight="1" x14ac:dyDescent="0.2">
      <c r="A310"/>
      <c r="B310" s="2"/>
      <c r="C310" s="2"/>
      <c r="D310" s="2"/>
      <c r="E310" s="2"/>
      <c r="F310" s="2"/>
      <c r="G310" s="28"/>
      <c r="H310" s="2"/>
      <c r="I310" s="7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1:47" ht="15.75" customHeight="1" x14ac:dyDescent="0.2">
      <c r="A311"/>
      <c r="B311" s="2"/>
      <c r="C311" s="2"/>
      <c r="D311" s="2"/>
      <c r="E311" s="2"/>
      <c r="F311" s="2"/>
      <c r="G311" s="28"/>
      <c r="H311" s="2"/>
      <c r="I311" s="7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1:47" ht="15.75" customHeight="1" x14ac:dyDescent="0.2">
      <c r="A312"/>
      <c r="B312" s="2"/>
      <c r="C312" s="2"/>
      <c r="D312" s="2"/>
      <c r="E312" s="2"/>
      <c r="F312" s="2"/>
      <c r="G312" s="28"/>
      <c r="H312" s="2"/>
      <c r="I312" s="7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1:47" ht="15.75" customHeight="1" x14ac:dyDescent="0.2">
      <c r="A313"/>
      <c r="B313" s="2"/>
      <c r="C313" s="2"/>
      <c r="D313" s="2"/>
      <c r="E313" s="2"/>
      <c r="F313" s="2"/>
      <c r="G313" s="28"/>
      <c r="H313" s="2"/>
      <c r="I313" s="7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1:47" ht="15.75" customHeight="1" x14ac:dyDescent="0.2">
      <c r="A314"/>
      <c r="B314" s="2"/>
      <c r="C314" s="2"/>
      <c r="D314" s="2"/>
      <c r="E314" s="2"/>
      <c r="F314" s="2"/>
      <c r="G314" s="28"/>
      <c r="H314" s="2"/>
      <c r="I314" s="7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1:47" ht="15.75" customHeight="1" x14ac:dyDescent="0.2">
      <c r="A315"/>
      <c r="B315" s="2"/>
      <c r="C315" s="2"/>
      <c r="D315" s="2"/>
      <c r="E315" s="2"/>
      <c r="F315" s="2"/>
      <c r="G315" s="28"/>
      <c r="H315" s="2"/>
      <c r="I315" s="7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1:47" ht="15.75" customHeight="1" x14ac:dyDescent="0.2">
      <c r="A316"/>
      <c r="B316" s="2"/>
      <c r="C316" s="2"/>
      <c r="D316" s="2"/>
      <c r="E316" s="2"/>
      <c r="F316" s="2"/>
      <c r="G316" s="28"/>
      <c r="H316" s="2"/>
      <c r="I316" s="7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1:47" ht="15.75" customHeight="1" x14ac:dyDescent="0.2">
      <c r="A317"/>
      <c r="B317" s="2"/>
      <c r="C317" s="2"/>
      <c r="D317" s="2"/>
      <c r="E317" s="2"/>
      <c r="F317" s="2"/>
      <c r="G317" s="28"/>
      <c r="H317" s="2"/>
      <c r="I317" s="7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1:47" ht="15.75" customHeight="1" x14ac:dyDescent="0.2">
      <c r="A318"/>
      <c r="B318" s="2"/>
      <c r="C318" s="2"/>
      <c r="D318" s="2"/>
      <c r="E318" s="2"/>
      <c r="F318" s="2"/>
      <c r="G318" s="28"/>
      <c r="H318" s="2"/>
      <c r="I318" s="7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1:47" ht="15.75" customHeight="1" x14ac:dyDescent="0.2">
      <c r="A319"/>
      <c r="B319" s="2"/>
      <c r="C319" s="2"/>
      <c r="D319" s="2"/>
      <c r="E319" s="2"/>
      <c r="F319" s="2"/>
      <c r="G319" s="28"/>
      <c r="H319" s="2"/>
      <c r="I319" s="7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1:47" ht="15.75" customHeight="1" x14ac:dyDescent="0.2">
      <c r="A320"/>
      <c r="B320" s="2"/>
      <c r="C320" s="2"/>
      <c r="D320" s="2"/>
      <c r="E320" s="2"/>
      <c r="F320" s="2"/>
      <c r="G320" s="28"/>
      <c r="H320" s="2"/>
      <c r="I320" s="7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1:47" ht="15.75" customHeight="1" x14ac:dyDescent="0.2">
      <c r="A321"/>
      <c r="B321" s="2"/>
      <c r="C321" s="2"/>
      <c r="D321" s="2"/>
      <c r="E321" s="2"/>
      <c r="F321" s="2"/>
      <c r="G321" s="28"/>
      <c r="H321" s="2"/>
      <c r="I321" s="7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1:47" ht="15.75" customHeight="1" x14ac:dyDescent="0.2">
      <c r="A322"/>
      <c r="B322" s="2"/>
      <c r="C322" s="2"/>
      <c r="D322" s="2"/>
      <c r="E322" s="2"/>
      <c r="F322" s="2"/>
      <c r="G322" s="28"/>
      <c r="H322" s="2"/>
      <c r="I322" s="7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1:47" ht="15.75" customHeight="1" x14ac:dyDescent="0.2">
      <c r="A323"/>
      <c r="B323" s="2"/>
      <c r="C323" s="2"/>
      <c r="D323" s="2"/>
      <c r="E323" s="2"/>
      <c r="F323" s="2"/>
      <c r="G323" s="28"/>
      <c r="H323" s="2"/>
      <c r="I323" s="7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1:47" ht="15.75" customHeight="1" x14ac:dyDescent="0.2">
      <c r="A324"/>
      <c r="B324" s="2"/>
      <c r="C324" s="2"/>
      <c r="D324" s="2"/>
      <c r="E324" s="2"/>
      <c r="F324" s="2"/>
      <c r="G324" s="28"/>
      <c r="H324" s="2"/>
      <c r="I324" s="7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1:47" ht="15.75" customHeight="1" x14ac:dyDescent="0.2">
      <c r="A325"/>
      <c r="B325" s="2"/>
      <c r="C325" s="2"/>
      <c r="D325" s="2"/>
      <c r="E325" s="2"/>
      <c r="F325" s="2"/>
      <c r="G325" s="28"/>
      <c r="H325" s="2"/>
      <c r="I325" s="7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1:47" ht="15.75" customHeight="1" x14ac:dyDescent="0.2">
      <c r="A326"/>
      <c r="B326" s="2"/>
      <c r="C326" s="2"/>
      <c r="D326" s="2"/>
      <c r="E326" s="2"/>
      <c r="F326" s="2"/>
      <c r="G326" s="28"/>
      <c r="H326" s="2"/>
      <c r="I326" s="7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1:47" ht="15.75" customHeight="1" x14ac:dyDescent="0.2">
      <c r="A327"/>
      <c r="B327" s="2"/>
      <c r="C327" s="2"/>
      <c r="D327" s="2"/>
      <c r="E327" s="2"/>
      <c r="F327" s="2"/>
      <c r="G327" s="28"/>
      <c r="H327" s="2"/>
      <c r="I327" s="7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1:47" ht="15.75" customHeight="1" x14ac:dyDescent="0.2">
      <c r="A328"/>
      <c r="B328" s="2"/>
      <c r="C328" s="2"/>
      <c r="D328" s="2"/>
      <c r="E328" s="2"/>
      <c r="F328" s="2"/>
      <c r="G328" s="28"/>
      <c r="H328" s="2"/>
      <c r="I328" s="7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1:47" ht="15.75" customHeight="1" x14ac:dyDescent="0.2">
      <c r="A329"/>
      <c r="B329" s="2"/>
      <c r="C329" s="2"/>
      <c r="D329" s="2"/>
      <c r="E329" s="2"/>
      <c r="F329" s="2"/>
      <c r="G329" s="28"/>
      <c r="H329" s="2"/>
      <c r="I329" s="7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1:47" ht="15.75" customHeight="1" x14ac:dyDescent="0.2">
      <c r="A330"/>
      <c r="B330" s="2"/>
      <c r="C330" s="2"/>
      <c r="D330" s="2"/>
      <c r="E330" s="2"/>
      <c r="F330" s="2"/>
      <c r="G330" s="28"/>
      <c r="H330" s="2"/>
      <c r="I330" s="7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1:47" ht="15.75" customHeight="1" x14ac:dyDescent="0.2">
      <c r="A331"/>
      <c r="B331" s="2"/>
      <c r="C331" s="2"/>
      <c r="D331" s="2"/>
      <c r="E331" s="2"/>
      <c r="F331" s="2"/>
      <c r="G331" s="28"/>
      <c r="H331" s="2"/>
      <c r="I331" s="7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1:47" ht="15.75" customHeight="1" x14ac:dyDescent="0.2">
      <c r="A332"/>
      <c r="B332" s="2"/>
      <c r="C332" s="2"/>
      <c r="D332" s="2"/>
      <c r="E332" s="2"/>
      <c r="F332" s="2"/>
      <c r="G332" s="28"/>
      <c r="H332" s="2"/>
      <c r="I332" s="7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1:47" ht="15.75" customHeight="1" x14ac:dyDescent="0.2">
      <c r="A333"/>
      <c r="B333" s="2"/>
      <c r="C333" s="2"/>
      <c r="D333" s="2"/>
      <c r="E333" s="2"/>
      <c r="F333" s="2"/>
      <c r="G333" s="28"/>
      <c r="H333" s="2"/>
      <c r="I333" s="7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1:47" ht="15.75" customHeight="1" x14ac:dyDescent="0.2">
      <c r="A334"/>
      <c r="B334" s="2"/>
      <c r="C334" s="2"/>
      <c r="D334" s="2"/>
      <c r="E334" s="2"/>
      <c r="F334" s="2"/>
      <c r="G334" s="28"/>
      <c r="H334" s="2"/>
      <c r="I334" s="7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1:47" ht="15.75" customHeight="1" x14ac:dyDescent="0.2">
      <c r="A335"/>
      <c r="B335" s="2"/>
      <c r="C335" s="2"/>
      <c r="D335" s="2"/>
      <c r="E335" s="2"/>
      <c r="F335" s="2"/>
      <c r="G335" s="28"/>
      <c r="H335" s="2"/>
      <c r="I335" s="7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1:47" ht="15.75" customHeight="1" x14ac:dyDescent="0.2">
      <c r="A336"/>
      <c r="B336" s="2"/>
      <c r="C336" s="2"/>
      <c r="D336" s="2"/>
      <c r="E336" s="2"/>
      <c r="F336" s="2"/>
      <c r="G336" s="28"/>
      <c r="H336" s="2"/>
      <c r="I336" s="7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1:47" ht="15.75" customHeight="1" x14ac:dyDescent="0.2">
      <c r="A337"/>
      <c r="B337" s="2"/>
      <c r="C337" s="2"/>
      <c r="D337" s="2"/>
      <c r="E337" s="2"/>
      <c r="F337" s="2"/>
      <c r="G337" s="28"/>
      <c r="H337" s="2"/>
      <c r="I337" s="7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1:47" ht="15.75" customHeight="1" x14ac:dyDescent="0.2">
      <c r="A338"/>
      <c r="B338" s="2"/>
      <c r="C338" s="2"/>
      <c r="D338" s="2"/>
      <c r="E338" s="2"/>
      <c r="F338" s="2"/>
      <c r="G338" s="28"/>
      <c r="H338" s="2"/>
      <c r="I338" s="7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1:47" ht="15.75" customHeight="1" x14ac:dyDescent="0.2">
      <c r="A339"/>
      <c r="B339" s="2"/>
      <c r="C339" s="2"/>
      <c r="D339" s="2"/>
      <c r="E339" s="2"/>
      <c r="F339" s="2"/>
      <c r="G339" s="28"/>
      <c r="H339" s="2"/>
      <c r="I339" s="7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1:47" ht="15.75" customHeight="1" x14ac:dyDescent="0.2">
      <c r="A340"/>
      <c r="B340" s="2"/>
      <c r="C340" s="2"/>
      <c r="D340" s="2"/>
      <c r="E340" s="2"/>
      <c r="F340" s="2"/>
      <c r="G340" s="28"/>
      <c r="H340" s="2"/>
      <c r="I340" s="7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1:47" ht="15.75" customHeight="1" x14ac:dyDescent="0.2">
      <c r="A341"/>
      <c r="B341" s="2"/>
      <c r="C341" s="2"/>
      <c r="D341" s="2"/>
      <c r="E341" s="2"/>
      <c r="F341" s="2"/>
      <c r="G341" s="28"/>
      <c r="H341" s="2"/>
      <c r="I341" s="7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1:47" ht="15.75" customHeight="1" x14ac:dyDescent="0.2">
      <c r="A342"/>
      <c r="B342" s="2"/>
      <c r="C342" s="2"/>
      <c r="D342" s="2"/>
      <c r="E342" s="2"/>
      <c r="F342" s="2"/>
      <c r="G342" s="28"/>
      <c r="H342" s="2"/>
      <c r="I342" s="7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1:47" ht="15.75" customHeight="1" x14ac:dyDescent="0.2">
      <c r="A343"/>
      <c r="B343" s="2"/>
      <c r="C343" s="2"/>
      <c r="D343" s="2"/>
      <c r="E343" s="2"/>
      <c r="F343" s="2"/>
      <c r="G343" s="28"/>
      <c r="H343" s="2"/>
      <c r="I343" s="7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1:47" ht="15.75" customHeight="1" x14ac:dyDescent="0.2">
      <c r="A344"/>
      <c r="B344" s="2"/>
      <c r="C344" s="2"/>
      <c r="D344" s="2"/>
      <c r="E344" s="2"/>
      <c r="F344" s="2"/>
      <c r="G344" s="28"/>
      <c r="H344" s="2"/>
      <c r="I344" s="7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1:47" ht="15.75" customHeight="1" x14ac:dyDescent="0.2">
      <c r="A345"/>
      <c r="B345" s="2"/>
      <c r="C345" s="2"/>
      <c r="D345" s="2"/>
      <c r="E345" s="2"/>
      <c r="F345" s="2"/>
      <c r="G345" s="28"/>
      <c r="H345" s="2"/>
      <c r="I345" s="7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1:47" ht="15.75" customHeight="1" x14ac:dyDescent="0.2">
      <c r="A346"/>
      <c r="B346" s="2"/>
      <c r="C346" s="2"/>
      <c r="D346" s="2"/>
      <c r="E346" s="2"/>
      <c r="F346" s="2"/>
      <c r="G346" s="28"/>
      <c r="H346" s="2"/>
      <c r="I346" s="7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1:47" ht="15.75" customHeight="1" x14ac:dyDescent="0.2">
      <c r="A347"/>
      <c r="B347" s="2"/>
      <c r="C347" s="2"/>
      <c r="D347" s="2"/>
      <c r="E347" s="2"/>
      <c r="F347" s="2"/>
      <c r="G347" s="28"/>
      <c r="H347" s="2"/>
      <c r="I347" s="7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1:47" ht="15.75" customHeight="1" x14ac:dyDescent="0.2">
      <c r="A348"/>
      <c r="B348" s="2"/>
      <c r="C348" s="2"/>
      <c r="D348" s="2"/>
      <c r="E348" s="2"/>
      <c r="F348" s="2"/>
      <c r="G348" s="28"/>
      <c r="H348" s="2"/>
      <c r="I348" s="7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1:47" ht="15.75" customHeight="1" x14ac:dyDescent="0.2">
      <c r="A349"/>
      <c r="B349" s="2"/>
      <c r="C349" s="2"/>
      <c r="D349" s="2"/>
      <c r="E349" s="2"/>
      <c r="F349" s="2"/>
      <c r="G349" s="28"/>
      <c r="H349" s="2"/>
      <c r="I349" s="7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1:47" ht="15.75" customHeight="1" x14ac:dyDescent="0.2">
      <c r="A350"/>
      <c r="B350" s="2"/>
      <c r="C350" s="2"/>
      <c r="D350" s="2"/>
      <c r="E350" s="2"/>
      <c r="F350" s="2"/>
      <c r="G350" s="28"/>
      <c r="H350" s="2"/>
      <c r="I350" s="7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1:47" ht="15.75" customHeight="1" x14ac:dyDescent="0.2">
      <c r="A351"/>
      <c r="B351" s="2"/>
      <c r="C351" s="2"/>
      <c r="D351" s="2"/>
      <c r="E351" s="2"/>
      <c r="F351" s="2"/>
      <c r="G351" s="28"/>
      <c r="H351" s="2"/>
      <c r="I351" s="7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1:47" ht="15.75" customHeight="1" x14ac:dyDescent="0.2">
      <c r="A352"/>
      <c r="B352" s="2"/>
      <c r="C352" s="2"/>
      <c r="D352" s="2"/>
      <c r="E352" s="2"/>
      <c r="F352" s="2"/>
      <c r="G352" s="28"/>
      <c r="H352" s="2"/>
      <c r="I352" s="7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1:47" ht="15.75" customHeight="1" x14ac:dyDescent="0.2">
      <c r="A353"/>
      <c r="B353" s="2"/>
      <c r="C353" s="2"/>
      <c r="D353" s="2"/>
      <c r="E353" s="2"/>
      <c r="F353" s="2"/>
      <c r="G353" s="28"/>
      <c r="H353" s="2"/>
      <c r="I353" s="7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1:47" ht="15.75" customHeight="1" x14ac:dyDescent="0.2">
      <c r="A354"/>
      <c r="B354" s="2"/>
      <c r="C354" s="2"/>
      <c r="D354" s="2"/>
      <c r="E354" s="2"/>
      <c r="F354" s="2"/>
      <c r="G354" s="28"/>
      <c r="H354" s="2"/>
      <c r="I354" s="7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1:47" ht="15.75" customHeight="1" x14ac:dyDescent="0.2">
      <c r="A355"/>
      <c r="B355" s="2"/>
      <c r="C355" s="2"/>
      <c r="D355" s="2"/>
      <c r="E355" s="2"/>
      <c r="F355" s="2"/>
      <c r="G355" s="28"/>
      <c r="H355" s="2"/>
      <c r="I355" s="7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1:47" ht="15.75" customHeight="1" x14ac:dyDescent="0.2">
      <c r="A356"/>
      <c r="B356" s="2"/>
      <c r="C356" s="2"/>
      <c r="D356" s="2"/>
      <c r="E356" s="2"/>
      <c r="F356" s="2"/>
      <c r="G356" s="28"/>
      <c r="H356" s="2"/>
      <c r="I356" s="7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1:47" ht="15.75" customHeight="1" x14ac:dyDescent="0.2">
      <c r="A357"/>
      <c r="B357" s="2"/>
      <c r="C357" s="2"/>
      <c r="D357" s="2"/>
      <c r="E357" s="2"/>
      <c r="F357" s="2"/>
      <c r="G357" s="28"/>
      <c r="H357" s="2"/>
      <c r="I357" s="7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1:47" ht="15.75" customHeight="1" x14ac:dyDescent="0.2">
      <c r="A358"/>
      <c r="B358" s="2"/>
      <c r="C358" s="2"/>
      <c r="D358" s="2"/>
      <c r="E358" s="2"/>
      <c r="F358" s="2"/>
      <c r="G358" s="28"/>
      <c r="H358" s="2"/>
      <c r="I358" s="7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1:47" ht="15.75" customHeight="1" x14ac:dyDescent="0.2">
      <c r="A359"/>
      <c r="B359" s="2"/>
      <c r="C359" s="2"/>
      <c r="D359" s="2"/>
      <c r="E359" s="2"/>
      <c r="F359" s="2"/>
      <c r="G359" s="28"/>
      <c r="H359" s="2"/>
      <c r="I359" s="7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1:47" ht="15.75" customHeight="1" x14ac:dyDescent="0.2">
      <c r="A360"/>
      <c r="B360" s="2"/>
      <c r="C360" s="2"/>
      <c r="D360" s="2"/>
      <c r="E360" s="2"/>
      <c r="F360" s="2"/>
      <c r="G360" s="28"/>
      <c r="H360" s="2"/>
      <c r="I360" s="7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1:47" ht="15.75" customHeight="1" x14ac:dyDescent="0.2">
      <c r="A361"/>
      <c r="B361" s="2"/>
      <c r="C361" s="2"/>
      <c r="D361" s="2"/>
      <c r="E361" s="2"/>
      <c r="F361" s="2"/>
      <c r="G361" s="28"/>
      <c r="H361" s="2"/>
      <c r="I361" s="7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1:47" ht="15.75" customHeight="1" x14ac:dyDescent="0.2">
      <c r="A362"/>
      <c r="B362" s="2"/>
      <c r="C362" s="2"/>
      <c r="D362" s="2"/>
      <c r="E362" s="2"/>
      <c r="F362" s="2"/>
      <c r="G362" s="28"/>
      <c r="H362" s="2"/>
      <c r="I362" s="7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1:47" ht="15.75" customHeight="1" x14ac:dyDescent="0.2">
      <c r="A363"/>
      <c r="B363" s="2"/>
      <c r="C363" s="2"/>
      <c r="D363" s="2"/>
      <c r="E363" s="2"/>
      <c r="F363" s="2"/>
      <c r="G363" s="28"/>
      <c r="H363" s="2"/>
      <c r="I363" s="7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1:47" ht="15.75" customHeight="1" x14ac:dyDescent="0.2">
      <c r="A364"/>
      <c r="B364" s="2"/>
      <c r="C364" s="2"/>
      <c r="D364" s="2"/>
      <c r="E364" s="2"/>
      <c r="F364" s="2"/>
      <c r="G364" s="28"/>
      <c r="H364" s="2"/>
      <c r="I364" s="7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1:47" ht="15.75" customHeight="1" x14ac:dyDescent="0.2">
      <c r="A365"/>
      <c r="B365" s="2"/>
      <c r="C365" s="2"/>
      <c r="D365" s="2"/>
      <c r="E365" s="2"/>
      <c r="F365" s="2"/>
      <c r="G365" s="28"/>
      <c r="H365" s="2"/>
      <c r="I365" s="7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1:47" ht="15.75" customHeight="1" x14ac:dyDescent="0.2">
      <c r="A366"/>
      <c r="B366" s="2"/>
      <c r="C366" s="2"/>
      <c r="D366" s="2"/>
      <c r="E366" s="2"/>
      <c r="F366" s="2"/>
      <c r="G366" s="28"/>
      <c r="H366" s="2"/>
      <c r="I366" s="7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1:47" ht="15.75" customHeight="1" x14ac:dyDescent="0.2">
      <c r="A367"/>
      <c r="B367" s="2"/>
      <c r="C367" s="2"/>
      <c r="D367" s="2"/>
      <c r="E367" s="2"/>
      <c r="F367" s="2"/>
      <c r="G367" s="28"/>
      <c r="H367" s="2"/>
      <c r="I367" s="7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1:47" ht="15.75" customHeight="1" x14ac:dyDescent="0.2">
      <c r="A368"/>
      <c r="B368" s="2"/>
      <c r="C368" s="2"/>
      <c r="D368" s="2"/>
      <c r="E368" s="2"/>
      <c r="F368" s="2"/>
      <c r="G368" s="28"/>
      <c r="H368" s="2"/>
      <c r="I368" s="7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1:47" ht="15.75" customHeight="1" x14ac:dyDescent="0.2">
      <c r="A369"/>
      <c r="B369" s="2"/>
      <c r="C369" s="2"/>
      <c r="D369" s="2"/>
      <c r="E369" s="2"/>
      <c r="F369" s="2"/>
      <c r="G369" s="28"/>
      <c r="H369" s="2"/>
      <c r="I369" s="7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1:47" ht="15.75" customHeight="1" x14ac:dyDescent="0.2">
      <c r="A370"/>
      <c r="B370" s="2"/>
      <c r="C370" s="2"/>
      <c r="D370" s="2"/>
      <c r="E370" s="2"/>
      <c r="F370" s="2"/>
      <c r="G370" s="28"/>
      <c r="H370" s="2"/>
      <c r="I370" s="7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1:47" ht="15.75" customHeight="1" x14ac:dyDescent="0.2">
      <c r="A371"/>
      <c r="B371" s="2"/>
      <c r="C371" s="2"/>
      <c r="D371" s="2"/>
      <c r="E371" s="2"/>
      <c r="F371" s="2"/>
      <c r="G371" s="28"/>
      <c r="H371" s="2"/>
      <c r="I371" s="7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1:47" ht="15.75" customHeight="1" x14ac:dyDescent="0.2">
      <c r="A372"/>
      <c r="B372" s="2"/>
      <c r="C372" s="2"/>
      <c r="D372" s="2"/>
      <c r="E372" s="2"/>
      <c r="F372" s="2"/>
      <c r="G372" s="28"/>
      <c r="H372" s="2"/>
      <c r="I372" s="7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1:47" ht="15.75" customHeight="1" x14ac:dyDescent="0.2">
      <c r="A373"/>
      <c r="B373" s="2"/>
      <c r="C373" s="2"/>
      <c r="D373" s="2"/>
      <c r="E373" s="2"/>
      <c r="F373" s="2"/>
      <c r="G373" s="28"/>
      <c r="H373" s="2"/>
      <c r="I373" s="7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1:47" ht="15.75" customHeight="1" x14ac:dyDescent="0.2">
      <c r="A374"/>
      <c r="B374" s="2"/>
      <c r="C374" s="2"/>
      <c r="D374" s="2"/>
      <c r="E374" s="2"/>
      <c r="F374" s="2"/>
      <c r="G374" s="28"/>
      <c r="H374" s="2"/>
      <c r="I374" s="7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1:47" ht="15.75" customHeight="1" x14ac:dyDescent="0.2">
      <c r="A375"/>
      <c r="B375" s="2"/>
      <c r="C375" s="2"/>
      <c r="D375" s="2"/>
      <c r="E375" s="2"/>
      <c r="F375" s="2"/>
      <c r="G375" s="28"/>
      <c r="H375" s="2"/>
      <c r="I375" s="7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1:47" ht="15.75" customHeight="1" x14ac:dyDescent="0.2">
      <c r="A376"/>
      <c r="B376" s="2"/>
      <c r="C376" s="2"/>
      <c r="D376" s="2"/>
      <c r="E376" s="2"/>
      <c r="F376" s="2"/>
      <c r="G376" s="28"/>
      <c r="H376" s="2"/>
      <c r="I376" s="7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1:47" ht="15.75" customHeight="1" x14ac:dyDescent="0.2">
      <c r="A377"/>
      <c r="B377" s="2"/>
      <c r="C377" s="2"/>
      <c r="D377" s="2"/>
      <c r="E377" s="2"/>
      <c r="F377" s="2"/>
      <c r="G377" s="28"/>
      <c r="H377" s="2"/>
      <c r="I377" s="7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1:47" ht="15.75" customHeight="1" x14ac:dyDescent="0.2">
      <c r="A378"/>
      <c r="B378" s="2"/>
      <c r="C378" s="2"/>
      <c r="D378" s="2"/>
      <c r="E378" s="2"/>
      <c r="F378" s="2"/>
      <c r="G378" s="28"/>
      <c r="H378" s="2"/>
      <c r="I378" s="7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1:47" ht="15.75" customHeight="1" x14ac:dyDescent="0.2">
      <c r="A379"/>
      <c r="B379" s="2"/>
      <c r="C379" s="2"/>
      <c r="D379" s="2"/>
      <c r="E379" s="2"/>
      <c r="F379" s="2"/>
      <c r="G379" s="28"/>
      <c r="H379" s="2"/>
      <c r="I379" s="7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1:47" ht="15.75" customHeight="1" x14ac:dyDescent="0.2">
      <c r="A380"/>
      <c r="B380" s="2"/>
      <c r="C380" s="2"/>
      <c r="D380" s="2"/>
      <c r="E380" s="2"/>
      <c r="F380" s="2"/>
      <c r="G380" s="28"/>
      <c r="H380" s="2"/>
      <c r="I380" s="7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1:47" ht="15.75" customHeight="1" x14ac:dyDescent="0.2">
      <c r="A381"/>
      <c r="B381" s="2"/>
      <c r="C381" s="2"/>
      <c r="D381" s="2"/>
      <c r="E381" s="2"/>
      <c r="F381" s="2"/>
      <c r="G381" s="28"/>
      <c r="H381" s="2"/>
      <c r="I381" s="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1:47" ht="15.75" customHeight="1" x14ac:dyDescent="0.2">
      <c r="A382"/>
      <c r="B382" s="2"/>
      <c r="C382" s="2"/>
      <c r="D382" s="2"/>
      <c r="E382" s="2"/>
      <c r="F382" s="2"/>
      <c r="G382" s="28"/>
      <c r="H382" s="2"/>
      <c r="I382" s="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1:47" ht="15.75" customHeight="1" x14ac:dyDescent="0.2">
      <c r="A383"/>
      <c r="B383" s="2"/>
      <c r="C383" s="2"/>
      <c r="D383" s="2"/>
      <c r="E383" s="2"/>
      <c r="F383" s="2"/>
      <c r="G383" s="28"/>
      <c r="H383" s="2"/>
      <c r="I383" s="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1:47" ht="15.75" customHeight="1" x14ac:dyDescent="0.2">
      <c r="A384"/>
      <c r="B384" s="2"/>
      <c r="C384" s="2"/>
      <c r="D384" s="2"/>
      <c r="E384" s="2"/>
      <c r="F384" s="2"/>
      <c r="G384" s="28"/>
      <c r="H384" s="2"/>
      <c r="I384" s="7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1:47" ht="15.75" customHeight="1" x14ac:dyDescent="0.2">
      <c r="A385"/>
      <c r="B385" s="2"/>
      <c r="C385" s="2"/>
      <c r="D385" s="2"/>
      <c r="E385" s="2"/>
      <c r="F385" s="2"/>
      <c r="G385" s="28"/>
      <c r="H385" s="2"/>
      <c r="I385" s="7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1:47" ht="15.75" customHeight="1" x14ac:dyDescent="0.2">
      <c r="A386"/>
      <c r="B386" s="2"/>
      <c r="C386" s="2"/>
      <c r="D386" s="2"/>
      <c r="E386" s="2"/>
      <c r="F386" s="2"/>
      <c r="G386" s="28"/>
      <c r="H386" s="2"/>
      <c r="I386" s="7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1:47" ht="15.75" customHeight="1" x14ac:dyDescent="0.2">
      <c r="A387"/>
      <c r="B387" s="2"/>
      <c r="C387" s="2"/>
      <c r="D387" s="2"/>
      <c r="E387" s="2"/>
      <c r="F387" s="2"/>
      <c r="G387" s="28"/>
      <c r="H387" s="2"/>
      <c r="I387" s="7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1:47" ht="15.75" customHeight="1" x14ac:dyDescent="0.2">
      <c r="A388"/>
      <c r="B388" s="2"/>
      <c r="C388" s="2"/>
      <c r="D388" s="2"/>
      <c r="E388" s="2"/>
      <c r="F388" s="2"/>
      <c r="G388" s="28"/>
      <c r="H388" s="2"/>
      <c r="I388" s="7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1:47" ht="15.75" customHeight="1" x14ac:dyDescent="0.2">
      <c r="A389"/>
      <c r="B389" s="2"/>
      <c r="C389" s="2"/>
      <c r="D389" s="2"/>
      <c r="E389" s="2"/>
      <c r="F389" s="2"/>
      <c r="G389" s="28"/>
      <c r="H389" s="2"/>
      <c r="I389" s="7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1:47" ht="15.75" customHeight="1" x14ac:dyDescent="0.2">
      <c r="A390"/>
      <c r="B390" s="2"/>
      <c r="C390" s="2"/>
      <c r="D390" s="2"/>
      <c r="E390" s="2"/>
      <c r="F390" s="2"/>
      <c r="G390" s="28"/>
      <c r="H390" s="2"/>
      <c r="I390" s="7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1:47" ht="15.75" customHeight="1" x14ac:dyDescent="0.2">
      <c r="A391"/>
      <c r="B391" s="2"/>
      <c r="C391" s="2"/>
      <c r="D391" s="2"/>
      <c r="E391" s="2"/>
      <c r="F391" s="2"/>
      <c r="G391" s="28"/>
      <c r="H391" s="2"/>
      <c r="I391" s="7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1:47" ht="15.75" customHeight="1" x14ac:dyDescent="0.2">
      <c r="A392"/>
      <c r="B392" s="2"/>
      <c r="C392" s="2"/>
      <c r="D392" s="2"/>
      <c r="E392" s="2"/>
      <c r="F392" s="2"/>
      <c r="G392" s="28"/>
      <c r="H392" s="2"/>
      <c r="I392" s="7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1:47" ht="15.75" customHeight="1" x14ac:dyDescent="0.2">
      <c r="A393"/>
      <c r="B393" s="2"/>
      <c r="C393" s="2"/>
      <c r="D393" s="2"/>
      <c r="E393" s="2"/>
      <c r="F393" s="2"/>
      <c r="G393" s="28"/>
      <c r="H393" s="2"/>
      <c r="I393" s="7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1:47" ht="15.75" customHeight="1" x14ac:dyDescent="0.2">
      <c r="A394"/>
      <c r="B394" s="2"/>
      <c r="C394" s="2"/>
      <c r="D394" s="2"/>
      <c r="E394" s="2"/>
      <c r="F394" s="2"/>
      <c r="G394" s="28"/>
      <c r="H394" s="2"/>
      <c r="I394" s="7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1:47" ht="15.75" customHeight="1" x14ac:dyDescent="0.2">
      <c r="A395"/>
      <c r="B395" s="2"/>
      <c r="C395" s="2"/>
      <c r="D395" s="2"/>
      <c r="E395" s="2"/>
      <c r="F395" s="2"/>
      <c r="G395" s="28"/>
      <c r="H395" s="2"/>
      <c r="I395" s="7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1:47" ht="15.75" customHeight="1" x14ac:dyDescent="0.2">
      <c r="A396"/>
      <c r="B396" s="2"/>
      <c r="C396" s="2"/>
      <c r="D396" s="2"/>
      <c r="E396" s="2"/>
      <c r="F396" s="2"/>
      <c r="G396" s="28"/>
      <c r="H396" s="2"/>
      <c r="I396" s="7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1:47" ht="15.75" customHeight="1" x14ac:dyDescent="0.2">
      <c r="A397"/>
      <c r="B397" s="2"/>
      <c r="C397" s="2"/>
      <c r="D397" s="2"/>
      <c r="E397" s="2"/>
      <c r="F397" s="2"/>
      <c r="G397" s="28"/>
      <c r="H397" s="2"/>
      <c r="I397" s="7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1:47" ht="15.75" customHeight="1" x14ac:dyDescent="0.2">
      <c r="A398"/>
      <c r="B398" s="2"/>
      <c r="C398" s="2"/>
      <c r="D398" s="2"/>
      <c r="E398" s="2"/>
      <c r="F398" s="2"/>
      <c r="G398" s="28"/>
      <c r="H398" s="2"/>
      <c r="I398" s="7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1:47" ht="15.75" customHeight="1" x14ac:dyDescent="0.2">
      <c r="A399"/>
      <c r="B399" s="2"/>
      <c r="C399" s="2"/>
      <c r="D399" s="2"/>
      <c r="E399" s="2"/>
      <c r="F399" s="2"/>
      <c r="G399" s="28"/>
      <c r="H399" s="2"/>
      <c r="I399" s="7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1:47" ht="15.75" customHeight="1" x14ac:dyDescent="0.2">
      <c r="A400"/>
      <c r="B400" s="2"/>
      <c r="C400" s="2"/>
      <c r="D400" s="2"/>
      <c r="E400" s="2"/>
      <c r="F400" s="2"/>
      <c r="G400" s="28"/>
      <c r="H400" s="2"/>
      <c r="I400" s="7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1:47" ht="15.75" customHeight="1" x14ac:dyDescent="0.2">
      <c r="A401"/>
      <c r="B401" s="2"/>
      <c r="C401" s="2"/>
      <c r="D401" s="2"/>
      <c r="E401" s="2"/>
      <c r="F401" s="2"/>
      <c r="G401" s="28"/>
      <c r="H401" s="2"/>
      <c r="I401" s="7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1:47" ht="15.75" customHeight="1" x14ac:dyDescent="0.2">
      <c r="A402"/>
      <c r="B402" s="2"/>
      <c r="C402" s="2"/>
      <c r="D402" s="2"/>
      <c r="E402" s="2"/>
      <c r="F402" s="2"/>
      <c r="G402" s="28"/>
      <c r="H402" s="2"/>
      <c r="I402" s="7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1:47" ht="15.75" customHeight="1" x14ac:dyDescent="0.2">
      <c r="A403"/>
      <c r="B403" s="2"/>
      <c r="C403" s="2"/>
      <c r="D403" s="2"/>
      <c r="E403" s="2"/>
      <c r="F403" s="2"/>
      <c r="G403" s="28"/>
      <c r="H403" s="2"/>
      <c r="I403" s="7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1:47" ht="15.75" customHeight="1" x14ac:dyDescent="0.2">
      <c r="A404"/>
      <c r="B404" s="2"/>
      <c r="C404" s="2"/>
      <c r="D404" s="2"/>
      <c r="E404" s="2"/>
      <c r="F404" s="2"/>
      <c r="G404" s="28"/>
      <c r="H404" s="2"/>
      <c r="I404" s="7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1:47" ht="15.75" customHeight="1" x14ac:dyDescent="0.2">
      <c r="A405"/>
      <c r="B405" s="2"/>
      <c r="C405" s="2"/>
      <c r="D405" s="2"/>
      <c r="E405" s="2"/>
      <c r="F405" s="2"/>
      <c r="G405" s="28"/>
      <c r="H405" s="2"/>
      <c r="I405" s="7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1:47" ht="15.75" customHeight="1" x14ac:dyDescent="0.2">
      <c r="A406"/>
      <c r="B406" s="2"/>
      <c r="C406" s="2"/>
      <c r="D406" s="2"/>
      <c r="E406" s="2"/>
      <c r="F406" s="2"/>
      <c r="G406" s="28"/>
      <c r="H406" s="2"/>
      <c r="I406" s="7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1:47" ht="15.75" customHeight="1" x14ac:dyDescent="0.2">
      <c r="A407"/>
      <c r="B407" s="2"/>
      <c r="C407" s="2"/>
      <c r="D407" s="2"/>
      <c r="E407" s="2"/>
      <c r="F407" s="2"/>
      <c r="G407" s="28"/>
      <c r="H407" s="2"/>
      <c r="I407" s="7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1:47" ht="15.75" customHeight="1" x14ac:dyDescent="0.2">
      <c r="A408"/>
      <c r="B408" s="2"/>
      <c r="C408" s="2"/>
      <c r="D408" s="2"/>
      <c r="E408" s="2"/>
      <c r="F408" s="2"/>
      <c r="G408" s="28"/>
      <c r="H408" s="2"/>
      <c r="I408" s="7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1:47" ht="15.75" customHeight="1" x14ac:dyDescent="0.2">
      <c r="A409"/>
      <c r="B409" s="2"/>
      <c r="C409" s="2"/>
      <c r="D409" s="2"/>
      <c r="E409" s="2"/>
      <c r="F409" s="2"/>
      <c r="G409" s="28"/>
      <c r="H409" s="2"/>
      <c r="I409" s="7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1:47" ht="15.75" customHeight="1" x14ac:dyDescent="0.2">
      <c r="A410"/>
      <c r="B410" s="2"/>
      <c r="C410" s="2"/>
      <c r="D410" s="2"/>
      <c r="E410" s="2"/>
      <c r="F410" s="2"/>
      <c r="G410" s="28"/>
      <c r="H410" s="2"/>
      <c r="I410" s="7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1:47" ht="15.75" customHeight="1" x14ac:dyDescent="0.2">
      <c r="A411"/>
      <c r="B411" s="2"/>
      <c r="C411" s="2"/>
      <c r="D411" s="2"/>
      <c r="E411" s="2"/>
      <c r="F411" s="2"/>
      <c r="G411" s="28"/>
      <c r="H411" s="2"/>
      <c r="I411" s="7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1:47" ht="15.75" customHeight="1" x14ac:dyDescent="0.2">
      <c r="A412"/>
      <c r="B412" s="2"/>
      <c r="C412" s="2"/>
      <c r="D412" s="2"/>
      <c r="E412" s="2"/>
      <c r="F412" s="2"/>
      <c r="G412" s="28"/>
      <c r="H412" s="2"/>
      <c r="I412" s="7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1:47" ht="15.75" customHeight="1" x14ac:dyDescent="0.2">
      <c r="A413"/>
      <c r="B413" s="2"/>
      <c r="C413" s="2"/>
      <c r="D413" s="2"/>
      <c r="E413" s="2"/>
      <c r="F413" s="2"/>
      <c r="G413" s="28"/>
      <c r="H413" s="2"/>
      <c r="I413" s="7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1:47" ht="15.75" customHeight="1" x14ac:dyDescent="0.2">
      <c r="A414"/>
      <c r="B414" s="2"/>
      <c r="C414" s="2"/>
      <c r="D414" s="2"/>
      <c r="E414" s="2"/>
      <c r="F414" s="2"/>
      <c r="G414" s="28"/>
      <c r="H414" s="2"/>
      <c r="I414" s="7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1:47" ht="15.75" customHeight="1" x14ac:dyDescent="0.2">
      <c r="A415"/>
      <c r="B415" s="2"/>
      <c r="C415" s="2"/>
      <c r="D415" s="2"/>
      <c r="E415" s="2"/>
      <c r="F415" s="2"/>
      <c r="G415" s="28"/>
      <c r="H415" s="2"/>
      <c r="I415" s="7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1:47" ht="15.75" customHeight="1" x14ac:dyDescent="0.2">
      <c r="A416"/>
      <c r="B416" s="2"/>
      <c r="C416" s="2"/>
      <c r="D416" s="2"/>
      <c r="E416" s="2"/>
      <c r="F416" s="2"/>
      <c r="G416" s="28"/>
      <c r="H416" s="2"/>
      <c r="I416" s="7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1:47" ht="15.75" customHeight="1" x14ac:dyDescent="0.2">
      <c r="A417"/>
      <c r="B417" s="2"/>
      <c r="C417" s="2"/>
      <c r="D417" s="2"/>
      <c r="E417" s="2"/>
      <c r="F417" s="2"/>
      <c r="G417" s="28"/>
      <c r="H417" s="2"/>
      <c r="I417" s="7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1:47" ht="15.75" customHeight="1" x14ac:dyDescent="0.2">
      <c r="A418"/>
      <c r="B418" s="2"/>
      <c r="C418" s="2"/>
      <c r="D418" s="2"/>
      <c r="E418" s="2"/>
      <c r="F418" s="2"/>
      <c r="G418" s="28"/>
      <c r="H418" s="2"/>
      <c r="I418" s="7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1:47" ht="15.75" customHeight="1" x14ac:dyDescent="0.2">
      <c r="A419"/>
      <c r="B419" s="2"/>
      <c r="C419" s="2"/>
      <c r="D419" s="2"/>
      <c r="E419" s="2"/>
      <c r="F419" s="2"/>
      <c r="G419" s="28"/>
      <c r="H419" s="2"/>
      <c r="I419" s="7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1:47" ht="15.75" customHeight="1" x14ac:dyDescent="0.2">
      <c r="A420"/>
      <c r="B420" s="2"/>
      <c r="C420" s="2"/>
      <c r="D420" s="2"/>
      <c r="E420" s="2"/>
      <c r="F420" s="2"/>
      <c r="G420" s="28"/>
      <c r="H420" s="2"/>
      <c r="I420" s="7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1:47" ht="15.75" customHeight="1" x14ac:dyDescent="0.2">
      <c r="A421"/>
      <c r="B421" s="2"/>
      <c r="C421" s="2"/>
      <c r="D421" s="2"/>
      <c r="E421" s="2"/>
      <c r="F421" s="2"/>
      <c r="G421" s="28"/>
      <c r="H421" s="2"/>
      <c r="I421" s="7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1:47" ht="15.75" customHeight="1" x14ac:dyDescent="0.2">
      <c r="A422"/>
      <c r="B422" s="2"/>
      <c r="C422" s="2"/>
      <c r="D422" s="2"/>
      <c r="E422" s="2"/>
      <c r="F422" s="2"/>
      <c r="G422" s="28"/>
      <c r="H422" s="2"/>
      <c r="I422" s="7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1:47" ht="15.75" customHeight="1" x14ac:dyDescent="0.2">
      <c r="A423"/>
      <c r="B423" s="2"/>
      <c r="C423" s="2"/>
      <c r="D423" s="2"/>
      <c r="E423" s="2"/>
      <c r="F423" s="2"/>
      <c r="G423" s="28"/>
      <c r="H423" s="2"/>
      <c r="I423" s="7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1:47" ht="15.75" customHeight="1" x14ac:dyDescent="0.2">
      <c r="A424"/>
      <c r="B424" s="2"/>
      <c r="C424" s="2"/>
      <c r="D424" s="2"/>
      <c r="E424" s="2"/>
      <c r="F424" s="2"/>
      <c r="G424" s="28"/>
      <c r="H424" s="2"/>
      <c r="I424" s="7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1:47" ht="15.75" customHeight="1" x14ac:dyDescent="0.2">
      <c r="A425"/>
      <c r="B425" s="2"/>
      <c r="C425" s="2"/>
      <c r="D425" s="2"/>
      <c r="E425" s="2"/>
      <c r="F425" s="2"/>
      <c r="G425" s="28"/>
      <c r="H425" s="2"/>
      <c r="I425" s="7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1:47" ht="15.75" customHeight="1" x14ac:dyDescent="0.2">
      <c r="A426"/>
      <c r="B426" s="2"/>
      <c r="C426" s="2"/>
      <c r="D426" s="2"/>
      <c r="E426" s="2"/>
      <c r="F426" s="2"/>
      <c r="G426" s="28"/>
      <c r="H426" s="2"/>
      <c r="I426" s="7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1:47" ht="15.75" customHeight="1" x14ac:dyDescent="0.2">
      <c r="A427"/>
      <c r="B427" s="2"/>
      <c r="C427" s="2"/>
      <c r="D427" s="2"/>
      <c r="E427" s="2"/>
      <c r="F427" s="2"/>
      <c r="G427" s="28"/>
      <c r="H427" s="2"/>
      <c r="I427" s="7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1:47" ht="15.75" customHeight="1" x14ac:dyDescent="0.2">
      <c r="A428"/>
      <c r="B428" s="2"/>
      <c r="C428" s="2"/>
      <c r="D428" s="2"/>
      <c r="E428" s="2"/>
      <c r="F428" s="2"/>
      <c r="G428" s="28"/>
      <c r="H428" s="2"/>
      <c r="I428" s="7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1:47" ht="15.75" customHeight="1" x14ac:dyDescent="0.2">
      <c r="A429"/>
      <c r="B429" s="2"/>
      <c r="C429" s="2"/>
      <c r="D429" s="2"/>
      <c r="E429" s="2"/>
      <c r="F429" s="2"/>
      <c r="G429" s="28"/>
      <c r="H429" s="2"/>
      <c r="I429" s="7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1:47" ht="15.75" customHeight="1" x14ac:dyDescent="0.2">
      <c r="A430"/>
      <c r="B430" s="2"/>
      <c r="C430" s="2"/>
      <c r="D430" s="2"/>
      <c r="E430" s="2"/>
      <c r="F430" s="2"/>
      <c r="G430" s="28"/>
      <c r="H430" s="2"/>
      <c r="I430" s="7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1:47" ht="15.75" customHeight="1" x14ac:dyDescent="0.2">
      <c r="A431"/>
      <c r="B431" s="2"/>
      <c r="C431" s="2"/>
      <c r="D431" s="2"/>
      <c r="E431" s="2"/>
      <c r="F431" s="2"/>
      <c r="G431" s="28"/>
      <c r="H431" s="2"/>
      <c r="I431" s="7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1:47" ht="15.75" customHeight="1" x14ac:dyDescent="0.2">
      <c r="A432"/>
      <c r="B432" s="2"/>
      <c r="C432" s="2"/>
      <c r="D432" s="2"/>
      <c r="E432" s="2"/>
      <c r="F432" s="2"/>
      <c r="G432" s="28"/>
      <c r="H432" s="2"/>
      <c r="I432" s="7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1:47" ht="15.75" customHeight="1" x14ac:dyDescent="0.2">
      <c r="A433"/>
      <c r="B433" s="2"/>
      <c r="C433" s="2"/>
      <c r="D433" s="2"/>
      <c r="E433" s="2"/>
      <c r="F433" s="2"/>
      <c r="G433" s="28"/>
      <c r="H433" s="2"/>
      <c r="I433" s="7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1:47" ht="15.75" customHeight="1" x14ac:dyDescent="0.2">
      <c r="A434"/>
      <c r="B434" s="2"/>
      <c r="C434" s="2"/>
      <c r="D434" s="2"/>
      <c r="E434" s="2"/>
      <c r="F434" s="2"/>
      <c r="G434" s="28"/>
      <c r="H434" s="2"/>
      <c r="I434" s="7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1:47" ht="15.75" customHeight="1" x14ac:dyDescent="0.2">
      <c r="A435"/>
      <c r="B435" s="2"/>
      <c r="C435" s="2"/>
      <c r="D435" s="2"/>
      <c r="E435" s="2"/>
      <c r="F435" s="2"/>
      <c r="G435" s="28"/>
      <c r="H435" s="2"/>
      <c r="I435" s="7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1:47" ht="15.75" customHeight="1" x14ac:dyDescent="0.2">
      <c r="A436"/>
      <c r="B436" s="2"/>
      <c r="C436" s="2"/>
      <c r="D436" s="2"/>
      <c r="E436" s="2"/>
      <c r="F436" s="2"/>
      <c r="G436" s="28"/>
      <c r="H436" s="2"/>
      <c r="I436" s="7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1:47" ht="15.75" customHeight="1" x14ac:dyDescent="0.2">
      <c r="A437"/>
      <c r="B437" s="2"/>
      <c r="C437" s="2"/>
      <c r="D437" s="2"/>
      <c r="E437" s="2"/>
      <c r="F437" s="2"/>
      <c r="G437" s="28"/>
      <c r="H437" s="2"/>
      <c r="I437" s="7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1:47" ht="15.75" customHeight="1" x14ac:dyDescent="0.2">
      <c r="A438"/>
      <c r="B438" s="2"/>
      <c r="C438" s="2"/>
      <c r="D438" s="2"/>
      <c r="E438" s="2"/>
      <c r="F438" s="2"/>
      <c r="G438" s="28"/>
      <c r="H438" s="2"/>
      <c r="I438" s="7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1:47" ht="15.75" customHeight="1" x14ac:dyDescent="0.2">
      <c r="A439"/>
      <c r="B439" s="2"/>
      <c r="C439" s="2"/>
      <c r="D439" s="2"/>
      <c r="E439" s="2"/>
      <c r="F439" s="2"/>
      <c r="G439" s="28"/>
      <c r="H439" s="2"/>
      <c r="I439" s="7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1:47" ht="15.75" customHeight="1" x14ac:dyDescent="0.2">
      <c r="A440"/>
      <c r="B440" s="2"/>
      <c r="C440" s="2"/>
      <c r="D440" s="2"/>
      <c r="E440" s="2"/>
      <c r="F440" s="2"/>
      <c r="G440" s="28"/>
      <c r="H440" s="2"/>
      <c r="I440" s="7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1:47" ht="15.75" customHeight="1" x14ac:dyDescent="0.2">
      <c r="A441"/>
      <c r="B441" s="2"/>
      <c r="C441" s="2"/>
      <c r="D441" s="2"/>
      <c r="E441" s="2"/>
      <c r="F441" s="2"/>
      <c r="G441" s="28"/>
      <c r="H441" s="2"/>
      <c r="I441" s="7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1:47" ht="15.75" customHeight="1" x14ac:dyDescent="0.2">
      <c r="A442"/>
      <c r="B442" s="2"/>
      <c r="C442" s="2"/>
      <c r="D442" s="2"/>
      <c r="E442" s="2"/>
      <c r="F442" s="2"/>
      <c r="G442" s="28"/>
      <c r="H442" s="2"/>
      <c r="I442" s="7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1:47" ht="15.75" customHeight="1" x14ac:dyDescent="0.2">
      <c r="A443"/>
      <c r="B443" s="2"/>
      <c r="C443" s="2"/>
      <c r="D443" s="2"/>
      <c r="E443" s="2"/>
      <c r="F443" s="2"/>
      <c r="G443" s="28"/>
      <c r="H443" s="2"/>
      <c r="I443" s="7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1:47" ht="15.75" customHeight="1" x14ac:dyDescent="0.2">
      <c r="A444"/>
      <c r="B444" s="2"/>
      <c r="C444" s="2"/>
      <c r="D444" s="2"/>
      <c r="E444" s="2"/>
      <c r="F444" s="2"/>
      <c r="G444" s="28"/>
      <c r="H444" s="2"/>
      <c r="I444" s="7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1:47" ht="15.75" customHeight="1" x14ac:dyDescent="0.2">
      <c r="A445"/>
      <c r="B445" s="2"/>
      <c r="C445" s="2"/>
      <c r="D445" s="2"/>
      <c r="E445" s="2"/>
      <c r="F445" s="2"/>
      <c r="G445" s="28"/>
      <c r="H445" s="2"/>
      <c r="I445" s="7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1:47" ht="15.75" customHeight="1" x14ac:dyDescent="0.2">
      <c r="A446"/>
      <c r="B446" s="2"/>
      <c r="C446" s="2"/>
      <c r="D446" s="2"/>
      <c r="E446" s="2"/>
      <c r="F446" s="2"/>
      <c r="G446" s="28"/>
      <c r="H446" s="2"/>
      <c r="I446" s="7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1:47" ht="15.75" customHeight="1" x14ac:dyDescent="0.2">
      <c r="A447"/>
      <c r="B447" s="2"/>
      <c r="C447" s="2"/>
      <c r="D447" s="2"/>
      <c r="E447" s="2"/>
      <c r="F447" s="2"/>
      <c r="G447" s="28"/>
      <c r="H447" s="2"/>
      <c r="I447" s="7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1:47" ht="15.75" customHeight="1" x14ac:dyDescent="0.2">
      <c r="A448"/>
      <c r="B448" s="2"/>
      <c r="C448" s="2"/>
      <c r="D448" s="2"/>
      <c r="E448" s="2"/>
      <c r="F448" s="2"/>
      <c r="G448" s="28"/>
      <c r="H448" s="2"/>
      <c r="I448" s="7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1:47" ht="15.75" customHeight="1" x14ac:dyDescent="0.2">
      <c r="A449"/>
      <c r="B449" s="2"/>
      <c r="C449" s="2"/>
      <c r="D449" s="2"/>
      <c r="E449" s="2"/>
      <c r="F449" s="2"/>
      <c r="G449" s="28"/>
      <c r="H449" s="2"/>
      <c r="I449" s="7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1:47" ht="15.75" customHeight="1" x14ac:dyDescent="0.2">
      <c r="A450"/>
      <c r="B450" s="2"/>
      <c r="C450" s="2"/>
      <c r="D450" s="2"/>
      <c r="E450" s="2"/>
      <c r="F450" s="2"/>
      <c r="G450" s="28"/>
      <c r="H450" s="2"/>
      <c r="I450" s="7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1:47" ht="15.75" customHeight="1" x14ac:dyDescent="0.2">
      <c r="A451"/>
      <c r="B451" s="2"/>
      <c r="C451" s="2"/>
      <c r="D451" s="2"/>
      <c r="E451" s="2"/>
      <c r="F451" s="2"/>
      <c r="G451" s="28"/>
      <c r="H451" s="2"/>
      <c r="I451" s="7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1:47" ht="15.75" customHeight="1" x14ac:dyDescent="0.2">
      <c r="A452"/>
      <c r="B452" s="2"/>
      <c r="C452" s="2"/>
      <c r="D452" s="2"/>
      <c r="E452" s="2"/>
      <c r="F452" s="2"/>
      <c r="G452" s="28"/>
      <c r="H452" s="2"/>
      <c r="I452" s="7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1:47" ht="15.75" customHeight="1" x14ac:dyDescent="0.2">
      <c r="A453"/>
      <c r="B453" s="2"/>
      <c r="C453" s="2"/>
      <c r="D453" s="2"/>
      <c r="E453" s="2"/>
      <c r="F453" s="2"/>
      <c r="G453" s="28"/>
      <c r="H453" s="2"/>
      <c r="I453" s="7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1:47" ht="15.75" customHeight="1" x14ac:dyDescent="0.2">
      <c r="A454"/>
      <c r="B454" s="2"/>
      <c r="C454" s="2"/>
      <c r="D454" s="2"/>
      <c r="E454" s="2"/>
      <c r="F454" s="2"/>
      <c r="G454" s="28"/>
      <c r="H454" s="2"/>
      <c r="I454" s="7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1:47" ht="15.75" customHeight="1" x14ac:dyDescent="0.2">
      <c r="A455"/>
      <c r="B455" s="2"/>
      <c r="C455" s="2"/>
      <c r="D455" s="2"/>
      <c r="E455" s="2"/>
      <c r="F455" s="2"/>
      <c r="G455" s="28"/>
      <c r="H455" s="2"/>
      <c r="I455" s="7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1:47" ht="15.75" customHeight="1" x14ac:dyDescent="0.2">
      <c r="A456"/>
      <c r="B456" s="2"/>
      <c r="C456" s="2"/>
      <c r="D456" s="2"/>
      <c r="E456" s="2"/>
      <c r="F456" s="2"/>
      <c r="G456" s="28"/>
      <c r="H456" s="2"/>
      <c r="I456" s="7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1:47" ht="15.75" customHeight="1" x14ac:dyDescent="0.2">
      <c r="A457"/>
      <c r="B457" s="2"/>
      <c r="C457" s="2"/>
      <c r="D457" s="2"/>
      <c r="E457" s="2"/>
      <c r="F457" s="2"/>
      <c r="G457" s="28"/>
      <c r="H457" s="2"/>
      <c r="I457" s="7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1:47" ht="15.75" customHeight="1" x14ac:dyDescent="0.2">
      <c r="A458"/>
      <c r="B458" s="2"/>
      <c r="C458" s="2"/>
      <c r="D458" s="2"/>
      <c r="E458" s="2"/>
      <c r="F458" s="2"/>
      <c r="G458" s="28"/>
      <c r="H458" s="2"/>
      <c r="I458" s="7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1:47" ht="15.75" customHeight="1" x14ac:dyDescent="0.2">
      <c r="A459"/>
      <c r="B459" s="2"/>
      <c r="C459" s="2"/>
      <c r="D459" s="2"/>
      <c r="E459" s="2"/>
      <c r="F459" s="2"/>
      <c r="G459" s="28"/>
      <c r="H459" s="2"/>
      <c r="I459" s="7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1:47" ht="15.75" customHeight="1" x14ac:dyDescent="0.2">
      <c r="A460"/>
      <c r="B460" s="2"/>
      <c r="C460" s="2"/>
      <c r="D460" s="2"/>
      <c r="E460" s="2"/>
      <c r="F460" s="2"/>
      <c r="G460" s="28"/>
      <c r="H460" s="2"/>
      <c r="I460" s="7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1:47" ht="15.75" customHeight="1" x14ac:dyDescent="0.2">
      <c r="A461"/>
      <c r="B461" s="2"/>
      <c r="C461" s="2"/>
      <c r="D461" s="2"/>
      <c r="E461" s="2"/>
      <c r="F461" s="2"/>
      <c r="G461" s="28"/>
      <c r="H461" s="2"/>
      <c r="I461" s="7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1:47" ht="15.75" customHeight="1" x14ac:dyDescent="0.2">
      <c r="A462"/>
      <c r="B462" s="2"/>
      <c r="C462" s="2"/>
      <c r="D462" s="2"/>
      <c r="E462" s="2"/>
      <c r="F462" s="2"/>
      <c r="G462" s="28"/>
      <c r="H462" s="2"/>
      <c r="I462" s="7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1:47" ht="15.75" customHeight="1" x14ac:dyDescent="0.2">
      <c r="A463"/>
      <c r="B463" s="2"/>
      <c r="C463" s="2"/>
      <c r="D463" s="2"/>
      <c r="E463" s="2"/>
      <c r="F463" s="2"/>
      <c r="G463" s="28"/>
      <c r="H463" s="2"/>
      <c r="I463" s="7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1:47" ht="15.75" customHeight="1" x14ac:dyDescent="0.2">
      <c r="A464"/>
      <c r="B464" s="2"/>
      <c r="C464" s="2"/>
      <c r="D464" s="2"/>
      <c r="E464" s="2"/>
      <c r="F464" s="2"/>
      <c r="G464" s="28"/>
      <c r="H464" s="2"/>
      <c r="I464" s="7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1:47" ht="15.75" customHeight="1" x14ac:dyDescent="0.2">
      <c r="A465"/>
      <c r="B465" s="2"/>
      <c r="C465" s="2"/>
      <c r="D465" s="2"/>
      <c r="E465" s="2"/>
      <c r="F465" s="2"/>
      <c r="G465" s="28"/>
      <c r="H465" s="2"/>
      <c r="I465" s="7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1:47" ht="15.75" customHeight="1" x14ac:dyDescent="0.2">
      <c r="A466"/>
      <c r="B466" s="2"/>
      <c r="C466" s="2"/>
      <c r="D466" s="2"/>
      <c r="E466" s="2"/>
      <c r="F466" s="2"/>
      <c r="G466" s="28"/>
      <c r="H466" s="2"/>
      <c r="I466" s="7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1:47" ht="15.75" customHeight="1" x14ac:dyDescent="0.2">
      <c r="A467"/>
      <c r="B467" s="2"/>
      <c r="C467" s="2"/>
      <c r="D467" s="2"/>
      <c r="E467" s="2"/>
      <c r="F467" s="2"/>
      <c r="G467" s="28"/>
      <c r="H467" s="2"/>
      <c r="I467" s="7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1:47" ht="15.75" customHeight="1" x14ac:dyDescent="0.2">
      <c r="A468"/>
      <c r="B468" s="2"/>
      <c r="C468" s="2"/>
      <c r="D468" s="2"/>
      <c r="E468" s="2"/>
      <c r="F468" s="2"/>
      <c r="G468" s="28"/>
      <c r="H468" s="2"/>
      <c r="I468" s="7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1:47" ht="15.75" customHeight="1" x14ac:dyDescent="0.2">
      <c r="A469"/>
      <c r="B469" s="2"/>
      <c r="C469" s="2"/>
      <c r="D469" s="2"/>
      <c r="E469" s="2"/>
      <c r="F469" s="2"/>
      <c r="G469" s="28"/>
      <c r="H469" s="2"/>
      <c r="I469" s="7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1:47" ht="15.75" customHeight="1" x14ac:dyDescent="0.2">
      <c r="A470"/>
      <c r="B470" s="2"/>
      <c r="C470" s="2"/>
      <c r="D470" s="2"/>
      <c r="E470" s="2"/>
      <c r="F470" s="2"/>
      <c r="G470" s="28"/>
      <c r="H470" s="2"/>
      <c r="I470" s="7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1:47" ht="15.75" customHeight="1" x14ac:dyDescent="0.2">
      <c r="A471"/>
      <c r="B471" s="2"/>
      <c r="C471" s="2"/>
      <c r="D471" s="2"/>
      <c r="E471" s="2"/>
      <c r="F471" s="2"/>
      <c r="G471" s="28"/>
      <c r="H471" s="2"/>
      <c r="I471" s="7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1:47" ht="15.75" customHeight="1" x14ac:dyDescent="0.2">
      <c r="A472"/>
      <c r="B472" s="2"/>
      <c r="C472" s="2"/>
      <c r="D472" s="2"/>
      <c r="E472" s="2"/>
      <c r="F472" s="2"/>
      <c r="G472" s="28"/>
      <c r="H472" s="2"/>
      <c r="I472" s="7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1:47" ht="15.75" customHeight="1" x14ac:dyDescent="0.2">
      <c r="A473"/>
      <c r="B473" s="2"/>
      <c r="C473" s="2"/>
      <c r="D473" s="2"/>
      <c r="E473" s="2"/>
      <c r="F473" s="2"/>
      <c r="G473" s="28"/>
      <c r="H473" s="2"/>
      <c r="I473" s="7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1:47" ht="15.75" customHeight="1" x14ac:dyDescent="0.2">
      <c r="A474"/>
      <c r="B474" s="2"/>
      <c r="C474" s="2"/>
      <c r="D474" s="2"/>
      <c r="E474" s="2"/>
      <c r="F474" s="2"/>
      <c r="G474" s="28"/>
      <c r="H474" s="2"/>
      <c r="I474" s="7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1:47" ht="15.75" customHeight="1" x14ac:dyDescent="0.2">
      <c r="A475"/>
      <c r="B475" s="2"/>
      <c r="C475" s="2"/>
      <c r="D475" s="2"/>
      <c r="E475" s="2"/>
      <c r="F475" s="2"/>
      <c r="G475" s="28"/>
      <c r="H475" s="2"/>
      <c r="I475" s="7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1:47" ht="15.75" customHeight="1" x14ac:dyDescent="0.2">
      <c r="A476"/>
      <c r="B476" s="2"/>
      <c r="C476" s="2"/>
      <c r="D476" s="2"/>
      <c r="E476" s="2"/>
      <c r="F476" s="2"/>
      <c r="G476" s="28"/>
      <c r="H476" s="2"/>
      <c r="I476" s="7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1:47" ht="15.75" customHeight="1" x14ac:dyDescent="0.2">
      <c r="A477"/>
      <c r="B477" s="2"/>
      <c r="C477" s="2"/>
      <c r="D477" s="2"/>
      <c r="E477" s="2"/>
      <c r="F477" s="2"/>
      <c r="G477" s="28"/>
      <c r="H477" s="2"/>
      <c r="I477" s="7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1:47" ht="15.75" customHeight="1" x14ac:dyDescent="0.2">
      <c r="A478"/>
      <c r="B478" s="2"/>
      <c r="C478" s="2"/>
      <c r="D478" s="2"/>
      <c r="E478" s="2"/>
      <c r="F478" s="2"/>
      <c r="G478" s="28"/>
      <c r="H478" s="2"/>
      <c r="I478" s="7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1:47" ht="15.75" customHeight="1" x14ac:dyDescent="0.2">
      <c r="A479"/>
      <c r="B479" s="2"/>
      <c r="C479" s="2"/>
      <c r="D479" s="2"/>
      <c r="E479" s="2"/>
      <c r="F479" s="2"/>
      <c r="G479" s="28"/>
      <c r="H479" s="2"/>
      <c r="I479" s="7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1:47" ht="15.75" customHeight="1" x14ac:dyDescent="0.2">
      <c r="A480"/>
      <c r="B480" s="2"/>
      <c r="C480" s="2"/>
      <c r="D480" s="2"/>
      <c r="E480" s="2"/>
      <c r="F480" s="2"/>
      <c r="G480" s="28"/>
      <c r="H480" s="2"/>
      <c r="I480" s="7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1:47" ht="15.75" customHeight="1" x14ac:dyDescent="0.2">
      <c r="A481"/>
      <c r="B481" s="2"/>
      <c r="C481" s="2"/>
      <c r="D481" s="2"/>
      <c r="E481" s="2"/>
      <c r="F481" s="2"/>
      <c r="G481" s="28"/>
      <c r="H481" s="2"/>
      <c r="I481" s="7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1:47" ht="15.75" customHeight="1" x14ac:dyDescent="0.2">
      <c r="A482"/>
      <c r="B482" s="2"/>
      <c r="C482" s="2"/>
      <c r="D482" s="2"/>
      <c r="E482" s="2"/>
      <c r="F482" s="2"/>
      <c r="G482" s="28"/>
      <c r="H482" s="2"/>
      <c r="I482" s="7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1:47" ht="15.75" customHeight="1" x14ac:dyDescent="0.2">
      <c r="A483"/>
      <c r="B483" s="2"/>
      <c r="C483" s="2"/>
      <c r="D483" s="2"/>
      <c r="E483" s="2"/>
      <c r="F483" s="2"/>
      <c r="G483" s="28"/>
      <c r="H483" s="2"/>
      <c r="I483" s="7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1:47" ht="15.75" customHeight="1" x14ac:dyDescent="0.2">
      <c r="A484"/>
      <c r="B484" s="2"/>
      <c r="C484" s="2"/>
      <c r="D484" s="2"/>
      <c r="E484" s="2"/>
      <c r="F484" s="2"/>
      <c r="G484" s="28"/>
      <c r="H484" s="2"/>
      <c r="I484" s="7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1:47" ht="15.75" customHeight="1" x14ac:dyDescent="0.2">
      <c r="A485"/>
      <c r="B485" s="2"/>
      <c r="C485" s="2"/>
      <c r="D485" s="2"/>
      <c r="E485" s="2"/>
      <c r="F485" s="2"/>
      <c r="G485" s="28"/>
      <c r="H485" s="2"/>
      <c r="I485" s="7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1:47" ht="15.75" customHeight="1" x14ac:dyDescent="0.2">
      <c r="A486"/>
      <c r="B486" s="2"/>
      <c r="C486" s="2"/>
      <c r="D486" s="2"/>
      <c r="E486" s="2"/>
      <c r="F486" s="2"/>
      <c r="G486" s="28"/>
      <c r="H486" s="2"/>
      <c r="I486" s="7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1:47" ht="15.75" customHeight="1" x14ac:dyDescent="0.2">
      <c r="A487"/>
      <c r="B487" s="2"/>
      <c r="C487" s="2"/>
      <c r="D487" s="2"/>
      <c r="E487" s="2"/>
      <c r="F487" s="2"/>
      <c r="G487" s="28"/>
      <c r="H487" s="2"/>
      <c r="I487" s="7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1:47" ht="15.75" customHeight="1" x14ac:dyDescent="0.2">
      <c r="A488"/>
      <c r="B488" s="2"/>
      <c r="C488" s="2"/>
      <c r="D488" s="2"/>
      <c r="E488" s="2"/>
      <c r="F488" s="2"/>
      <c r="G488" s="28"/>
      <c r="H488" s="2"/>
      <c r="I488" s="7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1:47" ht="15.75" customHeight="1" x14ac:dyDescent="0.2">
      <c r="A489"/>
      <c r="B489" s="2"/>
      <c r="C489" s="2"/>
      <c r="D489" s="2"/>
      <c r="E489" s="2"/>
      <c r="F489" s="2"/>
      <c r="G489" s="28"/>
      <c r="H489" s="2"/>
      <c r="I489" s="7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1:47" ht="15.75" customHeight="1" x14ac:dyDescent="0.2">
      <c r="A490"/>
      <c r="B490" s="2"/>
      <c r="C490" s="2"/>
      <c r="D490" s="2"/>
      <c r="E490" s="2"/>
      <c r="F490" s="2"/>
      <c r="G490" s="28"/>
      <c r="H490" s="2"/>
      <c r="I490" s="7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1:47" ht="15.75" customHeight="1" x14ac:dyDescent="0.2">
      <c r="A491"/>
      <c r="B491" s="2"/>
      <c r="C491" s="2"/>
      <c r="D491" s="2"/>
      <c r="E491" s="2"/>
      <c r="F491" s="2"/>
      <c r="G491" s="28"/>
      <c r="H491" s="2"/>
      <c r="I491" s="7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1:47" ht="15.75" customHeight="1" x14ac:dyDescent="0.2">
      <c r="A492"/>
      <c r="B492" s="2"/>
      <c r="C492" s="2"/>
      <c r="D492" s="2"/>
      <c r="E492" s="2"/>
      <c r="F492" s="2"/>
      <c r="G492" s="28"/>
      <c r="H492" s="2"/>
      <c r="I492" s="7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1:47" ht="15.75" customHeight="1" x14ac:dyDescent="0.2">
      <c r="A493"/>
      <c r="B493" s="2"/>
      <c r="C493" s="2"/>
      <c r="D493" s="2"/>
      <c r="E493" s="2"/>
      <c r="F493" s="2"/>
      <c r="G493" s="28"/>
      <c r="H493" s="2"/>
      <c r="I493" s="7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1:47" ht="15.75" customHeight="1" x14ac:dyDescent="0.2">
      <c r="A494"/>
      <c r="B494" s="2"/>
      <c r="C494" s="2"/>
      <c r="D494" s="2"/>
      <c r="E494" s="2"/>
      <c r="F494" s="2"/>
      <c r="G494" s="28"/>
      <c r="H494" s="2"/>
      <c r="I494" s="7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1:47" ht="15.75" customHeight="1" x14ac:dyDescent="0.2">
      <c r="A495"/>
      <c r="B495" s="2"/>
      <c r="C495" s="2"/>
      <c r="D495" s="2"/>
      <c r="E495" s="2"/>
      <c r="F495" s="2"/>
      <c r="G495" s="28"/>
      <c r="H495" s="2"/>
      <c r="I495" s="7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1:47" ht="15.75" customHeight="1" x14ac:dyDescent="0.2">
      <c r="A496"/>
      <c r="B496" s="2"/>
      <c r="C496" s="2"/>
      <c r="D496" s="2"/>
      <c r="E496" s="2"/>
      <c r="F496" s="2"/>
      <c r="G496" s="28"/>
      <c r="H496" s="2"/>
      <c r="I496" s="7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1:47" ht="15.75" customHeight="1" x14ac:dyDescent="0.2">
      <c r="A497"/>
      <c r="B497" s="2"/>
      <c r="C497" s="2"/>
      <c r="D497" s="2"/>
      <c r="E497" s="2"/>
      <c r="F497" s="2"/>
      <c r="G497" s="28"/>
      <c r="H497" s="2"/>
      <c r="I497" s="7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1:47" ht="15.75" customHeight="1" x14ac:dyDescent="0.2">
      <c r="A498"/>
      <c r="B498" s="2"/>
      <c r="C498" s="2"/>
      <c r="D498" s="2"/>
      <c r="E498" s="2"/>
      <c r="F498" s="2"/>
      <c r="G498" s="28"/>
      <c r="H498" s="2"/>
      <c r="I498" s="7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1:47" ht="15.75" customHeight="1" x14ac:dyDescent="0.2">
      <c r="A499"/>
      <c r="B499" s="2"/>
      <c r="C499" s="2"/>
      <c r="D499" s="2"/>
      <c r="E499" s="2"/>
      <c r="F499" s="2"/>
      <c r="G499" s="28"/>
      <c r="H499" s="2"/>
      <c r="I499" s="7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1:47" ht="15.75" customHeight="1" x14ac:dyDescent="0.2">
      <c r="A500"/>
      <c r="B500" s="2"/>
      <c r="C500" s="2"/>
      <c r="D500" s="2"/>
      <c r="E500" s="2"/>
      <c r="F500" s="2"/>
      <c r="G500" s="28"/>
      <c r="H500" s="2"/>
      <c r="I500" s="7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1:47" ht="15.75" customHeight="1" x14ac:dyDescent="0.2">
      <c r="A501"/>
      <c r="B501" s="2"/>
      <c r="C501" s="2"/>
      <c r="D501" s="2"/>
      <c r="E501" s="2"/>
      <c r="F501" s="2"/>
      <c r="G501" s="28"/>
      <c r="H501" s="2"/>
      <c r="I501" s="7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1:47" ht="15.75" customHeight="1" x14ac:dyDescent="0.2">
      <c r="A502"/>
      <c r="B502" s="2"/>
      <c r="C502" s="2"/>
      <c r="D502" s="2"/>
      <c r="E502" s="2"/>
      <c r="F502" s="2"/>
      <c r="G502" s="28"/>
      <c r="H502" s="2"/>
      <c r="I502" s="7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1:47" ht="15.75" customHeight="1" x14ac:dyDescent="0.2">
      <c r="A503"/>
      <c r="B503" s="2"/>
      <c r="C503" s="2"/>
      <c r="D503" s="2"/>
      <c r="E503" s="2"/>
      <c r="F503" s="2"/>
      <c r="G503" s="28"/>
      <c r="H503" s="2"/>
      <c r="I503" s="7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1:47" ht="15.75" customHeight="1" x14ac:dyDescent="0.2">
      <c r="A504"/>
      <c r="B504" s="2"/>
      <c r="C504" s="2"/>
      <c r="D504" s="2"/>
      <c r="E504" s="2"/>
      <c r="F504" s="2"/>
      <c r="G504" s="28"/>
      <c r="H504" s="2"/>
      <c r="I504" s="7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1:47" ht="15.75" customHeight="1" x14ac:dyDescent="0.2">
      <c r="A505"/>
      <c r="B505" s="2"/>
      <c r="C505" s="2"/>
      <c r="D505" s="2"/>
      <c r="E505" s="2"/>
      <c r="F505" s="2"/>
      <c r="G505" s="28"/>
      <c r="H505" s="2"/>
      <c r="I505" s="7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1:47" ht="15.75" customHeight="1" x14ac:dyDescent="0.2">
      <c r="A506"/>
      <c r="B506" s="2"/>
      <c r="C506" s="2"/>
      <c r="D506" s="2"/>
      <c r="E506" s="2"/>
      <c r="F506" s="2"/>
      <c r="G506" s="28"/>
      <c r="H506" s="2"/>
      <c r="I506" s="7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1:47" ht="15.75" customHeight="1" x14ac:dyDescent="0.2">
      <c r="A507"/>
      <c r="B507" s="2"/>
      <c r="C507" s="2"/>
      <c r="D507" s="2"/>
      <c r="E507" s="2"/>
      <c r="F507" s="2"/>
      <c r="G507" s="28"/>
      <c r="H507" s="2"/>
      <c r="I507" s="7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1:47" ht="15.75" customHeight="1" x14ac:dyDescent="0.2">
      <c r="A508"/>
      <c r="B508" s="2"/>
      <c r="C508" s="2"/>
      <c r="D508" s="2"/>
      <c r="E508" s="2"/>
      <c r="F508" s="2"/>
      <c r="G508" s="28"/>
      <c r="H508" s="2"/>
      <c r="I508" s="7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1:47" ht="15.75" customHeight="1" x14ac:dyDescent="0.2">
      <c r="A509"/>
      <c r="B509" s="2"/>
      <c r="C509" s="2"/>
      <c r="D509" s="2"/>
      <c r="E509" s="2"/>
      <c r="F509" s="2"/>
      <c r="G509" s="28"/>
      <c r="H509" s="2"/>
      <c r="I509" s="7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1:47" ht="15.75" customHeight="1" x14ac:dyDescent="0.2">
      <c r="A510"/>
      <c r="B510" s="2"/>
      <c r="C510" s="2"/>
      <c r="D510" s="2"/>
      <c r="E510" s="2"/>
      <c r="F510" s="2"/>
      <c r="G510" s="28"/>
      <c r="H510" s="2"/>
      <c r="I510" s="7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1:47" ht="15.75" customHeight="1" x14ac:dyDescent="0.2">
      <c r="A511"/>
      <c r="B511" s="2"/>
      <c r="C511" s="2"/>
      <c r="D511" s="2"/>
      <c r="E511" s="2"/>
      <c r="F511" s="2"/>
      <c r="G511" s="28"/>
      <c r="H511" s="2"/>
      <c r="I511" s="7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1:47" ht="15.75" customHeight="1" x14ac:dyDescent="0.2">
      <c r="A512"/>
      <c r="B512" s="2"/>
      <c r="C512" s="2"/>
      <c r="D512" s="2"/>
      <c r="E512" s="2"/>
      <c r="F512" s="2"/>
      <c r="G512" s="28"/>
      <c r="H512" s="2"/>
      <c r="I512" s="7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1:47" ht="15.75" customHeight="1" x14ac:dyDescent="0.2">
      <c r="A513"/>
      <c r="B513" s="2"/>
      <c r="C513" s="2"/>
      <c r="D513" s="2"/>
      <c r="E513" s="2"/>
      <c r="F513" s="2"/>
      <c r="G513" s="28"/>
      <c r="H513" s="2"/>
      <c r="I513" s="7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1:47" ht="15.75" customHeight="1" x14ac:dyDescent="0.2">
      <c r="A514"/>
      <c r="B514" s="2"/>
      <c r="C514" s="2"/>
      <c r="D514" s="2"/>
      <c r="E514" s="2"/>
      <c r="F514" s="2"/>
      <c r="G514" s="28"/>
      <c r="H514" s="2"/>
      <c r="I514" s="7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1:47" ht="15.75" customHeight="1" x14ac:dyDescent="0.2">
      <c r="A515"/>
      <c r="B515" s="2"/>
      <c r="C515" s="2"/>
      <c r="D515" s="2"/>
      <c r="E515" s="2"/>
      <c r="F515" s="2"/>
      <c r="G515" s="28"/>
      <c r="H515" s="2"/>
      <c r="I515" s="7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1:47" ht="15.75" customHeight="1" x14ac:dyDescent="0.2">
      <c r="A516"/>
      <c r="B516" s="2"/>
      <c r="C516" s="2"/>
      <c r="D516" s="2"/>
      <c r="E516" s="2"/>
      <c r="F516" s="2"/>
      <c r="G516" s="28"/>
      <c r="H516" s="2"/>
      <c r="I516" s="7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1:47" ht="15.75" customHeight="1" x14ac:dyDescent="0.2">
      <c r="A517"/>
      <c r="B517" s="2"/>
      <c r="C517" s="2"/>
      <c r="D517" s="2"/>
      <c r="E517" s="2"/>
      <c r="F517" s="2"/>
      <c r="G517" s="28"/>
      <c r="H517" s="2"/>
      <c r="I517" s="7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1:47" ht="15.75" customHeight="1" x14ac:dyDescent="0.2">
      <c r="A518"/>
      <c r="B518" s="2"/>
      <c r="C518" s="2"/>
      <c r="D518" s="2"/>
      <c r="E518" s="2"/>
      <c r="F518" s="2"/>
      <c r="G518" s="28"/>
      <c r="H518" s="2"/>
      <c r="I518" s="7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1:47" ht="15.75" customHeight="1" x14ac:dyDescent="0.2">
      <c r="A519"/>
      <c r="B519" s="2"/>
      <c r="C519" s="2"/>
      <c r="D519" s="2"/>
      <c r="E519" s="2"/>
      <c r="F519" s="2"/>
      <c r="G519" s="28"/>
      <c r="H519" s="2"/>
      <c r="I519" s="7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1:47" ht="15.75" customHeight="1" x14ac:dyDescent="0.2">
      <c r="A520"/>
      <c r="B520" s="2"/>
      <c r="C520" s="2"/>
      <c r="D520" s="2"/>
      <c r="E520" s="2"/>
      <c r="F520" s="2"/>
      <c r="G520" s="28"/>
      <c r="H520" s="2"/>
      <c r="I520" s="7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1:47" ht="15.75" customHeight="1" x14ac:dyDescent="0.2">
      <c r="A521"/>
      <c r="B521" s="2"/>
      <c r="C521" s="2"/>
      <c r="D521" s="2"/>
      <c r="E521" s="2"/>
      <c r="F521" s="2"/>
      <c r="G521" s="28"/>
      <c r="H521" s="2"/>
      <c r="I521" s="7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1:47" ht="15.75" customHeight="1" x14ac:dyDescent="0.2">
      <c r="A522"/>
      <c r="B522" s="2"/>
      <c r="C522" s="2"/>
      <c r="D522" s="2"/>
      <c r="E522" s="2"/>
      <c r="F522" s="2"/>
      <c r="G522" s="28"/>
      <c r="H522" s="2"/>
      <c r="I522" s="7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1:47" ht="15.75" customHeight="1" x14ac:dyDescent="0.2">
      <c r="A523"/>
      <c r="B523" s="2"/>
      <c r="C523" s="2"/>
      <c r="D523" s="2"/>
      <c r="E523" s="2"/>
      <c r="F523" s="2"/>
      <c r="G523" s="28"/>
      <c r="H523" s="2"/>
      <c r="I523" s="7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1:47" ht="15.75" customHeight="1" x14ac:dyDescent="0.2">
      <c r="A524"/>
      <c r="B524" s="2"/>
      <c r="C524" s="2"/>
      <c r="D524" s="2"/>
      <c r="E524" s="2"/>
      <c r="F524" s="2"/>
      <c r="G524" s="28"/>
      <c r="H524" s="2"/>
      <c r="I524" s="7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1:47" ht="15.75" customHeight="1" x14ac:dyDescent="0.2">
      <c r="A525"/>
      <c r="B525" s="2"/>
      <c r="C525" s="2"/>
      <c r="D525" s="2"/>
      <c r="E525" s="2"/>
      <c r="F525" s="2"/>
      <c r="G525" s="28"/>
      <c r="H525" s="2"/>
      <c r="I525" s="7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1:47" ht="15.75" customHeight="1" x14ac:dyDescent="0.2">
      <c r="A526"/>
      <c r="B526" s="2"/>
      <c r="C526" s="2"/>
      <c r="D526" s="2"/>
      <c r="E526" s="2"/>
      <c r="F526" s="2"/>
      <c r="G526" s="28"/>
      <c r="H526" s="2"/>
      <c r="I526" s="7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1:47" ht="15.75" customHeight="1" x14ac:dyDescent="0.2">
      <c r="A527"/>
      <c r="B527" s="2"/>
      <c r="C527" s="2"/>
      <c r="D527" s="2"/>
      <c r="E527" s="2"/>
      <c r="F527" s="2"/>
      <c r="G527" s="28"/>
      <c r="H527" s="2"/>
      <c r="I527" s="7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1:47" ht="15.75" customHeight="1" x14ac:dyDescent="0.2">
      <c r="A528"/>
      <c r="B528" s="2"/>
      <c r="C528" s="2"/>
      <c r="D528" s="2"/>
      <c r="E528" s="2"/>
      <c r="F528" s="2"/>
      <c r="G528" s="28"/>
      <c r="H528" s="2"/>
      <c r="I528" s="7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1:47" ht="15.75" customHeight="1" x14ac:dyDescent="0.2">
      <c r="A529"/>
      <c r="B529" s="2"/>
      <c r="C529" s="2"/>
      <c r="D529" s="2"/>
      <c r="E529" s="2"/>
      <c r="F529" s="2"/>
      <c r="G529" s="28"/>
      <c r="H529" s="2"/>
      <c r="I529" s="7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1:47" ht="15.75" customHeight="1" x14ac:dyDescent="0.2">
      <c r="A530"/>
      <c r="B530" s="2"/>
      <c r="C530" s="2"/>
      <c r="D530" s="2"/>
      <c r="E530" s="2"/>
      <c r="F530" s="2"/>
      <c r="G530" s="28"/>
      <c r="H530" s="2"/>
      <c r="I530" s="7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1:47" ht="15.75" customHeight="1" x14ac:dyDescent="0.2">
      <c r="A531"/>
      <c r="B531" s="2"/>
      <c r="C531" s="2"/>
      <c r="D531" s="2"/>
      <c r="E531" s="2"/>
      <c r="F531" s="2"/>
      <c r="G531" s="28"/>
      <c r="H531" s="2"/>
      <c r="I531" s="7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1:47" ht="15.75" customHeight="1" x14ac:dyDescent="0.2">
      <c r="A532"/>
      <c r="B532" s="2"/>
      <c r="C532" s="2"/>
      <c r="D532" s="2"/>
      <c r="E532" s="2"/>
      <c r="F532" s="2"/>
      <c r="G532" s="28"/>
      <c r="H532" s="2"/>
      <c r="I532" s="7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1:47" ht="15.75" customHeight="1" x14ac:dyDescent="0.2">
      <c r="A533"/>
      <c r="B533" s="2"/>
      <c r="C533" s="2"/>
      <c r="D533" s="2"/>
      <c r="E533" s="2"/>
      <c r="F533" s="2"/>
      <c r="G533" s="28"/>
      <c r="H533" s="2"/>
      <c r="I533" s="7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1:47" ht="15.75" customHeight="1" x14ac:dyDescent="0.2">
      <c r="A534"/>
      <c r="B534" s="2"/>
      <c r="C534" s="2"/>
      <c r="D534" s="2"/>
      <c r="E534" s="2"/>
      <c r="F534" s="2"/>
      <c r="G534" s="28"/>
      <c r="H534" s="2"/>
      <c r="I534" s="7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1:47" ht="15.75" customHeight="1" x14ac:dyDescent="0.2">
      <c r="A535"/>
      <c r="B535" s="2"/>
      <c r="C535" s="2"/>
      <c r="D535" s="2"/>
      <c r="E535" s="2"/>
      <c r="F535" s="2"/>
      <c r="G535" s="28"/>
      <c r="H535" s="2"/>
      <c r="I535" s="7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1:47" ht="15.75" customHeight="1" x14ac:dyDescent="0.2">
      <c r="A536"/>
      <c r="B536" s="2"/>
      <c r="C536" s="2"/>
      <c r="D536" s="2"/>
      <c r="E536" s="2"/>
      <c r="F536" s="2"/>
      <c r="G536" s="28"/>
      <c r="H536" s="2"/>
      <c r="I536" s="7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1:47" ht="15.75" customHeight="1" x14ac:dyDescent="0.2">
      <c r="A537"/>
      <c r="B537" s="2"/>
      <c r="C537" s="2"/>
      <c r="D537" s="2"/>
      <c r="E537" s="2"/>
      <c r="F537" s="2"/>
      <c r="G537" s="28"/>
      <c r="H537" s="2"/>
      <c r="I537" s="7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1:47" ht="15.75" customHeight="1" x14ac:dyDescent="0.2">
      <c r="A538"/>
      <c r="B538" s="2"/>
      <c r="C538" s="2"/>
      <c r="D538" s="2"/>
      <c r="E538" s="2"/>
      <c r="F538" s="2"/>
      <c r="G538" s="28"/>
      <c r="H538" s="2"/>
      <c r="I538" s="7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1:47" ht="15.75" customHeight="1" x14ac:dyDescent="0.2">
      <c r="A539"/>
      <c r="B539" s="2"/>
      <c r="C539" s="2"/>
      <c r="D539" s="2"/>
      <c r="E539" s="2"/>
      <c r="F539" s="2"/>
      <c r="G539" s="28"/>
      <c r="H539" s="2"/>
      <c r="I539" s="7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1:47" ht="15.75" customHeight="1" x14ac:dyDescent="0.2">
      <c r="A540"/>
      <c r="B540" s="2"/>
      <c r="C540" s="2"/>
      <c r="D540" s="2"/>
      <c r="E540" s="2"/>
      <c r="F540" s="2"/>
      <c r="G540" s="28"/>
      <c r="H540" s="2"/>
      <c r="I540" s="7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1:47" ht="15.75" customHeight="1" x14ac:dyDescent="0.2">
      <c r="A541"/>
      <c r="B541" s="2"/>
      <c r="C541" s="2"/>
      <c r="D541" s="2"/>
      <c r="E541" s="2"/>
      <c r="F541" s="2"/>
      <c r="G541" s="28"/>
      <c r="H541" s="2"/>
      <c r="I541" s="7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1:47" ht="15.75" customHeight="1" x14ac:dyDescent="0.2">
      <c r="A542"/>
      <c r="B542" s="2"/>
      <c r="C542" s="2"/>
      <c r="D542" s="2"/>
      <c r="E542" s="2"/>
      <c r="F542" s="2"/>
      <c r="G542" s="28"/>
      <c r="H542" s="2"/>
      <c r="I542" s="7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1:47" ht="15.75" customHeight="1" x14ac:dyDescent="0.2">
      <c r="A543"/>
      <c r="B543" s="2"/>
      <c r="C543" s="2"/>
      <c r="D543" s="2"/>
      <c r="E543" s="2"/>
      <c r="F543" s="2"/>
      <c r="G543" s="28"/>
      <c r="H543" s="2"/>
      <c r="I543" s="7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1:47" ht="15.75" customHeight="1" x14ac:dyDescent="0.2">
      <c r="A544"/>
      <c r="B544" s="2"/>
      <c r="C544" s="2"/>
      <c r="D544" s="2"/>
      <c r="E544" s="2"/>
      <c r="F544" s="2"/>
      <c r="G544" s="28"/>
      <c r="H544" s="2"/>
      <c r="I544" s="7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1:47" ht="15.75" customHeight="1" x14ac:dyDescent="0.2">
      <c r="A545"/>
      <c r="B545" s="2"/>
      <c r="C545" s="2"/>
      <c r="D545" s="2"/>
      <c r="E545" s="2"/>
      <c r="F545" s="2"/>
      <c r="G545" s="28"/>
      <c r="H545" s="2"/>
      <c r="I545" s="7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1:47" ht="15.75" customHeight="1" x14ac:dyDescent="0.2">
      <c r="A546"/>
      <c r="B546" s="2"/>
      <c r="C546" s="2"/>
      <c r="D546" s="2"/>
      <c r="E546" s="2"/>
      <c r="F546" s="2"/>
      <c r="G546" s="28"/>
      <c r="H546" s="2"/>
      <c r="I546" s="7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1:47" ht="15.75" customHeight="1" x14ac:dyDescent="0.2">
      <c r="A547"/>
      <c r="B547" s="2"/>
      <c r="C547" s="2"/>
      <c r="D547" s="2"/>
      <c r="E547" s="2"/>
      <c r="F547" s="2"/>
      <c r="G547" s="28"/>
      <c r="H547" s="2"/>
      <c r="I547" s="7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1:47" ht="15.75" customHeight="1" x14ac:dyDescent="0.2">
      <c r="A548"/>
      <c r="B548" s="2"/>
      <c r="C548" s="2"/>
      <c r="D548" s="2"/>
      <c r="E548" s="2"/>
      <c r="F548" s="2"/>
      <c r="G548" s="28"/>
      <c r="H548" s="2"/>
      <c r="I548" s="7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1:47" ht="15.75" customHeight="1" x14ac:dyDescent="0.2">
      <c r="A549"/>
      <c r="B549" s="2"/>
      <c r="C549" s="2"/>
      <c r="D549" s="2"/>
      <c r="E549" s="2"/>
      <c r="F549" s="2"/>
      <c r="G549" s="28"/>
      <c r="H549" s="2"/>
      <c r="I549" s="7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1:47" ht="15.75" customHeight="1" x14ac:dyDescent="0.2">
      <c r="A550"/>
      <c r="B550" s="2"/>
      <c r="C550" s="2"/>
      <c r="D550" s="2"/>
      <c r="E550" s="2"/>
      <c r="F550" s="2"/>
      <c r="G550" s="28"/>
      <c r="H550" s="2"/>
      <c r="I550" s="7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1:47" ht="15.75" customHeight="1" x14ac:dyDescent="0.2">
      <c r="A551"/>
      <c r="B551" s="2"/>
      <c r="C551" s="2"/>
      <c r="D551" s="2"/>
      <c r="E551" s="2"/>
      <c r="F551" s="2"/>
      <c r="G551" s="28"/>
      <c r="H551" s="2"/>
      <c r="I551" s="7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1:47" ht="15.75" customHeight="1" x14ac:dyDescent="0.2">
      <c r="A552"/>
      <c r="B552" s="2"/>
      <c r="C552" s="2"/>
      <c r="D552" s="2"/>
      <c r="E552" s="2"/>
      <c r="F552" s="2"/>
      <c r="G552" s="28"/>
      <c r="H552" s="2"/>
      <c r="I552" s="7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1:47" ht="15.75" customHeight="1" x14ac:dyDescent="0.2">
      <c r="A553"/>
      <c r="B553" s="2"/>
      <c r="C553" s="2"/>
      <c r="D553" s="2"/>
      <c r="E553" s="2"/>
      <c r="F553" s="2"/>
      <c r="G553" s="28"/>
      <c r="H553" s="2"/>
      <c r="I553" s="7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1:47" ht="15.75" customHeight="1" x14ac:dyDescent="0.2">
      <c r="A554"/>
      <c r="B554" s="2"/>
      <c r="C554" s="2"/>
      <c r="D554" s="2"/>
      <c r="E554" s="2"/>
      <c r="F554" s="2"/>
      <c r="G554" s="28"/>
      <c r="H554" s="2"/>
      <c r="I554" s="7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1:47" ht="15.75" customHeight="1" x14ac:dyDescent="0.2">
      <c r="A555"/>
      <c r="B555" s="2"/>
      <c r="C555" s="2"/>
      <c r="D555" s="2"/>
      <c r="E555" s="2"/>
      <c r="F555" s="2"/>
      <c r="G555" s="28"/>
      <c r="H555" s="2"/>
      <c r="I555" s="7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1:47" ht="15.75" customHeight="1" x14ac:dyDescent="0.2">
      <c r="A556"/>
      <c r="B556" s="2"/>
      <c r="C556" s="2"/>
      <c r="D556" s="2"/>
      <c r="E556" s="2"/>
      <c r="F556" s="2"/>
      <c r="G556" s="28"/>
      <c r="H556" s="2"/>
      <c r="I556" s="7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1:47" ht="15.75" customHeight="1" x14ac:dyDescent="0.2">
      <c r="A557"/>
      <c r="B557" s="2"/>
      <c r="C557" s="2"/>
      <c r="D557" s="2"/>
      <c r="E557" s="2"/>
      <c r="F557" s="2"/>
      <c r="G557" s="28"/>
      <c r="H557" s="2"/>
      <c r="I557" s="7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1:47" ht="15.75" customHeight="1" x14ac:dyDescent="0.2">
      <c r="A558"/>
      <c r="B558" s="2"/>
      <c r="C558" s="2"/>
      <c r="D558" s="2"/>
      <c r="E558" s="2"/>
      <c r="F558" s="2"/>
      <c r="G558" s="28"/>
      <c r="H558" s="2"/>
      <c r="I558" s="7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1:47" ht="15.75" customHeight="1" x14ac:dyDescent="0.2">
      <c r="A559"/>
      <c r="B559" s="2"/>
      <c r="C559" s="2"/>
      <c r="D559" s="2"/>
      <c r="E559" s="2"/>
      <c r="F559" s="2"/>
      <c r="G559" s="28"/>
      <c r="H559" s="2"/>
      <c r="I559" s="7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1:47" ht="15.75" customHeight="1" x14ac:dyDescent="0.2">
      <c r="A560"/>
      <c r="B560" s="2"/>
      <c r="C560" s="2"/>
      <c r="D560" s="2"/>
      <c r="E560" s="2"/>
      <c r="F560" s="2"/>
      <c r="G560" s="28"/>
      <c r="H560" s="2"/>
      <c r="I560" s="7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1:47" ht="15.75" customHeight="1" x14ac:dyDescent="0.2">
      <c r="A561"/>
      <c r="B561" s="2"/>
      <c r="C561" s="2"/>
      <c r="D561" s="2"/>
      <c r="E561" s="2"/>
      <c r="F561" s="2"/>
      <c r="G561" s="28"/>
      <c r="H561" s="2"/>
      <c r="I561" s="7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1:47" ht="15.75" customHeight="1" x14ac:dyDescent="0.2">
      <c r="A562"/>
      <c r="B562" s="2"/>
      <c r="C562" s="2"/>
      <c r="D562" s="2"/>
      <c r="E562" s="2"/>
      <c r="F562" s="2"/>
      <c r="G562" s="28"/>
      <c r="H562" s="2"/>
      <c r="I562" s="7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1:47" ht="15.75" customHeight="1" x14ac:dyDescent="0.2">
      <c r="A563"/>
      <c r="B563" s="2"/>
      <c r="C563" s="2"/>
      <c r="D563" s="2"/>
      <c r="E563" s="2"/>
      <c r="F563" s="2"/>
      <c r="G563" s="28"/>
      <c r="H563" s="2"/>
      <c r="I563" s="7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1:47" ht="15.75" customHeight="1" x14ac:dyDescent="0.2">
      <c r="A564"/>
      <c r="B564" s="2"/>
      <c r="C564" s="2"/>
      <c r="D564" s="2"/>
      <c r="E564" s="2"/>
      <c r="F564" s="2"/>
      <c r="G564" s="28"/>
      <c r="H564" s="2"/>
      <c r="I564" s="7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1:47" ht="15.75" customHeight="1" x14ac:dyDescent="0.2">
      <c r="A565"/>
      <c r="B565" s="2"/>
      <c r="C565" s="2"/>
      <c r="D565" s="2"/>
      <c r="E565" s="2"/>
      <c r="F565" s="2"/>
      <c r="G565" s="28"/>
      <c r="H565" s="2"/>
      <c r="I565" s="7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1:47" ht="15.75" customHeight="1" x14ac:dyDescent="0.2">
      <c r="A566"/>
      <c r="B566" s="2"/>
      <c r="C566" s="2"/>
      <c r="D566" s="2"/>
      <c r="E566" s="2"/>
      <c r="F566" s="2"/>
      <c r="G566" s="28"/>
      <c r="H566" s="2"/>
      <c r="I566" s="7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1:47" ht="15.75" customHeight="1" x14ac:dyDescent="0.2">
      <c r="A567"/>
      <c r="B567" s="2"/>
      <c r="C567" s="2"/>
      <c r="D567" s="2"/>
      <c r="E567" s="2"/>
      <c r="F567" s="2"/>
      <c r="G567" s="28"/>
      <c r="H567" s="2"/>
      <c r="I567" s="7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1:47" ht="15.75" customHeight="1" x14ac:dyDescent="0.2">
      <c r="A568"/>
      <c r="B568" s="2"/>
      <c r="C568" s="2"/>
      <c r="D568" s="2"/>
      <c r="E568" s="2"/>
      <c r="F568" s="2"/>
      <c r="G568" s="28"/>
      <c r="H568" s="2"/>
      <c r="I568" s="7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1:47" ht="15.75" customHeight="1" x14ac:dyDescent="0.2">
      <c r="A569"/>
      <c r="B569" s="2"/>
      <c r="C569" s="2"/>
      <c r="D569" s="2"/>
      <c r="E569" s="2"/>
      <c r="F569" s="2"/>
      <c r="G569" s="28"/>
      <c r="H569" s="2"/>
      <c r="I569" s="7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1:47" ht="15.75" customHeight="1" x14ac:dyDescent="0.2">
      <c r="A570"/>
      <c r="B570" s="2"/>
      <c r="C570" s="2"/>
      <c r="D570" s="2"/>
      <c r="E570" s="2"/>
      <c r="F570" s="2"/>
      <c r="G570" s="28"/>
      <c r="H570" s="2"/>
      <c r="I570" s="7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1:47" ht="15.75" customHeight="1" x14ac:dyDescent="0.2">
      <c r="A571"/>
      <c r="B571" s="2"/>
      <c r="C571" s="2"/>
      <c r="D571" s="2"/>
      <c r="E571" s="2"/>
      <c r="F571" s="2"/>
      <c r="G571" s="28"/>
      <c r="H571" s="2"/>
      <c r="I571" s="7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1:47" ht="15.75" customHeight="1" x14ac:dyDescent="0.2">
      <c r="A572"/>
      <c r="B572" s="2"/>
      <c r="C572" s="2"/>
      <c r="D572" s="2"/>
      <c r="E572" s="2"/>
      <c r="F572" s="2"/>
      <c r="G572" s="28"/>
      <c r="H572" s="2"/>
      <c r="I572" s="7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1:47" ht="15.75" customHeight="1" x14ac:dyDescent="0.2">
      <c r="A573"/>
      <c r="B573" s="2"/>
      <c r="C573" s="2"/>
      <c r="D573" s="2"/>
      <c r="E573" s="2"/>
      <c r="F573" s="2"/>
      <c r="G573" s="28"/>
      <c r="H573" s="2"/>
      <c r="I573" s="7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1:47" ht="15.75" customHeight="1" x14ac:dyDescent="0.2">
      <c r="A574"/>
      <c r="B574" s="2"/>
      <c r="C574" s="2"/>
      <c r="D574" s="2"/>
      <c r="E574" s="2"/>
      <c r="F574" s="2"/>
      <c r="G574" s="28"/>
      <c r="H574" s="2"/>
      <c r="I574" s="7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1:47" ht="15.75" customHeight="1" x14ac:dyDescent="0.2">
      <c r="A575"/>
      <c r="B575" s="2"/>
      <c r="C575" s="2"/>
      <c r="D575" s="2"/>
      <c r="E575" s="2"/>
      <c r="F575" s="2"/>
      <c r="G575" s="28"/>
      <c r="H575" s="2"/>
      <c r="I575" s="7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1:47" ht="15.75" customHeight="1" x14ac:dyDescent="0.2">
      <c r="A576"/>
      <c r="B576" s="2"/>
      <c r="C576" s="2"/>
      <c r="D576" s="2"/>
      <c r="E576" s="2"/>
      <c r="F576" s="2"/>
      <c r="G576" s="28"/>
      <c r="H576" s="2"/>
      <c r="I576" s="7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1:47" ht="15.75" customHeight="1" x14ac:dyDescent="0.2">
      <c r="A577"/>
      <c r="B577" s="2"/>
      <c r="C577" s="2"/>
      <c r="D577" s="2"/>
      <c r="E577" s="2"/>
      <c r="F577" s="2"/>
      <c r="G577" s="28"/>
      <c r="H577" s="2"/>
      <c r="I577" s="7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1:47" ht="15.75" customHeight="1" x14ac:dyDescent="0.2">
      <c r="A578"/>
      <c r="B578" s="2"/>
      <c r="C578" s="2"/>
      <c r="D578" s="2"/>
      <c r="E578" s="2"/>
      <c r="F578" s="2"/>
      <c r="G578" s="28"/>
      <c r="H578" s="2"/>
      <c r="I578" s="7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1:47" ht="15.75" customHeight="1" x14ac:dyDescent="0.2">
      <c r="A579"/>
      <c r="B579" s="2"/>
      <c r="C579" s="2"/>
      <c r="D579" s="2"/>
      <c r="E579" s="2"/>
      <c r="F579" s="2"/>
      <c r="G579" s="28"/>
      <c r="H579" s="2"/>
      <c r="I579" s="7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1:47" ht="15.75" customHeight="1" x14ac:dyDescent="0.2">
      <c r="A580"/>
      <c r="B580" s="2"/>
      <c r="C580" s="2"/>
      <c r="D580" s="2"/>
      <c r="E580" s="2"/>
      <c r="F580" s="2"/>
      <c r="G580" s="28"/>
      <c r="H580" s="2"/>
      <c r="I580" s="7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1:47" ht="15.75" customHeight="1" x14ac:dyDescent="0.2">
      <c r="A581"/>
      <c r="B581" s="2"/>
      <c r="C581" s="2"/>
      <c r="D581" s="2"/>
      <c r="E581" s="2"/>
      <c r="F581" s="2"/>
      <c r="G581" s="28"/>
      <c r="H581" s="2"/>
      <c r="I581" s="7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1:47" ht="15.75" customHeight="1" x14ac:dyDescent="0.2">
      <c r="A582"/>
      <c r="B582" s="2"/>
      <c r="C582" s="2"/>
      <c r="D582" s="2"/>
      <c r="E582" s="2"/>
      <c r="F582" s="2"/>
      <c r="G582" s="28"/>
      <c r="H582" s="2"/>
      <c r="I582" s="7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1:47" ht="15.75" customHeight="1" x14ac:dyDescent="0.2">
      <c r="A583"/>
      <c r="B583" s="2"/>
      <c r="C583" s="2"/>
      <c r="D583" s="2"/>
      <c r="E583" s="2"/>
      <c r="F583" s="2"/>
      <c r="G583" s="28"/>
      <c r="H583" s="2"/>
      <c r="I583" s="7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1:47" ht="15.75" customHeight="1" x14ac:dyDescent="0.2">
      <c r="A584"/>
      <c r="B584" s="2"/>
      <c r="C584" s="2"/>
      <c r="D584" s="2"/>
      <c r="E584" s="2"/>
      <c r="F584" s="2"/>
      <c r="G584" s="28"/>
      <c r="H584" s="2"/>
      <c r="I584" s="7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1:47" ht="15.75" customHeight="1" x14ac:dyDescent="0.2">
      <c r="A585"/>
      <c r="B585" s="2"/>
      <c r="C585" s="2"/>
      <c r="D585" s="2"/>
      <c r="E585" s="2"/>
      <c r="F585" s="2"/>
      <c r="G585" s="28"/>
      <c r="H585" s="2"/>
      <c r="I585" s="7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1:47" ht="15.75" customHeight="1" x14ac:dyDescent="0.2">
      <c r="A586"/>
      <c r="B586" s="2"/>
      <c r="C586" s="2"/>
      <c r="D586" s="2"/>
      <c r="E586" s="2"/>
      <c r="F586" s="2"/>
      <c r="G586" s="28"/>
      <c r="H586" s="2"/>
      <c r="I586" s="7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1:47" ht="15.75" customHeight="1" x14ac:dyDescent="0.2">
      <c r="A587"/>
      <c r="B587" s="2"/>
      <c r="C587" s="2"/>
      <c r="D587" s="2"/>
      <c r="E587" s="2"/>
      <c r="F587" s="2"/>
      <c r="G587" s="28"/>
      <c r="H587" s="2"/>
      <c r="I587" s="7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1:47" ht="15.75" customHeight="1" x14ac:dyDescent="0.2">
      <c r="A588"/>
      <c r="B588" s="2"/>
      <c r="C588" s="2"/>
      <c r="D588" s="2"/>
      <c r="E588" s="2"/>
      <c r="F588" s="2"/>
      <c r="G588" s="28"/>
      <c r="H588" s="2"/>
      <c r="I588" s="7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1:47" ht="15.75" customHeight="1" x14ac:dyDescent="0.2">
      <c r="A589"/>
      <c r="B589" s="2"/>
      <c r="C589" s="2"/>
      <c r="D589" s="2"/>
      <c r="E589" s="2"/>
      <c r="F589" s="2"/>
      <c r="G589" s="28"/>
      <c r="H589" s="2"/>
      <c r="I589" s="7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1:47" ht="15.75" customHeight="1" x14ac:dyDescent="0.2">
      <c r="A590"/>
      <c r="B590" s="2"/>
      <c r="C590" s="2"/>
      <c r="D590" s="2"/>
      <c r="E590" s="2"/>
      <c r="F590" s="2"/>
      <c r="G590" s="28"/>
      <c r="H590" s="2"/>
      <c r="I590" s="7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1:47" ht="15.75" customHeight="1" x14ac:dyDescent="0.2">
      <c r="A591"/>
      <c r="B591" s="2"/>
      <c r="C591" s="2"/>
      <c r="D591" s="2"/>
      <c r="E591" s="2"/>
      <c r="F591" s="2"/>
      <c r="G591" s="28"/>
      <c r="H591" s="2"/>
      <c r="I591" s="7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1:47" ht="15.75" customHeight="1" x14ac:dyDescent="0.2">
      <c r="A592"/>
      <c r="B592" s="2"/>
      <c r="C592" s="2"/>
      <c r="D592" s="2"/>
      <c r="E592" s="2"/>
      <c r="F592" s="2"/>
      <c r="G592" s="28"/>
      <c r="H592" s="2"/>
      <c r="I592" s="7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1:47" ht="15.75" customHeight="1" x14ac:dyDescent="0.2">
      <c r="A593"/>
      <c r="B593" s="2"/>
      <c r="C593" s="2"/>
      <c r="D593" s="2"/>
      <c r="E593" s="2"/>
      <c r="F593" s="2"/>
      <c r="G593" s="28"/>
      <c r="H593" s="2"/>
      <c r="I593" s="7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1:47" ht="15.75" customHeight="1" x14ac:dyDescent="0.2">
      <c r="A594"/>
      <c r="B594" s="2"/>
      <c r="C594" s="2"/>
      <c r="D594" s="2"/>
      <c r="E594" s="2"/>
      <c r="F594" s="2"/>
      <c r="G594" s="28"/>
      <c r="H594" s="2"/>
      <c r="I594" s="7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1:47" ht="15.75" customHeight="1" x14ac:dyDescent="0.2">
      <c r="A595"/>
      <c r="B595" s="2"/>
      <c r="C595" s="2"/>
      <c r="D595" s="2"/>
      <c r="E595" s="2"/>
      <c r="F595" s="2"/>
      <c r="G595" s="28"/>
      <c r="H595" s="2"/>
      <c r="I595" s="7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1:47" ht="15.75" customHeight="1" x14ac:dyDescent="0.2">
      <c r="A596"/>
      <c r="B596" s="2"/>
      <c r="C596" s="2"/>
      <c r="D596" s="2"/>
      <c r="E596" s="2"/>
      <c r="F596" s="2"/>
      <c r="G596" s="28"/>
      <c r="H596" s="2"/>
      <c r="I596" s="7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1:47" ht="15.75" customHeight="1" x14ac:dyDescent="0.2">
      <c r="A597"/>
      <c r="B597" s="2"/>
      <c r="C597" s="2"/>
      <c r="D597" s="2"/>
      <c r="E597" s="2"/>
      <c r="F597" s="2"/>
      <c r="G597" s="28"/>
      <c r="H597" s="2"/>
      <c r="I597" s="7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1:47" ht="15.75" customHeight="1" x14ac:dyDescent="0.2">
      <c r="A598"/>
      <c r="B598" s="2"/>
      <c r="C598" s="2"/>
      <c r="D598" s="2"/>
      <c r="E598" s="2"/>
      <c r="F598" s="2"/>
      <c r="G598" s="28"/>
      <c r="H598" s="2"/>
      <c r="I598" s="7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1:47" ht="15.75" customHeight="1" x14ac:dyDescent="0.2">
      <c r="A599"/>
      <c r="B599" s="2"/>
      <c r="C599" s="2"/>
      <c r="D599" s="2"/>
      <c r="E599" s="2"/>
      <c r="F599" s="2"/>
      <c r="G599" s="28"/>
      <c r="H599" s="2"/>
      <c r="I599" s="7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1:47" ht="15.75" customHeight="1" x14ac:dyDescent="0.2">
      <c r="A600"/>
      <c r="B600" s="2"/>
      <c r="C600" s="2"/>
      <c r="D600" s="2"/>
      <c r="E600" s="2"/>
      <c r="F600" s="2"/>
      <c r="G600" s="28"/>
      <c r="H600" s="2"/>
      <c r="I600" s="7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1:47" ht="15.75" customHeight="1" x14ac:dyDescent="0.2">
      <c r="A601"/>
      <c r="B601" s="2"/>
      <c r="C601" s="2"/>
      <c r="D601" s="2"/>
      <c r="E601" s="2"/>
      <c r="F601" s="2"/>
      <c r="G601" s="28"/>
      <c r="H601" s="2"/>
      <c r="I601" s="7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1:47" ht="15.75" customHeight="1" x14ac:dyDescent="0.2">
      <c r="A602"/>
      <c r="B602" s="2"/>
      <c r="C602" s="2"/>
      <c r="D602" s="2"/>
      <c r="E602" s="2"/>
      <c r="F602" s="2"/>
      <c r="G602" s="28"/>
      <c r="H602" s="2"/>
      <c r="I602" s="7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1:47" ht="15.75" customHeight="1" x14ac:dyDescent="0.2">
      <c r="A603"/>
      <c r="B603" s="2"/>
      <c r="C603" s="2"/>
      <c r="D603" s="2"/>
      <c r="E603" s="2"/>
      <c r="F603" s="2"/>
      <c r="G603" s="28"/>
      <c r="H603" s="2"/>
      <c r="I603" s="7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1:47" ht="15.75" customHeight="1" x14ac:dyDescent="0.2">
      <c r="A604"/>
      <c r="B604" s="2"/>
      <c r="C604" s="2"/>
      <c r="D604" s="2"/>
      <c r="E604" s="2"/>
      <c r="F604" s="2"/>
      <c r="G604" s="28"/>
      <c r="H604" s="2"/>
      <c r="I604" s="7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1:47" ht="15.75" customHeight="1" x14ac:dyDescent="0.2">
      <c r="A605"/>
      <c r="B605" s="2"/>
      <c r="C605" s="2"/>
      <c r="D605" s="2"/>
      <c r="E605" s="2"/>
      <c r="F605" s="2"/>
      <c r="G605" s="28"/>
      <c r="H605" s="2"/>
      <c r="I605" s="7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1:47" ht="15.75" customHeight="1" x14ac:dyDescent="0.2">
      <c r="A606"/>
      <c r="G606"/>
      <c r="H606" s="2"/>
    </row>
    <row r="607" spans="1:47" ht="15.75" customHeight="1" x14ac:dyDescent="0.2">
      <c r="A607"/>
      <c r="G607"/>
      <c r="H607" s="2"/>
    </row>
    <row r="608" spans="1:47" ht="15.75" customHeight="1" x14ac:dyDescent="0.2">
      <c r="A608"/>
      <c r="G608"/>
      <c r="H608" s="2"/>
    </row>
    <row r="609" spans="1:8" ht="15.75" customHeight="1" x14ac:dyDescent="0.2">
      <c r="A609"/>
      <c r="G609"/>
      <c r="H609" s="2"/>
    </row>
    <row r="610" spans="1:8" ht="15.75" customHeight="1" x14ac:dyDescent="0.2">
      <c r="A610"/>
      <c r="G610"/>
      <c r="H610" s="2"/>
    </row>
    <row r="611" spans="1:8" ht="15.75" customHeight="1" x14ac:dyDescent="0.2">
      <c r="A611"/>
      <c r="G611"/>
      <c r="H611" s="2"/>
    </row>
    <row r="612" spans="1:8" ht="15.75" customHeight="1" x14ac:dyDescent="0.2">
      <c r="A612"/>
      <c r="G612"/>
      <c r="H612" s="2"/>
    </row>
    <row r="613" spans="1:8" ht="15.75" customHeight="1" x14ac:dyDescent="0.2">
      <c r="A613"/>
      <c r="G613"/>
      <c r="H613" s="2"/>
    </row>
    <row r="614" spans="1:8" ht="15.75" customHeight="1" x14ac:dyDescent="0.2">
      <c r="A614"/>
      <c r="G614"/>
      <c r="H614" s="2"/>
    </row>
    <row r="615" spans="1:8" ht="15.75" customHeight="1" x14ac:dyDescent="0.2">
      <c r="A615"/>
      <c r="G615"/>
      <c r="H615" s="2"/>
    </row>
    <row r="616" spans="1:8" ht="15.75" customHeight="1" x14ac:dyDescent="0.2">
      <c r="A616"/>
      <c r="G616"/>
      <c r="H616" s="2"/>
    </row>
    <row r="617" spans="1:8" ht="15.75" customHeight="1" x14ac:dyDescent="0.2">
      <c r="A617"/>
      <c r="G617"/>
      <c r="H617" s="2"/>
    </row>
    <row r="618" spans="1:8" ht="15.75" customHeight="1" x14ac:dyDescent="0.2">
      <c r="A618"/>
      <c r="G618"/>
      <c r="H618" s="2"/>
    </row>
    <row r="619" spans="1:8" ht="15.75" customHeight="1" x14ac:dyDescent="0.2">
      <c r="A619"/>
      <c r="G619"/>
      <c r="H619" s="2"/>
    </row>
    <row r="620" spans="1:8" ht="15.75" customHeight="1" x14ac:dyDescent="0.2">
      <c r="A620"/>
      <c r="G620"/>
      <c r="H620" s="2"/>
    </row>
    <row r="621" spans="1:8" ht="15.75" customHeight="1" x14ac:dyDescent="0.2">
      <c r="A621"/>
      <c r="G621"/>
      <c r="H621" s="2"/>
    </row>
    <row r="622" spans="1:8" ht="15.75" customHeight="1" x14ac:dyDescent="0.2">
      <c r="A622"/>
      <c r="G622"/>
      <c r="H622" s="2"/>
    </row>
    <row r="623" spans="1:8" ht="15.75" customHeight="1" x14ac:dyDescent="0.2">
      <c r="A623"/>
      <c r="G623"/>
      <c r="H623" s="2"/>
    </row>
    <row r="624" spans="1:8" ht="15.75" customHeight="1" x14ac:dyDescent="0.2">
      <c r="A624"/>
      <c r="G624"/>
      <c r="H624" s="2"/>
    </row>
    <row r="625" spans="1:8" ht="15.75" customHeight="1" x14ac:dyDescent="0.2">
      <c r="A625"/>
      <c r="G625"/>
      <c r="H625" s="2"/>
    </row>
    <row r="626" spans="1:8" ht="15.75" customHeight="1" x14ac:dyDescent="0.2">
      <c r="A626"/>
      <c r="G626"/>
      <c r="H626" s="2"/>
    </row>
    <row r="627" spans="1:8" ht="15.75" customHeight="1" x14ac:dyDescent="0.2">
      <c r="A627"/>
      <c r="G627"/>
      <c r="H627" s="2"/>
    </row>
    <row r="628" spans="1:8" ht="15.75" customHeight="1" x14ac:dyDescent="0.2">
      <c r="A628"/>
      <c r="G628"/>
      <c r="H628" s="2"/>
    </row>
    <row r="629" spans="1:8" ht="15.75" customHeight="1" x14ac:dyDescent="0.2">
      <c r="A629"/>
      <c r="G629"/>
      <c r="H629" s="2"/>
    </row>
    <row r="630" spans="1:8" ht="15.75" customHeight="1" x14ac:dyDescent="0.2">
      <c r="A630"/>
      <c r="G630"/>
      <c r="H630" s="2"/>
    </row>
    <row r="631" spans="1:8" ht="15.75" customHeight="1" x14ac:dyDescent="0.2">
      <c r="A631"/>
      <c r="G631"/>
      <c r="H631" s="2"/>
    </row>
    <row r="632" spans="1:8" ht="15.75" customHeight="1" x14ac:dyDescent="0.2">
      <c r="A632"/>
      <c r="G632"/>
      <c r="H632" s="2"/>
    </row>
    <row r="633" spans="1:8" ht="15.75" customHeight="1" x14ac:dyDescent="0.2">
      <c r="A633"/>
      <c r="G633"/>
      <c r="H633" s="2"/>
    </row>
    <row r="634" spans="1:8" ht="15.75" customHeight="1" x14ac:dyDescent="0.2">
      <c r="A634"/>
      <c r="G634"/>
      <c r="H634" s="2"/>
    </row>
    <row r="635" spans="1:8" ht="15.75" customHeight="1" x14ac:dyDescent="0.2">
      <c r="A635"/>
      <c r="G635"/>
      <c r="H635" s="2"/>
    </row>
    <row r="636" spans="1:8" ht="15.75" customHeight="1" x14ac:dyDescent="0.2">
      <c r="A636"/>
      <c r="G636"/>
      <c r="H636" s="2"/>
    </row>
    <row r="637" spans="1:8" ht="15.75" customHeight="1" x14ac:dyDescent="0.2">
      <c r="A637"/>
      <c r="G637"/>
      <c r="H637" s="2"/>
    </row>
    <row r="638" spans="1:8" ht="15.75" customHeight="1" x14ac:dyDescent="0.2">
      <c r="A638"/>
      <c r="G638"/>
      <c r="H638" s="2"/>
    </row>
    <row r="639" spans="1:8" ht="15.75" customHeight="1" x14ac:dyDescent="0.2">
      <c r="A639"/>
      <c r="G639"/>
      <c r="H639" s="2"/>
    </row>
    <row r="640" spans="1:8" ht="15.75" customHeight="1" x14ac:dyDescent="0.2">
      <c r="A640"/>
      <c r="G640"/>
      <c r="H640" s="2"/>
    </row>
    <row r="641" spans="1:8" ht="15.75" customHeight="1" x14ac:dyDescent="0.2">
      <c r="A641"/>
      <c r="G641"/>
      <c r="H641" s="2"/>
    </row>
    <row r="642" spans="1:8" ht="15.75" customHeight="1" x14ac:dyDescent="0.2">
      <c r="A642"/>
      <c r="G642"/>
      <c r="H642" s="2"/>
    </row>
    <row r="643" spans="1:8" ht="15.75" customHeight="1" x14ac:dyDescent="0.2">
      <c r="A643"/>
      <c r="G643"/>
      <c r="H643" s="2"/>
    </row>
    <row r="644" spans="1:8" ht="15.75" customHeight="1" x14ac:dyDescent="0.2">
      <c r="A644"/>
      <c r="G644"/>
      <c r="H644" s="2"/>
    </row>
    <row r="645" spans="1:8" ht="15.75" customHeight="1" x14ac:dyDescent="0.2">
      <c r="A645"/>
      <c r="G645"/>
      <c r="H645" s="2"/>
    </row>
    <row r="646" spans="1:8" ht="15.75" customHeight="1" x14ac:dyDescent="0.2">
      <c r="A646"/>
      <c r="G646"/>
      <c r="H646" s="2"/>
    </row>
    <row r="647" spans="1:8" ht="15.75" customHeight="1" x14ac:dyDescent="0.2">
      <c r="A647"/>
      <c r="G647"/>
      <c r="H647" s="2"/>
    </row>
    <row r="648" spans="1:8" ht="15.75" customHeight="1" x14ac:dyDescent="0.2">
      <c r="A648"/>
      <c r="G648"/>
      <c r="H648" s="2"/>
    </row>
    <row r="649" spans="1:8" ht="15.75" customHeight="1" x14ac:dyDescent="0.2">
      <c r="A649"/>
      <c r="G649"/>
      <c r="H649" s="2"/>
    </row>
    <row r="650" spans="1:8" ht="15.75" customHeight="1" x14ac:dyDescent="0.2">
      <c r="A650"/>
      <c r="G650"/>
      <c r="H650" s="2"/>
    </row>
    <row r="651" spans="1:8" ht="15.75" customHeight="1" x14ac:dyDescent="0.2">
      <c r="A651"/>
      <c r="G651"/>
      <c r="H651" s="2"/>
    </row>
    <row r="652" spans="1:8" ht="15.75" customHeight="1" x14ac:dyDescent="0.2">
      <c r="A652"/>
      <c r="G652"/>
      <c r="H652" s="2"/>
    </row>
    <row r="653" spans="1:8" ht="15.75" customHeight="1" x14ac:dyDescent="0.2">
      <c r="A653"/>
      <c r="G653"/>
      <c r="H653" s="2"/>
    </row>
    <row r="654" spans="1:8" ht="15.75" customHeight="1" x14ac:dyDescent="0.2">
      <c r="A654"/>
      <c r="G654"/>
      <c r="H654" s="2"/>
    </row>
    <row r="655" spans="1:8" ht="15.75" customHeight="1" x14ac:dyDescent="0.2">
      <c r="A655"/>
      <c r="G655"/>
      <c r="H655" s="2"/>
    </row>
    <row r="656" spans="1:8" ht="15.75" customHeight="1" x14ac:dyDescent="0.2">
      <c r="A656"/>
      <c r="G656"/>
      <c r="H656" s="2"/>
    </row>
    <row r="657" spans="1:8" ht="15.75" customHeight="1" x14ac:dyDescent="0.2">
      <c r="A657"/>
      <c r="G657"/>
      <c r="H657" s="2"/>
    </row>
    <row r="658" spans="1:8" ht="15.75" customHeight="1" x14ac:dyDescent="0.2">
      <c r="A658"/>
      <c r="G658"/>
      <c r="H658" s="2"/>
    </row>
    <row r="659" spans="1:8" ht="15.75" customHeight="1" x14ac:dyDescent="0.2">
      <c r="A659"/>
      <c r="G659"/>
      <c r="H659" s="2"/>
    </row>
    <row r="660" spans="1:8" ht="15.75" customHeight="1" x14ac:dyDescent="0.2">
      <c r="A660"/>
      <c r="G660"/>
      <c r="H660" s="2"/>
    </row>
    <row r="661" spans="1:8" ht="15.75" customHeight="1" x14ac:dyDescent="0.2">
      <c r="A661"/>
      <c r="G661"/>
      <c r="H661" s="2"/>
    </row>
    <row r="662" spans="1:8" ht="15.75" customHeight="1" x14ac:dyDescent="0.2">
      <c r="A662"/>
      <c r="G662"/>
      <c r="H662" s="2"/>
    </row>
    <row r="663" spans="1:8" ht="15.75" customHeight="1" x14ac:dyDescent="0.2">
      <c r="A663"/>
      <c r="G663"/>
      <c r="H663" s="2"/>
    </row>
    <row r="664" spans="1:8" ht="15.75" customHeight="1" x14ac:dyDescent="0.2">
      <c r="A664"/>
      <c r="G664"/>
      <c r="H664" s="2"/>
    </row>
    <row r="665" spans="1:8" ht="15.75" customHeight="1" x14ac:dyDescent="0.2">
      <c r="A665"/>
      <c r="G665"/>
      <c r="H665" s="2"/>
    </row>
    <row r="666" spans="1:8" ht="15.75" customHeight="1" x14ac:dyDescent="0.2">
      <c r="A666"/>
      <c r="G666"/>
      <c r="H666" s="2"/>
    </row>
    <row r="667" spans="1:8" ht="15.75" customHeight="1" x14ac:dyDescent="0.2">
      <c r="A667"/>
      <c r="G667"/>
      <c r="H667" s="2"/>
    </row>
    <row r="668" spans="1:8" ht="15.75" customHeight="1" x14ac:dyDescent="0.2">
      <c r="A668"/>
      <c r="G668"/>
      <c r="H668" s="2"/>
    </row>
    <row r="669" spans="1:8" ht="15.75" customHeight="1" x14ac:dyDescent="0.2">
      <c r="A669"/>
      <c r="G669"/>
      <c r="H669" s="2"/>
    </row>
    <row r="670" spans="1:8" ht="15.75" customHeight="1" x14ac:dyDescent="0.2">
      <c r="A670"/>
      <c r="G670"/>
      <c r="H670" s="2"/>
    </row>
    <row r="671" spans="1:8" ht="15.75" customHeight="1" x14ac:dyDescent="0.2">
      <c r="A671"/>
      <c r="G671"/>
      <c r="H671" s="2"/>
    </row>
    <row r="672" spans="1:8" ht="15.75" customHeight="1" x14ac:dyDescent="0.2">
      <c r="A672"/>
      <c r="G672"/>
      <c r="H672" s="2"/>
    </row>
    <row r="673" spans="1:8" ht="15.75" customHeight="1" x14ac:dyDescent="0.2">
      <c r="A673"/>
      <c r="G673"/>
      <c r="H673" s="2"/>
    </row>
    <row r="674" spans="1:8" ht="15.75" customHeight="1" x14ac:dyDescent="0.2">
      <c r="A674"/>
      <c r="G674"/>
      <c r="H674" s="2"/>
    </row>
    <row r="675" spans="1:8" ht="15.75" customHeight="1" x14ac:dyDescent="0.2">
      <c r="A675"/>
      <c r="G675"/>
      <c r="H675" s="2"/>
    </row>
    <row r="676" spans="1:8" ht="15.75" customHeight="1" x14ac:dyDescent="0.2">
      <c r="A676"/>
      <c r="G676"/>
      <c r="H676" s="2"/>
    </row>
    <row r="677" spans="1:8" ht="15.75" customHeight="1" x14ac:dyDescent="0.2">
      <c r="A677"/>
      <c r="G677"/>
      <c r="H677" s="2"/>
    </row>
    <row r="678" spans="1:8" ht="15.75" customHeight="1" x14ac:dyDescent="0.2">
      <c r="A678"/>
      <c r="G678"/>
      <c r="H678" s="2"/>
    </row>
    <row r="679" spans="1:8" ht="15.75" customHeight="1" x14ac:dyDescent="0.2">
      <c r="A679"/>
      <c r="G679"/>
      <c r="H679" s="2"/>
    </row>
    <row r="680" spans="1:8" ht="15.75" customHeight="1" x14ac:dyDescent="0.2">
      <c r="A680"/>
      <c r="G680"/>
    </row>
    <row r="681" spans="1:8" ht="15.75" customHeight="1" x14ac:dyDescent="0.2">
      <c r="A681"/>
      <c r="G681"/>
    </row>
    <row r="682" spans="1:8" ht="15.75" customHeight="1" x14ac:dyDescent="0.2">
      <c r="A682"/>
      <c r="G682"/>
    </row>
    <row r="683" spans="1:8" ht="15.75" customHeight="1" x14ac:dyDescent="0.2">
      <c r="A683"/>
      <c r="G683"/>
    </row>
    <row r="684" spans="1:8" ht="15.75" customHeight="1" x14ac:dyDescent="0.2">
      <c r="A684"/>
      <c r="G684"/>
    </row>
    <row r="685" spans="1:8" ht="15.75" customHeight="1" x14ac:dyDescent="0.2">
      <c r="A685"/>
      <c r="G685"/>
    </row>
    <row r="686" spans="1:8" ht="15.75" customHeight="1" x14ac:dyDescent="0.2">
      <c r="A686"/>
      <c r="G686"/>
    </row>
    <row r="687" spans="1:8" ht="15.75" customHeight="1" x14ac:dyDescent="0.2">
      <c r="A687"/>
      <c r="G687"/>
    </row>
    <row r="688" spans="1:8" ht="15.75" customHeight="1" x14ac:dyDescent="0.2">
      <c r="A688"/>
      <c r="G688"/>
    </row>
    <row r="689" spans="1:7" ht="15.75" customHeight="1" x14ac:dyDescent="0.2">
      <c r="A689"/>
      <c r="G689"/>
    </row>
    <row r="690" spans="1:7" ht="15.75" customHeight="1" x14ac:dyDescent="0.2">
      <c r="A690"/>
      <c r="G690"/>
    </row>
    <row r="691" spans="1:7" ht="15.75" customHeight="1" x14ac:dyDescent="0.2">
      <c r="A691"/>
      <c r="G691"/>
    </row>
    <row r="692" spans="1:7" ht="15.75" customHeight="1" x14ac:dyDescent="0.2">
      <c r="A692"/>
      <c r="G692"/>
    </row>
    <row r="693" spans="1:7" ht="15.75" customHeight="1" x14ac:dyDescent="0.2">
      <c r="A693"/>
      <c r="G693"/>
    </row>
    <row r="694" spans="1:7" ht="15.75" customHeight="1" x14ac:dyDescent="0.2">
      <c r="A694"/>
      <c r="G694"/>
    </row>
    <row r="695" spans="1:7" ht="15.75" customHeight="1" x14ac:dyDescent="0.2">
      <c r="A695"/>
      <c r="G695"/>
    </row>
    <row r="696" spans="1:7" ht="15.75" customHeight="1" x14ac:dyDescent="0.2">
      <c r="A696"/>
      <c r="G696"/>
    </row>
    <row r="697" spans="1:7" ht="15.75" customHeight="1" x14ac:dyDescent="0.2">
      <c r="A697"/>
      <c r="G697"/>
    </row>
    <row r="698" spans="1:7" ht="15.75" customHeight="1" x14ac:dyDescent="0.2">
      <c r="A698"/>
      <c r="G698"/>
    </row>
    <row r="699" spans="1:7" ht="15.75" customHeight="1" x14ac:dyDescent="0.2">
      <c r="A699"/>
      <c r="G699"/>
    </row>
    <row r="700" spans="1:7" ht="15.75" customHeight="1" x14ac:dyDescent="0.2">
      <c r="A700"/>
      <c r="G700"/>
    </row>
    <row r="701" spans="1:7" ht="15.75" customHeight="1" x14ac:dyDescent="0.2">
      <c r="A701"/>
      <c r="G701"/>
    </row>
    <row r="702" spans="1:7" ht="15.75" customHeight="1" x14ac:dyDescent="0.2">
      <c r="A702"/>
      <c r="G702"/>
    </row>
    <row r="703" spans="1:7" ht="15.75" customHeight="1" x14ac:dyDescent="0.2">
      <c r="A703"/>
      <c r="G703"/>
    </row>
    <row r="704" spans="1:7" ht="15.75" customHeight="1" x14ac:dyDescent="0.2">
      <c r="A704"/>
      <c r="G704"/>
    </row>
    <row r="705" spans="1:7" ht="15.75" customHeight="1" x14ac:dyDescent="0.2">
      <c r="A705"/>
      <c r="G705"/>
    </row>
    <row r="706" spans="1:7" ht="15.75" customHeight="1" x14ac:dyDescent="0.2">
      <c r="A706"/>
      <c r="G706"/>
    </row>
    <row r="707" spans="1:7" ht="15.75" customHeight="1" x14ac:dyDescent="0.2">
      <c r="A707"/>
      <c r="G707"/>
    </row>
    <row r="708" spans="1:7" ht="15.75" customHeight="1" x14ac:dyDescent="0.2">
      <c r="A708"/>
      <c r="G708"/>
    </row>
    <row r="709" spans="1:7" ht="15.75" customHeight="1" x14ac:dyDescent="0.2">
      <c r="A709"/>
      <c r="G709"/>
    </row>
  </sheetData>
  <mergeCells count="2">
    <mergeCell ref="A5:G5"/>
    <mergeCell ref="A6:G6"/>
  </mergeCells>
  <pageMargins left="0.48" right="0.15748031496062992" top="0.15748031496062992" bottom="0.15748031496062992" header="0.15748031496062992" footer="0.15748031496062992"/>
  <pageSetup paperSize="9" scale="97" orientation="portrait" r:id="rId1"/>
  <headerFooter alignWithMargins="0"/>
  <rowBreaks count="1" manualBreakCount="1">
    <brk id="71" min="1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31"/>
  <sheetViews>
    <sheetView zoomScaleNormal="100" workbookViewId="0">
      <selection activeCell="A9" sqref="A9"/>
    </sheetView>
  </sheetViews>
  <sheetFormatPr defaultColWidth="0" defaultRowHeight="12.75" x14ac:dyDescent="0.2"/>
  <cols>
    <col min="1" max="1" width="76.28515625" customWidth="1"/>
    <col min="2" max="2" width="16.42578125" customWidth="1"/>
    <col min="3" max="6" width="16.42578125" hidden="1" customWidth="1"/>
    <col min="7" max="7" width="4.140625" customWidth="1"/>
    <col min="8" max="15" width="9.140625" hidden="1" customWidth="1"/>
    <col min="16" max="226" width="9.140625" customWidth="1"/>
  </cols>
  <sheetData>
    <row r="1" spans="1:8" ht="15.75" customHeight="1" x14ac:dyDescent="0.2">
      <c r="A1" s="15"/>
      <c r="B1" s="53" t="s">
        <v>485</v>
      </c>
      <c r="G1" s="2"/>
    </row>
    <row r="2" spans="1:8" ht="15.75" customHeight="1" x14ac:dyDescent="0.2">
      <c r="A2" s="15"/>
      <c r="B2" s="55" t="str">
        <f>'1.Bev-kiad.'!C2</f>
        <v>a 2/2025.(III.6.) önkormányzati rendelethez</v>
      </c>
      <c r="G2" s="2"/>
    </row>
    <row r="3" spans="1:8" ht="15.75" customHeight="1" x14ac:dyDescent="0.2">
      <c r="A3" s="15"/>
      <c r="C3" s="55"/>
      <c r="D3" s="55"/>
      <c r="G3" s="2"/>
    </row>
    <row r="4" spans="1:8" ht="15.75" customHeight="1" x14ac:dyDescent="0.2">
      <c r="A4" s="15"/>
      <c r="B4" s="55"/>
      <c r="D4" s="55"/>
      <c r="G4" s="2"/>
    </row>
    <row r="5" spans="1:8" ht="19.5" x14ac:dyDescent="0.2">
      <c r="A5" s="449" t="s">
        <v>427</v>
      </c>
      <c r="B5" s="450"/>
      <c r="C5" s="450"/>
      <c r="D5" s="450"/>
      <c r="E5" s="450"/>
      <c r="F5" s="450"/>
      <c r="G5" s="2"/>
    </row>
    <row r="6" spans="1:8" ht="19.5" x14ac:dyDescent="0.35">
      <c r="A6" s="451" t="s">
        <v>792</v>
      </c>
      <c r="B6" s="451"/>
      <c r="C6" s="451"/>
      <c r="D6" s="451"/>
      <c r="E6" s="451"/>
      <c r="F6" s="448"/>
      <c r="G6" s="2"/>
    </row>
    <row r="7" spans="1:8" x14ac:dyDescent="0.2">
      <c r="A7" s="51"/>
      <c r="B7" s="51"/>
      <c r="C7" s="51"/>
      <c r="E7" s="51"/>
      <c r="F7" s="52"/>
      <c r="G7" s="2"/>
    </row>
    <row r="8" spans="1:8" ht="13.5" thickBot="1" x14ac:dyDescent="0.25">
      <c r="A8" s="51"/>
      <c r="B8" s="189" t="s">
        <v>0</v>
      </c>
    </row>
    <row r="9" spans="1:8" s="4" customFormat="1" ht="54.75" customHeight="1" thickBot="1" x14ac:dyDescent="0.3">
      <c r="A9" s="48" t="s">
        <v>15</v>
      </c>
      <c r="B9" s="234" t="str">
        <f>'1.Bev-kiad.'!C8</f>
        <v>2025. évi eredeti előirányzat</v>
      </c>
      <c r="C9" s="234" t="str">
        <f>'1.Bev-kiad.'!D8</f>
        <v>Módosított előirányzat 2024.10.havi</v>
      </c>
      <c r="D9" s="234" t="str">
        <f>'1.Bev-kiad.'!E8</f>
        <v>Módosított előirányzat 2024..havi</v>
      </c>
      <c r="E9" s="234" t="str">
        <f>'1.Bev-kiad.'!F8</f>
        <v>Módosított előirányzat 2024.12.31.</v>
      </c>
      <c r="F9" s="231" t="str">
        <f>'3.felh'!G8</f>
        <v>Teljesítés 2024.12.31.</v>
      </c>
      <c r="G9" s="239"/>
    </row>
    <row r="10" spans="1:8" s="4" customFormat="1" ht="18" customHeight="1" thickBot="1" x14ac:dyDescent="0.3">
      <c r="A10" s="26" t="s">
        <v>726</v>
      </c>
      <c r="B10" s="235">
        <f>SUM(B11+B25)</f>
        <v>7915</v>
      </c>
      <c r="C10" s="235">
        <f>SUM(C11+C25)</f>
        <v>7877</v>
      </c>
      <c r="D10" s="235">
        <f>SUM(D11+D25)</f>
        <v>8300</v>
      </c>
      <c r="E10" s="235">
        <f>SUM(E11+E25)</f>
        <v>8300</v>
      </c>
      <c r="F10" s="235">
        <f>SUM(F11+F25)</f>
        <v>8300</v>
      </c>
      <c r="G10" s="7"/>
    </row>
    <row r="11" spans="1:8" s="4" customFormat="1" ht="14.25" customHeight="1" x14ac:dyDescent="0.25">
      <c r="A11" s="17" t="s">
        <v>319</v>
      </c>
      <c r="B11" s="50">
        <f>SUM(B12+B23)</f>
        <v>1774</v>
      </c>
      <c r="C11" s="50">
        <f>SUM(C12+C23)</f>
        <v>2057</v>
      </c>
      <c r="D11" s="50">
        <f>SUM(D12+D23)</f>
        <v>2500</v>
      </c>
      <c r="E11" s="50">
        <f>SUM(E12+E23)</f>
        <v>2500</v>
      </c>
      <c r="F11" s="50">
        <f>SUM(F12+F23)</f>
        <v>2500</v>
      </c>
      <c r="G11" s="7"/>
    </row>
    <row r="12" spans="1:8" s="4" customFormat="1" ht="14.25" customHeight="1" x14ac:dyDescent="0.25">
      <c r="A12" s="16" t="s">
        <v>16</v>
      </c>
      <c r="B12" s="452">
        <v>1774</v>
      </c>
      <c r="C12" s="452">
        <f>1996+61</f>
        <v>2057</v>
      </c>
      <c r="D12" s="452">
        <v>2500</v>
      </c>
      <c r="E12" s="452">
        <v>2500</v>
      </c>
      <c r="F12" s="452">
        <v>2500</v>
      </c>
      <c r="G12" s="7"/>
    </row>
    <row r="13" spans="1:8" s="4" customFormat="1" ht="14.25" customHeight="1" x14ac:dyDescent="0.25">
      <c r="A13" s="16" t="s">
        <v>17</v>
      </c>
      <c r="B13" s="453"/>
      <c r="C13" s="453"/>
      <c r="D13" s="453"/>
      <c r="E13" s="453"/>
      <c r="F13" s="453"/>
      <c r="G13" s="7"/>
    </row>
    <row r="14" spans="1:8" s="4" customFormat="1" ht="14.25" hidden="1" customHeight="1" x14ac:dyDescent="0.25">
      <c r="A14" s="21" t="s">
        <v>18</v>
      </c>
      <c r="B14" s="453"/>
      <c r="C14" s="453"/>
      <c r="D14" s="453"/>
      <c r="E14" s="453"/>
      <c r="F14" s="453"/>
      <c r="G14" s="7"/>
    </row>
    <row r="15" spans="1:8" s="4" customFormat="1" ht="14.25" hidden="1" customHeight="1" x14ac:dyDescent="0.25">
      <c r="A15" s="16" t="s">
        <v>19</v>
      </c>
      <c r="B15" s="453"/>
      <c r="C15" s="453"/>
      <c r="D15" s="453"/>
      <c r="E15" s="453"/>
      <c r="F15" s="453"/>
      <c r="G15" s="7"/>
    </row>
    <row r="16" spans="1:8" s="4" customFormat="1" ht="14.25" customHeight="1" x14ac:dyDescent="0.25">
      <c r="A16" s="16" t="s">
        <v>381</v>
      </c>
      <c r="B16" s="453"/>
      <c r="C16" s="453"/>
      <c r="D16" s="453"/>
      <c r="E16" s="453"/>
      <c r="F16" s="453"/>
      <c r="G16" s="7"/>
      <c r="H16"/>
    </row>
    <row r="17" spans="1:8" s="4" customFormat="1" ht="14.25" customHeight="1" x14ac:dyDescent="0.25">
      <c r="A17" s="16" t="s">
        <v>78</v>
      </c>
      <c r="B17" s="453"/>
      <c r="C17" s="453"/>
      <c r="D17" s="453"/>
      <c r="E17" s="453"/>
      <c r="F17" s="453"/>
      <c r="G17" s="7"/>
      <c r="H17"/>
    </row>
    <row r="18" spans="1:8" s="4" customFormat="1" ht="14.25" customHeight="1" x14ac:dyDescent="0.25">
      <c r="A18" s="16" t="s">
        <v>20</v>
      </c>
      <c r="B18" s="453"/>
      <c r="C18" s="453"/>
      <c r="D18" s="453"/>
      <c r="E18" s="453"/>
      <c r="F18" s="453"/>
      <c r="G18" s="7"/>
      <c r="H18"/>
    </row>
    <row r="19" spans="1:8" s="4" customFormat="1" ht="14.25" hidden="1" customHeight="1" x14ac:dyDescent="0.25">
      <c r="A19" s="16" t="s">
        <v>21</v>
      </c>
      <c r="B19" s="453"/>
      <c r="C19" s="453"/>
      <c r="D19" s="453"/>
      <c r="E19" s="453"/>
      <c r="F19" s="453"/>
      <c r="G19" s="7"/>
      <c r="H19"/>
    </row>
    <row r="20" spans="1:8" s="4" customFormat="1" ht="14.25" customHeight="1" x14ac:dyDescent="0.25">
      <c r="A20" s="10" t="s">
        <v>22</v>
      </c>
      <c r="B20" s="453"/>
      <c r="C20" s="453"/>
      <c r="D20" s="453"/>
      <c r="E20" s="453"/>
      <c r="F20" s="453"/>
      <c r="G20" s="7"/>
      <c r="H20"/>
    </row>
    <row r="21" spans="1:8" s="4" customFormat="1" ht="14.25" customHeight="1" x14ac:dyDescent="0.25">
      <c r="A21" s="16" t="s">
        <v>23</v>
      </c>
      <c r="B21" s="453"/>
      <c r="C21" s="453"/>
      <c r="D21" s="453"/>
      <c r="E21" s="453"/>
      <c r="F21" s="453"/>
      <c r="G21" s="7"/>
      <c r="H21"/>
    </row>
    <row r="22" spans="1:8" s="4" customFormat="1" ht="14.25" customHeight="1" x14ac:dyDescent="0.25">
      <c r="A22" s="16" t="s">
        <v>24</v>
      </c>
      <c r="B22" s="454"/>
      <c r="C22" s="454"/>
      <c r="D22" s="454"/>
      <c r="E22" s="454"/>
      <c r="F22" s="454"/>
      <c r="G22" s="7"/>
      <c r="H22" s="9"/>
    </row>
    <row r="23" spans="1:8" s="4" customFormat="1" ht="14.25" hidden="1" customHeight="1" x14ac:dyDescent="0.25">
      <c r="A23" s="16" t="s">
        <v>656</v>
      </c>
      <c r="B23" s="366">
        <v>0</v>
      </c>
      <c r="C23" s="366">
        <v>0</v>
      </c>
      <c r="D23" s="366"/>
      <c r="E23" s="366"/>
      <c r="F23" s="366"/>
      <c r="G23" s="7"/>
      <c r="H23" s="9"/>
    </row>
    <row r="24" spans="1:8" s="4" customFormat="1" ht="14.25" hidden="1" customHeight="1" x14ac:dyDescent="0.25">
      <c r="A24" s="199"/>
      <c r="B24" s="298"/>
      <c r="C24" s="298"/>
      <c r="D24" s="298"/>
      <c r="E24" s="298"/>
      <c r="F24" s="298"/>
      <c r="G24" s="7"/>
      <c r="H24" s="9"/>
    </row>
    <row r="25" spans="1:8" s="4" customFormat="1" ht="14.25" customHeight="1" x14ac:dyDescent="0.25">
      <c r="A25" s="18" t="s">
        <v>342</v>
      </c>
      <c r="B25" s="299">
        <f>SUM(B26:B29)</f>
        <v>6141</v>
      </c>
      <c r="C25" s="299">
        <f>SUM(C26:C29)</f>
        <v>5820</v>
      </c>
      <c r="D25" s="299">
        <f>SUM(D26:D29)</f>
        <v>5800</v>
      </c>
      <c r="E25" s="299">
        <f>SUM(E26:E29)</f>
        <v>5800</v>
      </c>
      <c r="F25" s="299">
        <f>SUM(F26:F29)</f>
        <v>5800</v>
      </c>
      <c r="G25" s="7"/>
      <c r="H25" s="9"/>
    </row>
    <row r="26" spans="1:8" s="4" customFormat="1" ht="14.25" customHeight="1" x14ac:dyDescent="0.25">
      <c r="A26" s="199" t="s">
        <v>603</v>
      </c>
      <c r="B26" s="300">
        <v>0</v>
      </c>
      <c r="C26" s="300">
        <v>150</v>
      </c>
      <c r="D26" s="300">
        <v>150</v>
      </c>
      <c r="E26" s="300">
        <v>150</v>
      </c>
      <c r="F26" s="300">
        <v>150</v>
      </c>
      <c r="G26" s="7"/>
      <c r="H26" s="9"/>
    </row>
    <row r="27" spans="1:8" s="4" customFormat="1" ht="25.5" customHeight="1" x14ac:dyDescent="0.25">
      <c r="A27" s="202" t="s">
        <v>827</v>
      </c>
      <c r="B27" s="300">
        <v>141</v>
      </c>
      <c r="C27" s="300">
        <f>170+11-11</f>
        <v>170</v>
      </c>
      <c r="D27" s="300">
        <v>150</v>
      </c>
      <c r="E27" s="300">
        <v>150</v>
      </c>
      <c r="F27" s="300">
        <v>150</v>
      </c>
      <c r="G27" s="7"/>
      <c r="H27" s="9"/>
    </row>
    <row r="28" spans="1:8" s="4" customFormat="1" ht="14.25" customHeight="1" thickBot="1" x14ac:dyDescent="0.3">
      <c r="A28" s="199" t="s">
        <v>828</v>
      </c>
      <c r="B28" s="300">
        <v>6000</v>
      </c>
      <c r="C28" s="300">
        <f>2500+1500</f>
        <v>4000</v>
      </c>
      <c r="D28" s="300">
        <f>2500+1500</f>
        <v>4000</v>
      </c>
      <c r="E28" s="300">
        <f>2500+1500</f>
        <v>4000</v>
      </c>
      <c r="F28" s="300">
        <f>2500+1500</f>
        <v>4000</v>
      </c>
      <c r="G28" s="7"/>
      <c r="H28" s="9"/>
    </row>
    <row r="29" spans="1:8" s="4" customFormat="1" ht="14.25" hidden="1" customHeight="1" thickBot="1" x14ac:dyDescent="0.3">
      <c r="A29" s="199"/>
      <c r="B29" s="300">
        <v>0</v>
      </c>
      <c r="C29" s="300">
        <v>1500</v>
      </c>
      <c r="D29" s="300">
        <v>1500</v>
      </c>
      <c r="E29" s="300">
        <v>1500</v>
      </c>
      <c r="F29" s="300">
        <v>1500</v>
      </c>
      <c r="G29" s="7"/>
      <c r="H29" s="9"/>
    </row>
    <row r="30" spans="1:8" s="4" customFormat="1" ht="18.75" customHeight="1" thickBot="1" x14ac:dyDescent="0.3">
      <c r="A30" s="26" t="s">
        <v>727</v>
      </c>
      <c r="B30" s="236">
        <f>SUM(B31:B33)</f>
        <v>1600</v>
      </c>
      <c r="C30" s="236">
        <f>SUM(C31:C33)</f>
        <v>2800</v>
      </c>
      <c r="D30" s="236">
        <f>SUM(D31:D33)</f>
        <v>1800</v>
      </c>
      <c r="E30" s="236">
        <f>SUM(E31:E33)</f>
        <v>1800</v>
      </c>
      <c r="F30" s="236">
        <f>SUM(F31:F33)</f>
        <v>1800</v>
      </c>
      <c r="G30" s="7"/>
      <c r="H30" s="9"/>
    </row>
    <row r="31" spans="1:8" s="4" customFormat="1" ht="14.25" customHeight="1" x14ac:dyDescent="0.25">
      <c r="A31" s="18" t="s">
        <v>377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7"/>
      <c r="H31" s="9"/>
    </row>
    <row r="32" spans="1:8" s="4" customFormat="1" ht="14.25" customHeight="1" x14ac:dyDescent="0.25">
      <c r="A32" s="18" t="s">
        <v>837</v>
      </c>
      <c r="B32" s="5">
        <v>0</v>
      </c>
      <c r="C32" s="5">
        <v>500</v>
      </c>
      <c r="D32" s="5">
        <v>500</v>
      </c>
      <c r="E32" s="5">
        <v>500</v>
      </c>
      <c r="F32" s="5">
        <v>500</v>
      </c>
      <c r="G32" s="7"/>
      <c r="H32" s="9"/>
    </row>
    <row r="33" spans="1:10" x14ac:dyDescent="0.2">
      <c r="A33" s="8" t="s">
        <v>463</v>
      </c>
      <c r="B33" s="5">
        <f>SUM(B34)+B35</f>
        <v>1600</v>
      </c>
      <c r="C33" s="5">
        <f>SUM(C34)+C35</f>
        <v>2300</v>
      </c>
      <c r="D33" s="5">
        <f t="shared" ref="D33:F33" si="0">SUM(D34)+D35</f>
        <v>1300</v>
      </c>
      <c r="E33" s="5">
        <f t="shared" si="0"/>
        <v>1300</v>
      </c>
      <c r="F33" s="5">
        <f t="shared" si="0"/>
        <v>1300</v>
      </c>
      <c r="G33" s="7"/>
      <c r="H33" s="18" t="s">
        <v>393</v>
      </c>
    </row>
    <row r="34" spans="1:10" ht="13.5" customHeight="1" x14ac:dyDescent="0.2">
      <c r="A34" s="19" t="s">
        <v>472</v>
      </c>
      <c r="B34" s="12">
        <v>0</v>
      </c>
      <c r="C34" s="12">
        <v>1000</v>
      </c>
      <c r="D34" s="12">
        <v>0</v>
      </c>
      <c r="E34" s="12">
        <v>0</v>
      </c>
      <c r="F34" s="12">
        <v>0</v>
      </c>
      <c r="G34" s="7"/>
      <c r="H34" s="9"/>
    </row>
    <row r="35" spans="1:10" ht="12.75" customHeight="1" thickBot="1" x14ac:dyDescent="0.25">
      <c r="A35" s="19" t="s">
        <v>826</v>
      </c>
      <c r="B35" s="12">
        <v>1600</v>
      </c>
      <c r="C35" s="12">
        <v>1300</v>
      </c>
      <c r="D35" s="12">
        <v>1300</v>
      </c>
      <c r="E35" s="12">
        <v>1300</v>
      </c>
      <c r="F35" s="12">
        <v>1300</v>
      </c>
      <c r="G35" s="7"/>
      <c r="H35" s="9" t="s">
        <v>665</v>
      </c>
      <c r="J35" t="s">
        <v>829</v>
      </c>
    </row>
    <row r="36" spans="1:10" ht="12.75" hidden="1" customHeight="1" x14ac:dyDescent="0.2">
      <c r="A36" s="8"/>
      <c r="B36" s="12"/>
      <c r="C36" s="12"/>
      <c r="D36" s="12"/>
      <c r="E36" s="12"/>
      <c r="F36" s="12"/>
      <c r="G36" s="7"/>
      <c r="H36" s="9"/>
    </row>
    <row r="37" spans="1:10" ht="12.75" hidden="1" customHeight="1" x14ac:dyDescent="0.2">
      <c r="A37" s="8"/>
      <c r="B37" s="12"/>
      <c r="C37" s="12"/>
      <c r="D37" s="12"/>
      <c r="E37" s="12"/>
      <c r="F37" s="12"/>
      <c r="G37" s="7"/>
      <c r="H37" s="9"/>
    </row>
    <row r="38" spans="1:10" ht="12.75" hidden="1" customHeight="1" x14ac:dyDescent="0.2">
      <c r="A38" s="8"/>
      <c r="B38" s="12"/>
      <c r="C38" s="12"/>
      <c r="D38" s="12"/>
      <c r="E38" s="12"/>
      <c r="F38" s="12"/>
      <c r="G38" s="7"/>
      <c r="H38" s="9"/>
    </row>
    <row r="39" spans="1:10" ht="13.5" hidden="1" customHeight="1" thickBot="1" x14ac:dyDescent="0.25">
      <c r="A39" s="8"/>
      <c r="B39" s="12"/>
      <c r="C39" s="12"/>
      <c r="D39" s="12"/>
      <c r="E39" s="12"/>
      <c r="F39" s="12"/>
      <c r="G39" s="7"/>
      <c r="H39" s="9"/>
    </row>
    <row r="40" spans="1:10" ht="19.5" hidden="1" customHeight="1" thickBot="1" x14ac:dyDescent="0.25">
      <c r="A40" s="237"/>
      <c r="B40" s="367"/>
      <c r="C40" s="367"/>
      <c r="D40" s="367"/>
      <c r="E40" s="367"/>
      <c r="F40" s="367"/>
      <c r="G40" s="7"/>
      <c r="H40" s="35"/>
    </row>
    <row r="41" spans="1:10" ht="12.75" hidden="1" customHeight="1" x14ac:dyDescent="0.2">
      <c r="A41" s="19"/>
      <c r="B41" s="12"/>
      <c r="C41" s="12"/>
      <c r="D41" s="12"/>
      <c r="E41" s="12"/>
      <c r="F41" s="12"/>
      <c r="G41" s="7"/>
      <c r="H41" s="419"/>
    </row>
    <row r="42" spans="1:10" ht="12.75" hidden="1" customHeight="1" thickBot="1" x14ac:dyDescent="0.25">
      <c r="A42" s="19"/>
      <c r="B42" s="12"/>
      <c r="C42" s="12"/>
      <c r="D42" s="12"/>
      <c r="E42" s="12"/>
      <c r="F42" s="12"/>
      <c r="G42" s="7"/>
      <c r="H42" s="35"/>
    </row>
    <row r="43" spans="1:10" ht="12.75" hidden="1" customHeight="1" x14ac:dyDescent="0.2">
      <c r="A43" s="19"/>
      <c r="B43" s="12"/>
      <c r="C43" s="12"/>
      <c r="D43" s="12"/>
      <c r="E43" s="12"/>
      <c r="F43" s="12"/>
      <c r="G43" s="7"/>
      <c r="H43" s="35"/>
    </row>
    <row r="44" spans="1:10" ht="13.5" hidden="1" customHeight="1" thickBot="1" x14ac:dyDescent="0.25">
      <c r="A44" s="19"/>
      <c r="B44" s="31"/>
      <c r="C44" s="31"/>
      <c r="D44" s="31"/>
      <c r="E44" s="31"/>
      <c r="F44" s="31"/>
      <c r="G44" s="7"/>
      <c r="H44" s="9"/>
    </row>
    <row r="45" spans="1:10" ht="18.75" customHeight="1" thickBot="1" x14ac:dyDescent="0.3">
      <c r="A45" s="39" t="s">
        <v>731</v>
      </c>
      <c r="B45" s="236">
        <f>SUM(B10+B30+B40)</f>
        <v>9515</v>
      </c>
      <c r="C45" s="236">
        <f>SUM(C10+C30+C40)</f>
        <v>10677</v>
      </c>
      <c r="D45" s="236">
        <f>SUM(D10+D30+D40)</f>
        <v>10100</v>
      </c>
      <c r="E45" s="236">
        <f>SUM(E10+E30+E40)</f>
        <v>10100</v>
      </c>
      <c r="F45" s="236">
        <f>SUM(F10+F30+F40)</f>
        <v>10100</v>
      </c>
      <c r="G45" s="7"/>
      <c r="H45" s="9"/>
    </row>
    <row r="46" spans="1:10" x14ac:dyDescent="0.2">
      <c r="A46" s="1"/>
      <c r="B46" s="1"/>
      <c r="C46" s="1"/>
      <c r="D46" s="1"/>
      <c r="E46" s="1"/>
      <c r="F46" s="1"/>
      <c r="G46" s="7"/>
      <c r="H46" s="9"/>
    </row>
    <row r="47" spans="1:10" x14ac:dyDescent="0.2">
      <c r="A47" s="1"/>
      <c r="B47" s="1"/>
      <c r="C47" s="1"/>
      <c r="D47" s="1"/>
      <c r="E47" s="1"/>
      <c r="F47" s="1"/>
      <c r="G47" s="7"/>
      <c r="H47" s="9"/>
    </row>
    <row r="48" spans="1:10" ht="15.75" x14ac:dyDescent="0.25">
      <c r="A48" s="187" t="s">
        <v>81</v>
      </c>
      <c r="B48" s="363"/>
      <c r="C48" s="363"/>
      <c r="D48" s="363"/>
      <c r="E48" s="363"/>
      <c r="F48" s="363"/>
      <c r="G48" s="7"/>
    </row>
    <row r="49" spans="1:9" x14ac:dyDescent="0.2">
      <c r="A49" s="62" t="s">
        <v>82</v>
      </c>
      <c r="B49" s="60"/>
      <c r="C49" s="60"/>
      <c r="D49" s="60"/>
      <c r="E49" s="60"/>
      <c r="F49" s="60"/>
      <c r="G49" s="7"/>
    </row>
    <row r="50" spans="1:9" x14ac:dyDescent="0.2">
      <c r="A50" s="62" t="s">
        <v>83</v>
      </c>
      <c r="B50" s="60"/>
      <c r="C50" s="60"/>
      <c r="D50" s="60"/>
      <c r="E50" s="60"/>
      <c r="F50" s="60"/>
      <c r="G50" s="7"/>
    </row>
    <row r="51" spans="1:9" x14ac:dyDescent="0.2">
      <c r="A51" s="62" t="s">
        <v>524</v>
      </c>
      <c r="B51" s="58">
        <f>B52+B53+B54+B55+B56</f>
        <v>0</v>
      </c>
      <c r="C51" s="58">
        <f>C52+C53+C54+C55+C56</f>
        <v>0</v>
      </c>
      <c r="D51" s="58">
        <f>D52+D53+D54+D55+D56</f>
        <v>0</v>
      </c>
      <c r="E51" s="58">
        <f>E52+E53+E54+E55+E56</f>
        <v>0</v>
      </c>
      <c r="F51" s="58">
        <f>F52+F53+F54+F55+F56</f>
        <v>0</v>
      </c>
      <c r="G51" s="7"/>
      <c r="I51" t="s">
        <v>618</v>
      </c>
    </row>
    <row r="52" spans="1:9" x14ac:dyDescent="0.2">
      <c r="A52" s="62" t="s">
        <v>525</v>
      </c>
      <c r="B52" s="58"/>
      <c r="C52" s="58"/>
      <c r="D52" s="58"/>
      <c r="E52" s="58"/>
      <c r="F52" s="58"/>
      <c r="G52" s="7"/>
    </row>
    <row r="53" spans="1:9" x14ac:dyDescent="0.2">
      <c r="A53" s="62" t="s">
        <v>526</v>
      </c>
      <c r="B53" s="60"/>
      <c r="C53" s="60"/>
      <c r="D53" s="60"/>
      <c r="E53" s="60"/>
      <c r="F53" s="60"/>
      <c r="G53" s="7"/>
    </row>
    <row r="54" spans="1:9" x14ac:dyDescent="0.2">
      <c r="A54" s="62" t="s">
        <v>527</v>
      </c>
      <c r="B54" s="58"/>
      <c r="C54" s="58"/>
      <c r="D54" s="58"/>
      <c r="E54" s="58"/>
      <c r="F54" s="58"/>
      <c r="G54" s="7"/>
    </row>
    <row r="55" spans="1:9" x14ac:dyDescent="0.2">
      <c r="A55" s="60" t="s">
        <v>528</v>
      </c>
      <c r="B55" s="60"/>
      <c r="C55" s="60"/>
      <c r="D55" s="60"/>
      <c r="E55" s="60"/>
      <c r="F55" s="60"/>
      <c r="G55" s="7"/>
    </row>
    <row r="56" spans="1:9" x14ac:dyDescent="0.2">
      <c r="A56" s="60" t="s">
        <v>529</v>
      </c>
      <c r="B56" s="60"/>
      <c r="C56" s="60"/>
      <c r="D56" s="60"/>
      <c r="E56" s="60"/>
      <c r="F56" s="60"/>
      <c r="G56" s="7"/>
    </row>
    <row r="57" spans="1:9" ht="25.5" x14ac:dyDescent="0.2">
      <c r="A57" s="364" t="s">
        <v>530</v>
      </c>
      <c r="B57" s="60"/>
      <c r="C57" s="60"/>
      <c r="D57" s="60"/>
      <c r="E57" s="60"/>
      <c r="F57" s="60"/>
      <c r="G57" s="7"/>
    </row>
    <row r="58" spans="1:9" x14ac:dyDescent="0.2">
      <c r="A58" s="60" t="s">
        <v>84</v>
      </c>
      <c r="B58" s="60"/>
      <c r="C58" s="60"/>
      <c r="D58" s="60"/>
      <c r="E58" s="60"/>
      <c r="F58" s="60"/>
      <c r="G58" s="7"/>
    </row>
    <row r="59" spans="1:9" x14ac:dyDescent="0.2">
      <c r="G59" s="7"/>
    </row>
    <row r="60" spans="1:9" x14ac:dyDescent="0.2">
      <c r="G60" s="7"/>
    </row>
    <row r="61" spans="1:9" x14ac:dyDescent="0.2">
      <c r="G61" s="7"/>
    </row>
    <row r="62" spans="1:9" x14ac:dyDescent="0.2">
      <c r="G62" s="7"/>
    </row>
    <row r="63" spans="1:9" x14ac:dyDescent="0.2">
      <c r="G63" s="7"/>
    </row>
    <row r="64" spans="1:9" x14ac:dyDescent="0.2">
      <c r="G64" s="7"/>
    </row>
    <row r="65" spans="7:7" x14ac:dyDescent="0.2">
      <c r="G65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4" spans="7:7" x14ac:dyDescent="0.2">
      <c r="G74" s="7"/>
    </row>
    <row r="75" spans="7:7" x14ac:dyDescent="0.2">
      <c r="G75" s="7"/>
    </row>
    <row r="76" spans="7:7" x14ac:dyDescent="0.2">
      <c r="G76" s="7"/>
    </row>
    <row r="77" spans="7:7" x14ac:dyDescent="0.2">
      <c r="G77" s="2"/>
    </row>
    <row r="78" spans="7:7" x14ac:dyDescent="0.2">
      <c r="G78" s="7"/>
    </row>
    <row r="79" spans="7:7" x14ac:dyDescent="0.2">
      <c r="G79" s="2"/>
    </row>
    <row r="80" spans="7:7" x14ac:dyDescent="0.2">
      <c r="G80" s="2"/>
    </row>
    <row r="81" spans="7:7" x14ac:dyDescent="0.2">
      <c r="G81" s="2"/>
    </row>
    <row r="82" spans="7:7" x14ac:dyDescent="0.2">
      <c r="G82" s="2"/>
    </row>
    <row r="83" spans="7:7" x14ac:dyDescent="0.2">
      <c r="G83" s="2"/>
    </row>
    <row r="84" spans="7:7" x14ac:dyDescent="0.2">
      <c r="G84" s="2"/>
    </row>
    <row r="85" spans="7:7" x14ac:dyDescent="0.2">
      <c r="G85" s="2"/>
    </row>
    <row r="86" spans="7:7" x14ac:dyDescent="0.2">
      <c r="G86" s="2"/>
    </row>
    <row r="87" spans="7:7" x14ac:dyDescent="0.2">
      <c r="G87" s="2"/>
    </row>
    <row r="88" spans="7:7" x14ac:dyDescent="0.2">
      <c r="G88" s="2"/>
    </row>
    <row r="89" spans="7:7" x14ac:dyDescent="0.2">
      <c r="G89" s="2"/>
    </row>
    <row r="90" spans="7:7" x14ac:dyDescent="0.2">
      <c r="G90" s="2"/>
    </row>
    <row r="91" spans="7:7" x14ac:dyDescent="0.2">
      <c r="G91" s="2"/>
    </row>
    <row r="92" spans="7:7" x14ac:dyDescent="0.2">
      <c r="G92" s="2"/>
    </row>
    <row r="93" spans="7:7" x14ac:dyDescent="0.2">
      <c r="G93" s="2"/>
    </row>
    <row r="94" spans="7:7" x14ac:dyDescent="0.2">
      <c r="G94" s="2"/>
    </row>
    <row r="95" spans="7:7" x14ac:dyDescent="0.2">
      <c r="G95" s="2"/>
    </row>
    <row r="96" spans="7:7" x14ac:dyDescent="0.2">
      <c r="G96" s="2"/>
    </row>
    <row r="97" spans="7:7" x14ac:dyDescent="0.2">
      <c r="G97" s="2"/>
    </row>
    <row r="98" spans="7:7" x14ac:dyDescent="0.2">
      <c r="G98" s="2"/>
    </row>
    <row r="99" spans="7:7" x14ac:dyDescent="0.2">
      <c r="G99" s="2"/>
    </row>
    <row r="100" spans="7:7" x14ac:dyDescent="0.2">
      <c r="G100" s="2"/>
    </row>
    <row r="101" spans="7:7" x14ac:dyDescent="0.2">
      <c r="G101" s="2"/>
    </row>
    <row r="102" spans="7:7" x14ac:dyDescent="0.2">
      <c r="G102" s="2"/>
    </row>
    <row r="103" spans="7:7" x14ac:dyDescent="0.2">
      <c r="G103" s="2"/>
    </row>
    <row r="104" spans="7:7" x14ac:dyDescent="0.2">
      <c r="G104" s="2"/>
    </row>
    <row r="105" spans="7:7" x14ac:dyDescent="0.2">
      <c r="G105" s="2"/>
    </row>
    <row r="106" spans="7:7" x14ac:dyDescent="0.2">
      <c r="G106" s="2"/>
    </row>
    <row r="107" spans="7:7" x14ac:dyDescent="0.2">
      <c r="G107" s="2"/>
    </row>
    <row r="108" spans="7:7" x14ac:dyDescent="0.2">
      <c r="G108" s="2"/>
    </row>
    <row r="109" spans="7:7" x14ac:dyDescent="0.2">
      <c r="G109" s="2"/>
    </row>
    <row r="110" spans="7:7" x14ac:dyDescent="0.2">
      <c r="G110" s="2"/>
    </row>
    <row r="111" spans="7:7" x14ac:dyDescent="0.2">
      <c r="G111" s="2"/>
    </row>
    <row r="112" spans="7:7" x14ac:dyDescent="0.2">
      <c r="G112" s="2"/>
    </row>
    <row r="113" spans="7:7" x14ac:dyDescent="0.2">
      <c r="G113" s="2"/>
    </row>
    <row r="114" spans="7:7" x14ac:dyDescent="0.2">
      <c r="G114" s="2"/>
    </row>
    <row r="115" spans="7:7" x14ac:dyDescent="0.2">
      <c r="G115" s="2"/>
    </row>
    <row r="116" spans="7:7" x14ac:dyDescent="0.2">
      <c r="G116" s="2"/>
    </row>
    <row r="117" spans="7:7" x14ac:dyDescent="0.2">
      <c r="G117" s="2"/>
    </row>
    <row r="118" spans="7:7" x14ac:dyDescent="0.2">
      <c r="G118" s="2"/>
    </row>
    <row r="119" spans="7:7" x14ac:dyDescent="0.2">
      <c r="G119" s="2"/>
    </row>
    <row r="120" spans="7:7" x14ac:dyDescent="0.2">
      <c r="G120" s="2"/>
    </row>
    <row r="121" spans="7:7" x14ac:dyDescent="0.2">
      <c r="G121" s="2"/>
    </row>
    <row r="122" spans="7:7" x14ac:dyDescent="0.2">
      <c r="G122" s="2"/>
    </row>
    <row r="123" spans="7:7" x14ac:dyDescent="0.2">
      <c r="G123" s="2"/>
    </row>
    <row r="124" spans="7:7" x14ac:dyDescent="0.2">
      <c r="G124" s="2"/>
    </row>
    <row r="125" spans="7:7" x14ac:dyDescent="0.2">
      <c r="G125" s="2"/>
    </row>
    <row r="126" spans="7:7" x14ac:dyDescent="0.2">
      <c r="G126" s="2"/>
    </row>
    <row r="127" spans="7:7" x14ac:dyDescent="0.2">
      <c r="G127" s="2"/>
    </row>
    <row r="128" spans="7:7" x14ac:dyDescent="0.2">
      <c r="G128" s="2"/>
    </row>
    <row r="129" spans="7:7" x14ac:dyDescent="0.2">
      <c r="G129" s="2"/>
    </row>
    <row r="130" spans="7:7" x14ac:dyDescent="0.2">
      <c r="G130" s="2"/>
    </row>
    <row r="131" spans="7:7" x14ac:dyDescent="0.2">
      <c r="G131" s="2"/>
    </row>
    <row r="132" spans="7:7" x14ac:dyDescent="0.2">
      <c r="G132" s="2"/>
    </row>
    <row r="133" spans="7:7" x14ac:dyDescent="0.2">
      <c r="G133" s="2"/>
    </row>
    <row r="134" spans="7:7" x14ac:dyDescent="0.2">
      <c r="G134" s="2"/>
    </row>
    <row r="135" spans="7:7" x14ac:dyDescent="0.2">
      <c r="G135" s="2"/>
    </row>
    <row r="136" spans="7:7" x14ac:dyDescent="0.2">
      <c r="G136" s="2"/>
    </row>
    <row r="137" spans="7:7" x14ac:dyDescent="0.2">
      <c r="G137" s="2"/>
    </row>
    <row r="138" spans="7:7" x14ac:dyDescent="0.2">
      <c r="G138" s="2"/>
    </row>
    <row r="139" spans="7:7" x14ac:dyDescent="0.2">
      <c r="G139" s="2"/>
    </row>
    <row r="140" spans="7:7" x14ac:dyDescent="0.2">
      <c r="G140" s="2"/>
    </row>
    <row r="141" spans="7:7" x14ac:dyDescent="0.2">
      <c r="G141" s="2"/>
    </row>
    <row r="142" spans="7:7" x14ac:dyDescent="0.2">
      <c r="G142" s="2"/>
    </row>
    <row r="143" spans="7:7" x14ac:dyDescent="0.2">
      <c r="G143" s="2"/>
    </row>
    <row r="144" spans="7:7" x14ac:dyDescent="0.2">
      <c r="G144" s="2"/>
    </row>
    <row r="145" spans="7:7" x14ac:dyDescent="0.2">
      <c r="G145" s="2"/>
    </row>
    <row r="146" spans="7:7" x14ac:dyDescent="0.2">
      <c r="G146" s="2"/>
    </row>
    <row r="147" spans="7:7" x14ac:dyDescent="0.2">
      <c r="G147" s="2"/>
    </row>
    <row r="148" spans="7:7" x14ac:dyDescent="0.2">
      <c r="G148" s="2"/>
    </row>
    <row r="149" spans="7:7" x14ac:dyDescent="0.2">
      <c r="G149" s="2"/>
    </row>
    <row r="150" spans="7:7" x14ac:dyDescent="0.2">
      <c r="G150" s="2"/>
    </row>
    <row r="151" spans="7:7" x14ac:dyDescent="0.2">
      <c r="G151" s="2"/>
    </row>
    <row r="152" spans="7:7" x14ac:dyDescent="0.2">
      <c r="G152" s="2"/>
    </row>
    <row r="153" spans="7:7" x14ac:dyDescent="0.2">
      <c r="G153" s="2"/>
    </row>
    <row r="154" spans="7:7" x14ac:dyDescent="0.2">
      <c r="G154" s="2"/>
    </row>
    <row r="155" spans="7:7" x14ac:dyDescent="0.2">
      <c r="G155" s="2"/>
    </row>
    <row r="156" spans="7:7" x14ac:dyDescent="0.2">
      <c r="G156" s="2"/>
    </row>
    <row r="157" spans="7:7" x14ac:dyDescent="0.2">
      <c r="G157" s="2"/>
    </row>
    <row r="158" spans="7:7" x14ac:dyDescent="0.2">
      <c r="G158" s="2"/>
    </row>
    <row r="159" spans="7:7" x14ac:dyDescent="0.2">
      <c r="G159" s="2"/>
    </row>
    <row r="160" spans="7:7" x14ac:dyDescent="0.2">
      <c r="G160" s="2"/>
    </row>
    <row r="161" spans="7:7" x14ac:dyDescent="0.2">
      <c r="G161" s="2"/>
    </row>
    <row r="162" spans="7:7" x14ac:dyDescent="0.2">
      <c r="G162" s="2"/>
    </row>
    <row r="163" spans="7:7" x14ac:dyDescent="0.2">
      <c r="G163" s="2"/>
    </row>
    <row r="164" spans="7:7" x14ac:dyDescent="0.2">
      <c r="G164" s="2"/>
    </row>
    <row r="165" spans="7:7" x14ac:dyDescent="0.2">
      <c r="G165" s="2"/>
    </row>
    <row r="166" spans="7:7" x14ac:dyDescent="0.2">
      <c r="G166" s="2"/>
    </row>
    <row r="167" spans="7:7" x14ac:dyDescent="0.2">
      <c r="G167" s="2"/>
    </row>
    <row r="168" spans="7:7" x14ac:dyDescent="0.2">
      <c r="G168" s="2"/>
    </row>
    <row r="169" spans="7:7" x14ac:dyDescent="0.2">
      <c r="G169" s="2"/>
    </row>
    <row r="170" spans="7:7" x14ac:dyDescent="0.2">
      <c r="G170" s="2"/>
    </row>
    <row r="171" spans="7:7" x14ac:dyDescent="0.2">
      <c r="G171" s="2"/>
    </row>
    <row r="172" spans="7:7" x14ac:dyDescent="0.2">
      <c r="G172" s="2"/>
    </row>
    <row r="173" spans="7:7" x14ac:dyDescent="0.2">
      <c r="G173" s="2"/>
    </row>
    <row r="174" spans="7:7" x14ac:dyDescent="0.2">
      <c r="G174" s="2"/>
    </row>
    <row r="175" spans="7:7" x14ac:dyDescent="0.2">
      <c r="G175" s="2"/>
    </row>
    <row r="176" spans="7:7" x14ac:dyDescent="0.2">
      <c r="G176" s="2"/>
    </row>
    <row r="177" spans="7:7" x14ac:dyDescent="0.2">
      <c r="G177" s="2"/>
    </row>
    <row r="178" spans="7:7" x14ac:dyDescent="0.2">
      <c r="G178" s="2"/>
    </row>
    <row r="179" spans="7:7" x14ac:dyDescent="0.2">
      <c r="G179" s="2"/>
    </row>
    <row r="180" spans="7:7" x14ac:dyDescent="0.2">
      <c r="G180" s="2"/>
    </row>
    <row r="181" spans="7:7" x14ac:dyDescent="0.2">
      <c r="G181" s="2"/>
    </row>
    <row r="182" spans="7:7" x14ac:dyDescent="0.2">
      <c r="G182" s="2"/>
    </row>
    <row r="183" spans="7:7" x14ac:dyDescent="0.2">
      <c r="G183" s="2"/>
    </row>
    <row r="184" spans="7:7" x14ac:dyDescent="0.2">
      <c r="G184" s="2"/>
    </row>
    <row r="185" spans="7:7" x14ac:dyDescent="0.2">
      <c r="G185" s="2"/>
    </row>
    <row r="186" spans="7:7" x14ac:dyDescent="0.2">
      <c r="G186" s="2"/>
    </row>
    <row r="187" spans="7:7" x14ac:dyDescent="0.2">
      <c r="G187" s="2"/>
    </row>
    <row r="188" spans="7:7" x14ac:dyDescent="0.2">
      <c r="G188" s="2"/>
    </row>
    <row r="189" spans="7:7" x14ac:dyDescent="0.2">
      <c r="G189" s="2"/>
    </row>
    <row r="190" spans="7:7" x14ac:dyDescent="0.2">
      <c r="G190" s="2"/>
    </row>
    <row r="191" spans="7:7" x14ac:dyDescent="0.2">
      <c r="G191" s="2"/>
    </row>
    <row r="192" spans="7:7" x14ac:dyDescent="0.2">
      <c r="G192" s="2"/>
    </row>
    <row r="193" spans="7:7" x14ac:dyDescent="0.2">
      <c r="G193" s="2"/>
    </row>
    <row r="194" spans="7:7" x14ac:dyDescent="0.2">
      <c r="G194" s="2"/>
    </row>
    <row r="195" spans="7:7" x14ac:dyDescent="0.2">
      <c r="G195" s="2"/>
    </row>
    <row r="196" spans="7:7" x14ac:dyDescent="0.2">
      <c r="G196" s="2"/>
    </row>
    <row r="197" spans="7:7" x14ac:dyDescent="0.2">
      <c r="G197" s="2"/>
    </row>
    <row r="198" spans="7:7" x14ac:dyDescent="0.2">
      <c r="G198" s="2"/>
    </row>
    <row r="199" spans="7:7" x14ac:dyDescent="0.2">
      <c r="G199" s="2"/>
    </row>
    <row r="200" spans="7:7" x14ac:dyDescent="0.2">
      <c r="G200" s="2"/>
    </row>
    <row r="201" spans="7:7" x14ac:dyDescent="0.2">
      <c r="G201" s="2"/>
    </row>
    <row r="202" spans="7:7" x14ac:dyDescent="0.2">
      <c r="G202" s="2"/>
    </row>
    <row r="203" spans="7:7" x14ac:dyDescent="0.2">
      <c r="G203" s="2"/>
    </row>
    <row r="204" spans="7:7" x14ac:dyDescent="0.2">
      <c r="G204" s="2"/>
    </row>
    <row r="205" spans="7:7" x14ac:dyDescent="0.2">
      <c r="G205" s="2"/>
    </row>
    <row r="206" spans="7:7" x14ac:dyDescent="0.2">
      <c r="G206" s="2"/>
    </row>
    <row r="207" spans="7:7" x14ac:dyDescent="0.2">
      <c r="G207" s="2"/>
    </row>
    <row r="208" spans="7:7" x14ac:dyDescent="0.2">
      <c r="G208" s="2"/>
    </row>
    <row r="209" spans="7:7" x14ac:dyDescent="0.2">
      <c r="G209" s="2"/>
    </row>
    <row r="210" spans="7:7" x14ac:dyDescent="0.2">
      <c r="G210" s="2"/>
    </row>
    <row r="211" spans="7:7" x14ac:dyDescent="0.2">
      <c r="G211" s="2"/>
    </row>
    <row r="212" spans="7:7" x14ac:dyDescent="0.2">
      <c r="G212" s="2"/>
    </row>
    <row r="213" spans="7:7" x14ac:dyDescent="0.2">
      <c r="G213" s="2"/>
    </row>
    <row r="214" spans="7:7" x14ac:dyDescent="0.2">
      <c r="G214" s="2"/>
    </row>
    <row r="215" spans="7:7" x14ac:dyDescent="0.2">
      <c r="G215" s="2"/>
    </row>
    <row r="216" spans="7:7" x14ac:dyDescent="0.2">
      <c r="G216" s="2"/>
    </row>
    <row r="217" spans="7:7" x14ac:dyDescent="0.2">
      <c r="G217" s="2"/>
    </row>
    <row r="218" spans="7:7" x14ac:dyDescent="0.2">
      <c r="G218" s="2"/>
    </row>
    <row r="219" spans="7:7" x14ac:dyDescent="0.2">
      <c r="G219" s="2"/>
    </row>
    <row r="220" spans="7:7" x14ac:dyDescent="0.2">
      <c r="G220" s="2"/>
    </row>
    <row r="221" spans="7:7" x14ac:dyDescent="0.2">
      <c r="G221" s="2"/>
    </row>
    <row r="222" spans="7:7" x14ac:dyDescent="0.2">
      <c r="G222" s="2"/>
    </row>
    <row r="223" spans="7:7" x14ac:dyDescent="0.2">
      <c r="G223" s="2"/>
    </row>
    <row r="224" spans="7:7" x14ac:dyDescent="0.2">
      <c r="G224" s="2"/>
    </row>
    <row r="225" spans="7:7" x14ac:dyDescent="0.2">
      <c r="G225" s="2"/>
    </row>
    <row r="226" spans="7:7" x14ac:dyDescent="0.2">
      <c r="G226" s="2"/>
    </row>
    <row r="227" spans="7:7" x14ac:dyDescent="0.2">
      <c r="G227" s="2"/>
    </row>
    <row r="228" spans="7:7" x14ac:dyDescent="0.2">
      <c r="G228" s="2"/>
    </row>
    <row r="229" spans="7:7" x14ac:dyDescent="0.2">
      <c r="G229" s="2"/>
    </row>
    <row r="230" spans="7:7" x14ac:dyDescent="0.2">
      <c r="G230" s="2"/>
    </row>
    <row r="231" spans="7:7" x14ac:dyDescent="0.2">
      <c r="G231" s="2"/>
    </row>
    <row r="232" spans="7:7" x14ac:dyDescent="0.2">
      <c r="G232" s="2"/>
    </row>
    <row r="233" spans="7:7" x14ac:dyDescent="0.2">
      <c r="G233" s="2"/>
    </row>
    <row r="234" spans="7:7" x14ac:dyDescent="0.2">
      <c r="G234" s="2"/>
    </row>
    <row r="235" spans="7:7" x14ac:dyDescent="0.2">
      <c r="G235" s="2"/>
    </row>
    <row r="236" spans="7:7" x14ac:dyDescent="0.2">
      <c r="G236" s="2"/>
    </row>
    <row r="237" spans="7:7" x14ac:dyDescent="0.2">
      <c r="G237" s="2"/>
    </row>
    <row r="238" spans="7:7" x14ac:dyDescent="0.2">
      <c r="G238" s="2"/>
    </row>
    <row r="239" spans="7:7" x14ac:dyDescent="0.2">
      <c r="G239" s="2"/>
    </row>
    <row r="240" spans="7:7" x14ac:dyDescent="0.2">
      <c r="G240" s="2"/>
    </row>
    <row r="241" spans="7:7" x14ac:dyDescent="0.2">
      <c r="G241" s="2"/>
    </row>
    <row r="242" spans="7:7" x14ac:dyDescent="0.2">
      <c r="G242" s="2"/>
    </row>
    <row r="243" spans="7:7" x14ac:dyDescent="0.2">
      <c r="G243" s="2"/>
    </row>
    <row r="244" spans="7:7" x14ac:dyDescent="0.2">
      <c r="G244" s="2"/>
    </row>
    <row r="245" spans="7:7" x14ac:dyDescent="0.2">
      <c r="G245" s="2"/>
    </row>
    <row r="246" spans="7:7" x14ac:dyDescent="0.2">
      <c r="G246" s="2"/>
    </row>
    <row r="247" spans="7:7" x14ac:dyDescent="0.2">
      <c r="G247" s="2"/>
    </row>
    <row r="248" spans="7:7" x14ac:dyDescent="0.2">
      <c r="G248" s="2"/>
    </row>
    <row r="249" spans="7:7" x14ac:dyDescent="0.2">
      <c r="G249" s="2"/>
    </row>
    <row r="250" spans="7:7" x14ac:dyDescent="0.2">
      <c r="G250" s="2"/>
    </row>
    <row r="251" spans="7:7" x14ac:dyDescent="0.2">
      <c r="G251" s="2"/>
    </row>
    <row r="252" spans="7:7" x14ac:dyDescent="0.2">
      <c r="G252" s="2"/>
    </row>
    <row r="253" spans="7:7" x14ac:dyDescent="0.2">
      <c r="G253" s="2"/>
    </row>
    <row r="254" spans="7:7" x14ac:dyDescent="0.2">
      <c r="G254" s="2"/>
    </row>
    <row r="255" spans="7:7" x14ac:dyDescent="0.2">
      <c r="G255" s="2"/>
    </row>
    <row r="256" spans="7:7" x14ac:dyDescent="0.2">
      <c r="G256" s="2"/>
    </row>
    <row r="257" spans="7:7" x14ac:dyDescent="0.2">
      <c r="G257" s="2"/>
    </row>
    <row r="258" spans="7:7" x14ac:dyDescent="0.2">
      <c r="G258" s="2"/>
    </row>
    <row r="259" spans="7:7" x14ac:dyDescent="0.2">
      <c r="G259" s="2"/>
    </row>
    <row r="260" spans="7:7" x14ac:dyDescent="0.2">
      <c r="G260" s="2"/>
    </row>
    <row r="261" spans="7:7" x14ac:dyDescent="0.2">
      <c r="G261" s="2"/>
    </row>
    <row r="262" spans="7:7" x14ac:dyDescent="0.2">
      <c r="G262" s="2"/>
    </row>
    <row r="263" spans="7:7" x14ac:dyDescent="0.2">
      <c r="G263" s="2"/>
    </row>
    <row r="264" spans="7:7" x14ac:dyDescent="0.2">
      <c r="G264" s="2"/>
    </row>
    <row r="265" spans="7:7" x14ac:dyDescent="0.2">
      <c r="G265" s="2"/>
    </row>
    <row r="266" spans="7:7" x14ac:dyDescent="0.2">
      <c r="G266" s="2"/>
    </row>
    <row r="267" spans="7:7" x14ac:dyDescent="0.2">
      <c r="G267" s="2"/>
    </row>
    <row r="268" spans="7:7" x14ac:dyDescent="0.2">
      <c r="G268" s="2"/>
    </row>
    <row r="269" spans="7:7" x14ac:dyDescent="0.2">
      <c r="G269" s="2"/>
    </row>
    <row r="270" spans="7:7" x14ac:dyDescent="0.2">
      <c r="G270" s="2"/>
    </row>
    <row r="271" spans="7:7" x14ac:dyDescent="0.2">
      <c r="G271" s="2"/>
    </row>
    <row r="272" spans="7:7" x14ac:dyDescent="0.2">
      <c r="G272" s="2"/>
    </row>
    <row r="273" spans="7:7" x14ac:dyDescent="0.2">
      <c r="G273" s="2"/>
    </row>
    <row r="274" spans="7:7" x14ac:dyDescent="0.2">
      <c r="G274" s="2"/>
    </row>
    <row r="275" spans="7:7" x14ac:dyDescent="0.2">
      <c r="G275" s="2"/>
    </row>
    <row r="276" spans="7:7" x14ac:dyDescent="0.2">
      <c r="G276" s="2"/>
    </row>
    <row r="277" spans="7:7" x14ac:dyDescent="0.2">
      <c r="G277" s="2"/>
    </row>
    <row r="278" spans="7:7" x14ac:dyDescent="0.2">
      <c r="G278" s="2"/>
    </row>
    <row r="279" spans="7:7" x14ac:dyDescent="0.2">
      <c r="G279" s="2"/>
    </row>
    <row r="280" spans="7:7" x14ac:dyDescent="0.2">
      <c r="G280" s="2"/>
    </row>
    <row r="281" spans="7:7" x14ac:dyDescent="0.2">
      <c r="G281" s="2"/>
    </row>
    <row r="282" spans="7:7" x14ac:dyDescent="0.2">
      <c r="G282" s="2"/>
    </row>
    <row r="283" spans="7:7" x14ac:dyDescent="0.2">
      <c r="G283" s="2"/>
    </row>
    <row r="284" spans="7:7" x14ac:dyDescent="0.2">
      <c r="G284" s="2"/>
    </row>
    <row r="285" spans="7:7" x14ac:dyDescent="0.2">
      <c r="G285" s="2"/>
    </row>
    <row r="286" spans="7:7" x14ac:dyDescent="0.2">
      <c r="G286" s="2"/>
    </row>
    <row r="287" spans="7:7" x14ac:dyDescent="0.2">
      <c r="G287" s="2"/>
    </row>
    <row r="288" spans="7:7" x14ac:dyDescent="0.2">
      <c r="G288" s="2"/>
    </row>
    <row r="289" spans="7:7" x14ac:dyDescent="0.2">
      <c r="G289" s="2"/>
    </row>
    <row r="290" spans="7:7" x14ac:dyDescent="0.2">
      <c r="G290" s="2"/>
    </row>
    <row r="291" spans="7:7" x14ac:dyDescent="0.2">
      <c r="G291" s="2"/>
    </row>
    <row r="292" spans="7:7" x14ac:dyDescent="0.2">
      <c r="G292" s="2"/>
    </row>
    <row r="293" spans="7:7" x14ac:dyDescent="0.2">
      <c r="G293" s="2"/>
    </row>
    <row r="294" spans="7:7" x14ac:dyDescent="0.2">
      <c r="G294" s="2"/>
    </row>
    <row r="295" spans="7:7" x14ac:dyDescent="0.2">
      <c r="G295" s="2"/>
    </row>
    <row r="296" spans="7:7" x14ac:dyDescent="0.2">
      <c r="G296" s="2"/>
    </row>
    <row r="297" spans="7:7" x14ac:dyDescent="0.2">
      <c r="G297" s="2"/>
    </row>
    <row r="298" spans="7:7" x14ac:dyDescent="0.2">
      <c r="G298" s="2"/>
    </row>
    <row r="299" spans="7:7" x14ac:dyDescent="0.2">
      <c r="G299" s="2"/>
    </row>
    <row r="300" spans="7:7" x14ac:dyDescent="0.2">
      <c r="G300" s="2"/>
    </row>
    <row r="301" spans="7:7" x14ac:dyDescent="0.2">
      <c r="G301" s="2"/>
    </row>
    <row r="302" spans="7:7" x14ac:dyDescent="0.2">
      <c r="G302" s="2"/>
    </row>
    <row r="303" spans="7:7" x14ac:dyDescent="0.2">
      <c r="G303" s="2"/>
    </row>
    <row r="304" spans="7:7" x14ac:dyDescent="0.2">
      <c r="G304" s="2"/>
    </row>
    <row r="305" spans="7:7" x14ac:dyDescent="0.2">
      <c r="G305" s="2"/>
    </row>
    <row r="306" spans="7:7" x14ac:dyDescent="0.2">
      <c r="G306" s="2"/>
    </row>
    <row r="307" spans="7:7" x14ac:dyDescent="0.2">
      <c r="G307" s="2"/>
    </row>
    <row r="308" spans="7:7" x14ac:dyDescent="0.2">
      <c r="G308" s="2"/>
    </row>
    <row r="309" spans="7:7" x14ac:dyDescent="0.2">
      <c r="G309" s="2"/>
    </row>
    <row r="310" spans="7:7" x14ac:dyDescent="0.2">
      <c r="G310" s="2"/>
    </row>
    <row r="311" spans="7:7" x14ac:dyDescent="0.2">
      <c r="G311" s="2"/>
    </row>
    <row r="312" spans="7:7" x14ac:dyDescent="0.2">
      <c r="G312" s="2"/>
    </row>
    <row r="313" spans="7:7" x14ac:dyDescent="0.2">
      <c r="G313" s="2"/>
    </row>
    <row r="314" spans="7:7" x14ac:dyDescent="0.2">
      <c r="G314" s="2"/>
    </row>
    <row r="315" spans="7:7" x14ac:dyDescent="0.2">
      <c r="G315" s="2"/>
    </row>
    <row r="316" spans="7:7" x14ac:dyDescent="0.2">
      <c r="G316" s="2"/>
    </row>
    <row r="317" spans="7:7" x14ac:dyDescent="0.2">
      <c r="G317" s="2"/>
    </row>
    <row r="318" spans="7:7" x14ac:dyDescent="0.2">
      <c r="G318" s="2"/>
    </row>
    <row r="319" spans="7:7" x14ac:dyDescent="0.2">
      <c r="G319" s="2"/>
    </row>
    <row r="320" spans="7:7" x14ac:dyDescent="0.2">
      <c r="G320" s="2"/>
    </row>
    <row r="321" spans="7:7" x14ac:dyDescent="0.2">
      <c r="G321" s="2"/>
    </row>
    <row r="322" spans="7:7" x14ac:dyDescent="0.2">
      <c r="G322" s="2"/>
    </row>
    <row r="323" spans="7:7" x14ac:dyDescent="0.2">
      <c r="G323" s="2"/>
    </row>
    <row r="324" spans="7:7" x14ac:dyDescent="0.2">
      <c r="G324" s="2"/>
    </row>
    <row r="325" spans="7:7" x14ac:dyDescent="0.2">
      <c r="G325" s="2"/>
    </row>
    <row r="326" spans="7:7" x14ac:dyDescent="0.2">
      <c r="G326" s="2"/>
    </row>
    <row r="327" spans="7:7" x14ac:dyDescent="0.2">
      <c r="G327" s="2"/>
    </row>
    <row r="328" spans="7:7" x14ac:dyDescent="0.2">
      <c r="G328" s="2"/>
    </row>
    <row r="329" spans="7:7" x14ac:dyDescent="0.2">
      <c r="G329" s="2"/>
    </row>
    <row r="330" spans="7:7" x14ac:dyDescent="0.2">
      <c r="G330" s="2"/>
    </row>
    <row r="331" spans="7:7" x14ac:dyDescent="0.2">
      <c r="G331" s="2"/>
    </row>
    <row r="332" spans="7:7" x14ac:dyDescent="0.2">
      <c r="G332" s="2"/>
    </row>
    <row r="333" spans="7:7" x14ac:dyDescent="0.2">
      <c r="G333" s="2"/>
    </row>
    <row r="334" spans="7:7" x14ac:dyDescent="0.2">
      <c r="G334" s="2"/>
    </row>
    <row r="335" spans="7:7" x14ac:dyDescent="0.2">
      <c r="G335" s="2"/>
    </row>
    <row r="336" spans="7:7" x14ac:dyDescent="0.2">
      <c r="G336" s="2"/>
    </row>
    <row r="337" spans="7:7" x14ac:dyDescent="0.2">
      <c r="G337" s="2"/>
    </row>
    <row r="338" spans="7:7" x14ac:dyDescent="0.2">
      <c r="G338" s="2"/>
    </row>
    <row r="339" spans="7:7" x14ac:dyDescent="0.2">
      <c r="G339" s="2"/>
    </row>
    <row r="340" spans="7:7" x14ac:dyDescent="0.2">
      <c r="G340" s="2"/>
    </row>
    <row r="341" spans="7:7" x14ac:dyDescent="0.2">
      <c r="G341" s="2"/>
    </row>
    <row r="342" spans="7:7" x14ac:dyDescent="0.2">
      <c r="G342" s="2"/>
    </row>
    <row r="343" spans="7:7" x14ac:dyDescent="0.2">
      <c r="G343" s="2"/>
    </row>
    <row r="344" spans="7:7" x14ac:dyDescent="0.2">
      <c r="G344" s="2"/>
    </row>
    <row r="345" spans="7:7" x14ac:dyDescent="0.2">
      <c r="G345" s="2"/>
    </row>
    <row r="346" spans="7:7" x14ac:dyDescent="0.2">
      <c r="G346" s="2"/>
    </row>
    <row r="347" spans="7:7" x14ac:dyDescent="0.2">
      <c r="G347" s="2"/>
    </row>
    <row r="348" spans="7:7" x14ac:dyDescent="0.2">
      <c r="G348" s="2"/>
    </row>
    <row r="349" spans="7:7" x14ac:dyDescent="0.2">
      <c r="G349" s="2"/>
    </row>
    <row r="350" spans="7:7" x14ac:dyDescent="0.2">
      <c r="G350" s="2"/>
    </row>
    <row r="351" spans="7:7" x14ac:dyDescent="0.2">
      <c r="G351" s="2"/>
    </row>
    <row r="352" spans="7:7" x14ac:dyDescent="0.2">
      <c r="G352" s="2"/>
    </row>
    <row r="353" spans="7:7" x14ac:dyDescent="0.2">
      <c r="G353" s="2"/>
    </row>
    <row r="354" spans="7:7" x14ac:dyDescent="0.2">
      <c r="G354" s="2"/>
    </row>
    <row r="355" spans="7:7" x14ac:dyDescent="0.2">
      <c r="G355" s="2"/>
    </row>
    <row r="356" spans="7:7" x14ac:dyDescent="0.2">
      <c r="G356" s="2"/>
    </row>
    <row r="357" spans="7:7" x14ac:dyDescent="0.2">
      <c r="G357" s="2"/>
    </row>
    <row r="358" spans="7:7" x14ac:dyDescent="0.2">
      <c r="G358" s="2"/>
    </row>
    <row r="359" spans="7:7" x14ac:dyDescent="0.2">
      <c r="G359" s="2"/>
    </row>
    <row r="360" spans="7:7" x14ac:dyDescent="0.2">
      <c r="G360" s="2"/>
    </row>
    <row r="361" spans="7:7" x14ac:dyDescent="0.2">
      <c r="G361" s="2"/>
    </row>
    <row r="362" spans="7:7" x14ac:dyDescent="0.2">
      <c r="G362" s="2"/>
    </row>
    <row r="363" spans="7:7" x14ac:dyDescent="0.2">
      <c r="G363" s="2"/>
    </row>
    <row r="364" spans="7:7" x14ac:dyDescent="0.2">
      <c r="G364" s="2"/>
    </row>
    <row r="365" spans="7:7" x14ac:dyDescent="0.2">
      <c r="G365" s="2"/>
    </row>
    <row r="366" spans="7:7" x14ac:dyDescent="0.2">
      <c r="G366" s="2"/>
    </row>
    <row r="367" spans="7:7" x14ac:dyDescent="0.2">
      <c r="G367" s="2"/>
    </row>
    <row r="368" spans="7:7" x14ac:dyDescent="0.2">
      <c r="G368" s="2"/>
    </row>
    <row r="369" spans="7:7" x14ac:dyDescent="0.2">
      <c r="G369" s="2"/>
    </row>
    <row r="370" spans="7:7" x14ac:dyDescent="0.2">
      <c r="G370" s="2"/>
    </row>
    <row r="371" spans="7:7" x14ac:dyDescent="0.2">
      <c r="G371" s="2"/>
    </row>
    <row r="372" spans="7:7" x14ac:dyDescent="0.2">
      <c r="G372" s="2"/>
    </row>
    <row r="373" spans="7:7" x14ac:dyDescent="0.2">
      <c r="G373" s="2"/>
    </row>
    <row r="374" spans="7:7" x14ac:dyDescent="0.2">
      <c r="G374" s="2"/>
    </row>
    <row r="375" spans="7:7" x14ac:dyDescent="0.2">
      <c r="G375" s="2"/>
    </row>
    <row r="376" spans="7:7" x14ac:dyDescent="0.2">
      <c r="G376" s="2"/>
    </row>
    <row r="377" spans="7:7" x14ac:dyDescent="0.2">
      <c r="G377" s="2"/>
    </row>
    <row r="378" spans="7:7" x14ac:dyDescent="0.2">
      <c r="G378" s="2"/>
    </row>
    <row r="379" spans="7:7" x14ac:dyDescent="0.2">
      <c r="G379" s="2"/>
    </row>
    <row r="380" spans="7:7" x14ac:dyDescent="0.2">
      <c r="G380" s="2"/>
    </row>
    <row r="381" spans="7:7" x14ac:dyDescent="0.2">
      <c r="G381" s="2"/>
    </row>
    <row r="382" spans="7:7" x14ac:dyDescent="0.2">
      <c r="G382" s="2"/>
    </row>
    <row r="383" spans="7:7" x14ac:dyDescent="0.2">
      <c r="G383" s="2"/>
    </row>
    <row r="384" spans="7:7" x14ac:dyDescent="0.2">
      <c r="G384" s="2"/>
    </row>
    <row r="385" spans="7:7" x14ac:dyDescent="0.2">
      <c r="G385" s="2"/>
    </row>
    <row r="386" spans="7:7" x14ac:dyDescent="0.2">
      <c r="G386" s="2"/>
    </row>
    <row r="387" spans="7:7" x14ac:dyDescent="0.2">
      <c r="G387" s="2"/>
    </row>
    <row r="388" spans="7:7" x14ac:dyDescent="0.2">
      <c r="G388" s="2"/>
    </row>
    <row r="389" spans="7:7" x14ac:dyDescent="0.2">
      <c r="G389" s="2"/>
    </row>
    <row r="390" spans="7:7" x14ac:dyDescent="0.2">
      <c r="G390" s="2"/>
    </row>
    <row r="391" spans="7:7" x14ac:dyDescent="0.2">
      <c r="G391" s="2"/>
    </row>
    <row r="392" spans="7:7" x14ac:dyDescent="0.2">
      <c r="G392" s="2"/>
    </row>
    <row r="393" spans="7:7" x14ac:dyDescent="0.2">
      <c r="G393" s="2"/>
    </row>
    <row r="394" spans="7:7" x14ac:dyDescent="0.2">
      <c r="G394" s="2"/>
    </row>
    <row r="395" spans="7:7" x14ac:dyDescent="0.2">
      <c r="G395" s="2"/>
    </row>
    <row r="396" spans="7:7" x14ac:dyDescent="0.2">
      <c r="G396" s="2"/>
    </row>
    <row r="397" spans="7:7" x14ac:dyDescent="0.2">
      <c r="G397" s="2"/>
    </row>
    <row r="398" spans="7:7" x14ac:dyDescent="0.2">
      <c r="G398" s="2"/>
    </row>
    <row r="399" spans="7:7" x14ac:dyDescent="0.2">
      <c r="G399" s="2"/>
    </row>
    <row r="400" spans="7:7" x14ac:dyDescent="0.2">
      <c r="G400" s="2"/>
    </row>
    <row r="401" spans="7:7" x14ac:dyDescent="0.2">
      <c r="G401" s="2"/>
    </row>
    <row r="402" spans="7:7" x14ac:dyDescent="0.2">
      <c r="G402" s="2"/>
    </row>
    <row r="403" spans="7:7" x14ac:dyDescent="0.2">
      <c r="G403" s="2"/>
    </row>
    <row r="404" spans="7:7" x14ac:dyDescent="0.2">
      <c r="G404" s="2"/>
    </row>
    <row r="405" spans="7:7" x14ac:dyDescent="0.2">
      <c r="G405" s="2"/>
    </row>
    <row r="406" spans="7:7" x14ac:dyDescent="0.2">
      <c r="G406" s="2"/>
    </row>
    <row r="407" spans="7:7" x14ac:dyDescent="0.2">
      <c r="G407" s="2"/>
    </row>
    <row r="408" spans="7:7" x14ac:dyDescent="0.2">
      <c r="G408" s="2"/>
    </row>
    <row r="409" spans="7:7" x14ac:dyDescent="0.2">
      <c r="G409" s="2"/>
    </row>
    <row r="410" spans="7:7" x14ac:dyDescent="0.2">
      <c r="G410" s="2"/>
    </row>
    <row r="411" spans="7:7" x14ac:dyDescent="0.2">
      <c r="G411" s="2"/>
    </row>
    <row r="412" spans="7:7" x14ac:dyDescent="0.2">
      <c r="G412" s="2"/>
    </row>
    <row r="413" spans="7:7" x14ac:dyDescent="0.2">
      <c r="G413" s="2"/>
    </row>
    <row r="414" spans="7:7" x14ac:dyDescent="0.2">
      <c r="G414" s="2"/>
    </row>
    <row r="415" spans="7:7" x14ac:dyDescent="0.2">
      <c r="G415" s="2"/>
    </row>
    <row r="416" spans="7:7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</sheetData>
  <mergeCells count="7">
    <mergeCell ref="A5:F5"/>
    <mergeCell ref="A6:F6"/>
    <mergeCell ref="F12:F22"/>
    <mergeCell ref="B12:B22"/>
    <mergeCell ref="C12:C22"/>
    <mergeCell ref="E12:E22"/>
    <mergeCell ref="D12:D22"/>
  </mergeCells>
  <pageMargins left="0.71" right="0.15748031496062992" top="0.35433070866141736" bottom="0.39370078740157483" header="0.31496062992125984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3"/>
  <sheetViews>
    <sheetView zoomScale="80" zoomScaleNormal="80" workbookViewId="0">
      <selection activeCell="A20" sqref="A20:XFD20"/>
    </sheetView>
  </sheetViews>
  <sheetFormatPr defaultRowHeight="12.95" customHeight="1" x14ac:dyDescent="0.2"/>
  <cols>
    <col min="1" max="1" width="24.28515625" style="73" customWidth="1"/>
    <col min="2" max="2" width="10" style="84" customWidth="1"/>
    <col min="3" max="3" width="12" style="84" customWidth="1"/>
    <col min="4" max="4" width="10.7109375" style="84" customWidth="1"/>
    <col min="5" max="5" width="10.42578125" style="84" customWidth="1"/>
    <col min="6" max="6" width="11.7109375" style="84" customWidth="1"/>
    <col min="7" max="7" width="10.42578125" style="84" customWidth="1"/>
    <col min="8" max="8" width="10.140625" style="142" customWidth="1"/>
    <col min="9" max="9" width="11.28515625" style="84" bestFit="1" customWidth="1"/>
    <col min="10" max="10" width="11.42578125" style="84" customWidth="1"/>
    <col min="11" max="12" width="12.28515625" style="84" customWidth="1"/>
    <col min="13" max="13" width="14" style="84" customWidth="1"/>
    <col min="14" max="16384" width="9.140625" style="73"/>
  </cols>
  <sheetData>
    <row r="1" spans="1:25" ht="15" customHeight="1" x14ac:dyDescent="0.2">
      <c r="A1" s="456" t="s">
        <v>486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25" ht="15" customHeight="1" x14ac:dyDescent="0.2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190" t="str">
        <f>'1.Bev-kiad.'!C2</f>
        <v>a 2/2025.(III.6.) önkormányzati rendelethez</v>
      </c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15" customHeight="1" x14ac:dyDescent="0.2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190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5" ht="15" customHeight="1" x14ac:dyDescent="0.2">
      <c r="A4" s="347"/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190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ht="15" customHeight="1" x14ac:dyDescent="0.2">
      <c r="A5" s="449" t="s">
        <v>841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5" ht="15" customHeight="1" x14ac:dyDescent="0.2">
      <c r="A6" s="79"/>
      <c r="B6" s="80"/>
      <c r="C6" s="80"/>
      <c r="D6" s="80"/>
      <c r="E6" s="81"/>
      <c r="F6" s="81"/>
      <c r="G6" s="81"/>
      <c r="H6" s="81"/>
      <c r="I6" s="82"/>
      <c r="J6" s="82"/>
      <c r="K6" s="83"/>
      <c r="L6" s="83"/>
      <c r="M6" s="83"/>
      <c r="N6" s="84"/>
    </row>
    <row r="7" spans="1:25" ht="12" customHeight="1" x14ac:dyDescent="0.2">
      <c r="A7" s="85"/>
      <c r="B7" s="83"/>
      <c r="C7" s="83"/>
      <c r="D7" s="83"/>
      <c r="E7" s="83"/>
      <c r="F7" s="83"/>
      <c r="G7" s="83"/>
      <c r="H7" s="141"/>
      <c r="I7" s="83"/>
      <c r="J7" s="83"/>
      <c r="K7" s="83"/>
      <c r="L7" s="83"/>
      <c r="M7" s="190" t="s">
        <v>0</v>
      </c>
      <c r="N7" s="84"/>
    </row>
    <row r="8" spans="1:25" ht="18" customHeight="1" x14ac:dyDescent="0.2">
      <c r="A8" s="455" t="s">
        <v>39</v>
      </c>
      <c r="B8" s="457" t="s">
        <v>842</v>
      </c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9"/>
    </row>
    <row r="9" spans="1:25" ht="16.5" customHeight="1" x14ac:dyDescent="0.2">
      <c r="A9" s="455"/>
      <c r="B9" s="455" t="s">
        <v>45</v>
      </c>
      <c r="C9" s="455"/>
      <c r="D9" s="455"/>
      <c r="E9" s="455"/>
      <c r="F9" s="455"/>
      <c r="G9" s="455"/>
      <c r="H9" s="455"/>
      <c r="I9" s="455" t="s">
        <v>332</v>
      </c>
      <c r="J9" s="455"/>
      <c r="K9" s="455"/>
      <c r="L9" s="455"/>
      <c r="M9" s="460" t="s">
        <v>46</v>
      </c>
    </row>
    <row r="10" spans="1:25" ht="51" customHeight="1" x14ac:dyDescent="0.2">
      <c r="A10" s="455"/>
      <c r="B10" s="455" t="s">
        <v>333</v>
      </c>
      <c r="C10" s="455" t="s">
        <v>334</v>
      </c>
      <c r="D10" s="455"/>
      <c r="E10" s="455" t="s">
        <v>335</v>
      </c>
      <c r="F10" s="455" t="s">
        <v>336</v>
      </c>
      <c r="G10" s="455" t="s">
        <v>636</v>
      </c>
      <c r="H10" s="455" t="s">
        <v>6</v>
      </c>
      <c r="I10" s="455" t="s">
        <v>380</v>
      </c>
      <c r="J10" s="455" t="s">
        <v>376</v>
      </c>
      <c r="K10" s="455" t="s">
        <v>633</v>
      </c>
      <c r="L10" s="455" t="s">
        <v>11</v>
      </c>
      <c r="M10" s="460"/>
    </row>
    <row r="11" spans="1:25" ht="36" customHeight="1" x14ac:dyDescent="0.2">
      <c r="A11" s="455"/>
      <c r="B11" s="455"/>
      <c r="C11" s="71" t="s">
        <v>47</v>
      </c>
      <c r="D11" s="71" t="s">
        <v>48</v>
      </c>
      <c r="E11" s="455"/>
      <c r="F11" s="455"/>
      <c r="G11" s="455"/>
      <c r="H11" s="455"/>
      <c r="I11" s="455"/>
      <c r="J11" s="455"/>
      <c r="K11" s="455"/>
      <c r="L11" s="455"/>
      <c r="M11" s="460"/>
    </row>
    <row r="12" spans="1:25" ht="19.5" customHeight="1" x14ac:dyDescent="0.2">
      <c r="A12" s="139" t="s">
        <v>720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7"/>
    </row>
    <row r="13" spans="1:25" ht="19.5" customHeight="1" x14ac:dyDescent="0.2">
      <c r="A13" s="21" t="s">
        <v>452</v>
      </c>
      <c r="B13" s="86">
        <f>SUM('1.Bev-kiad.'!C30)</f>
        <v>10425</v>
      </c>
      <c r="C13" s="86">
        <f>SUM('2.működés'!C9)</f>
        <v>36175</v>
      </c>
      <c r="D13" s="86"/>
      <c r="E13" s="86">
        <f>SUM('1.Bev-kiad.'!C23)</f>
        <v>33000</v>
      </c>
      <c r="F13" s="86">
        <f>SUM('1.Bev-kiad.'!C47)</f>
        <v>0</v>
      </c>
      <c r="G13" s="86">
        <f>SUM('2.működés'!C97)+'2.működés'!C98</f>
        <v>11995</v>
      </c>
      <c r="H13" s="87">
        <f>SUM(B13:G13)</f>
        <v>91595</v>
      </c>
      <c r="I13" s="86">
        <f>SUM('3.felh'!C39)</f>
        <v>0</v>
      </c>
      <c r="J13" s="87"/>
      <c r="K13" s="87"/>
      <c r="L13" s="87">
        <f>SUM(I13:K13)</f>
        <v>0</v>
      </c>
      <c r="M13" s="87">
        <f>SUM(L13,H13)</f>
        <v>91595</v>
      </c>
    </row>
    <row r="14" spans="1:25" ht="25.5" hidden="1" x14ac:dyDescent="0.2">
      <c r="A14" s="307" t="s">
        <v>770</v>
      </c>
      <c r="B14" s="86">
        <f>SUM('1.Bev-kiad.'!D30)</f>
        <v>9306</v>
      </c>
      <c r="C14" s="86">
        <f>SUM('2.működés'!D9)</f>
        <v>35581</v>
      </c>
      <c r="D14" s="86"/>
      <c r="E14" s="86">
        <f>SUM('1.Bev-kiad.'!D23)</f>
        <v>35200</v>
      </c>
      <c r="F14" s="86">
        <f>SUM('1.Bev-kiad.'!D47)</f>
        <v>0</v>
      </c>
      <c r="G14" s="86">
        <f>SUM('2.működés'!D97)+'2.működés'!D98</f>
        <v>11995</v>
      </c>
      <c r="H14" s="87">
        <f>SUM(B14:G14)</f>
        <v>92082</v>
      </c>
      <c r="I14" s="86">
        <f>SUM('3.felh'!D39)</f>
        <v>19512</v>
      </c>
      <c r="J14" s="87"/>
      <c r="K14" s="87"/>
      <c r="L14" s="87">
        <f>SUM(I14:K14)</f>
        <v>19512</v>
      </c>
      <c r="M14" s="87">
        <f>SUM(L14,H14)</f>
        <v>111594</v>
      </c>
    </row>
    <row r="15" spans="1:25" ht="25.5" hidden="1" x14ac:dyDescent="0.2">
      <c r="A15" s="307" t="s">
        <v>598</v>
      </c>
      <c r="B15" s="86">
        <f>SUM('1.Bev-kiad.'!E30)</f>
        <v>7105</v>
      </c>
      <c r="C15" s="86">
        <f>SUM('2.működés'!E9)</f>
        <v>35581</v>
      </c>
      <c r="D15" s="86"/>
      <c r="E15" s="86">
        <f>SUM('1.Bev-kiad.'!E23)</f>
        <v>35000</v>
      </c>
      <c r="F15" s="86">
        <f>SUM('1.Bev-kiad.'!E47)</f>
        <v>0</v>
      </c>
      <c r="G15" s="86">
        <f>SUM('2.működés'!E97)+'2.működés'!E98</f>
        <v>11995</v>
      </c>
      <c r="H15" s="87">
        <f>SUM(B15:G15)</f>
        <v>89681</v>
      </c>
      <c r="I15" s="86">
        <f>SUM('3.felh'!E39)</f>
        <v>13524</v>
      </c>
      <c r="J15" s="87"/>
      <c r="K15" s="87"/>
      <c r="L15" s="87">
        <f>SUM(I15:K15)</f>
        <v>13524</v>
      </c>
      <c r="M15" s="87">
        <f>SUM(L15,H15)</f>
        <v>103205</v>
      </c>
    </row>
    <row r="16" spans="1:25" ht="25.5" hidden="1" x14ac:dyDescent="0.2">
      <c r="A16" s="307" t="s">
        <v>520</v>
      </c>
      <c r="B16" s="86">
        <f>SUM('1.Bev-kiad.'!F30)</f>
        <v>7105</v>
      </c>
      <c r="C16" s="86">
        <f>SUM('2.működés'!F9)</f>
        <v>35581</v>
      </c>
      <c r="D16" s="86"/>
      <c r="E16" s="86">
        <f>SUM('1.Bev-kiad.'!F23)</f>
        <v>35000</v>
      </c>
      <c r="F16" s="86">
        <f>SUM('1.Bev-kiad.'!F47)</f>
        <v>0</v>
      </c>
      <c r="G16" s="86">
        <f>SUM('2.működés'!F97)+'2.működés'!F98</f>
        <v>11995</v>
      </c>
      <c r="H16" s="87">
        <f>SUM(B16:G16)</f>
        <v>89681</v>
      </c>
      <c r="I16" s="86">
        <f>SUM('3.felh'!F39)</f>
        <v>13524</v>
      </c>
      <c r="J16" s="87"/>
      <c r="K16" s="87"/>
      <c r="L16" s="87">
        <f>SUM(I16:K16)</f>
        <v>13524</v>
      </c>
      <c r="M16" s="87">
        <f>SUM(L16,H16)</f>
        <v>103205</v>
      </c>
    </row>
    <row r="17" spans="1:13" ht="25.5" hidden="1" x14ac:dyDescent="0.2">
      <c r="A17" s="307" t="s">
        <v>521</v>
      </c>
      <c r="B17" s="86">
        <f>SUM('1.Bev-kiad.'!G30)</f>
        <v>7105</v>
      </c>
      <c r="C17" s="86">
        <f>SUM('2.működés'!G9)</f>
        <v>35581</v>
      </c>
      <c r="D17" s="86"/>
      <c r="E17" s="86">
        <f>SUM('1.Bev-kiad.'!G23)</f>
        <v>35000</v>
      </c>
      <c r="F17" s="86">
        <f>SUM('1.Bev-kiad.'!G47)</f>
        <v>0</v>
      </c>
      <c r="G17" s="86">
        <f>SUM('2.működés'!G97)+'2.működés'!G98</f>
        <v>11995</v>
      </c>
      <c r="H17" s="87">
        <f>SUM(B17:G17)</f>
        <v>89681</v>
      </c>
      <c r="I17" s="86">
        <f>SUM('3.felh'!G39)</f>
        <v>13524</v>
      </c>
      <c r="J17" s="87"/>
      <c r="K17" s="87"/>
      <c r="L17" s="87">
        <f>SUM(I17:K17)</f>
        <v>13524</v>
      </c>
      <c r="M17" s="87">
        <f>SUM(L17,H17)</f>
        <v>103205</v>
      </c>
    </row>
    <row r="18" spans="1:13" ht="19.5" customHeight="1" thickBot="1" x14ac:dyDescent="0.25">
      <c r="A18" s="21" t="s">
        <v>453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</row>
    <row r="19" spans="1:13" ht="30" customHeight="1" thickBot="1" x14ac:dyDescent="0.25">
      <c r="A19" s="137" t="s">
        <v>454</v>
      </c>
      <c r="B19" s="138">
        <f t="shared" ref="B19:M19" si="0">B13</f>
        <v>10425</v>
      </c>
      <c r="C19" s="138">
        <f t="shared" si="0"/>
        <v>36175</v>
      </c>
      <c r="D19" s="138">
        <f t="shared" si="0"/>
        <v>0</v>
      </c>
      <c r="E19" s="138">
        <f t="shared" si="0"/>
        <v>33000</v>
      </c>
      <c r="F19" s="138">
        <f t="shared" si="0"/>
        <v>0</v>
      </c>
      <c r="G19" s="138">
        <f t="shared" si="0"/>
        <v>11995</v>
      </c>
      <c r="H19" s="138">
        <f t="shared" si="0"/>
        <v>91595</v>
      </c>
      <c r="I19" s="138">
        <f t="shared" si="0"/>
        <v>0</v>
      </c>
      <c r="J19" s="138">
        <f t="shared" si="0"/>
        <v>0</v>
      </c>
      <c r="K19" s="138">
        <f t="shared" si="0"/>
        <v>0</v>
      </c>
      <c r="L19" s="138">
        <f t="shared" si="0"/>
        <v>0</v>
      </c>
      <c r="M19" s="138">
        <f t="shared" si="0"/>
        <v>91595</v>
      </c>
    </row>
    <row r="20" spans="1:13" ht="48" hidden="1" thickBot="1" x14ac:dyDescent="0.25">
      <c r="A20" s="137" t="s">
        <v>771</v>
      </c>
      <c r="B20" s="138">
        <f t="shared" ref="B20:M20" si="1">B14</f>
        <v>9306</v>
      </c>
      <c r="C20" s="138">
        <f t="shared" si="1"/>
        <v>35581</v>
      </c>
      <c r="D20" s="138">
        <f t="shared" si="1"/>
        <v>0</v>
      </c>
      <c r="E20" s="138">
        <f t="shared" si="1"/>
        <v>35200</v>
      </c>
      <c r="F20" s="138">
        <f t="shared" si="1"/>
        <v>0</v>
      </c>
      <c r="G20" s="138">
        <f t="shared" si="1"/>
        <v>11995</v>
      </c>
      <c r="H20" s="138">
        <f t="shared" si="1"/>
        <v>92082</v>
      </c>
      <c r="I20" s="138">
        <f t="shared" si="1"/>
        <v>19512</v>
      </c>
      <c r="J20" s="138">
        <f t="shared" si="1"/>
        <v>0</v>
      </c>
      <c r="K20" s="138">
        <f t="shared" si="1"/>
        <v>0</v>
      </c>
      <c r="L20" s="138">
        <f t="shared" si="1"/>
        <v>19512</v>
      </c>
      <c r="M20" s="138">
        <f t="shared" si="1"/>
        <v>111594</v>
      </c>
    </row>
    <row r="21" spans="1:13" ht="48" hidden="1" thickBot="1" x14ac:dyDescent="0.25">
      <c r="A21" s="137" t="s">
        <v>599</v>
      </c>
      <c r="B21" s="138">
        <f t="shared" ref="B21:M21" si="2">B15</f>
        <v>7105</v>
      </c>
      <c r="C21" s="138">
        <f t="shared" si="2"/>
        <v>35581</v>
      </c>
      <c r="D21" s="138">
        <f t="shared" si="2"/>
        <v>0</v>
      </c>
      <c r="E21" s="138">
        <f t="shared" si="2"/>
        <v>35000</v>
      </c>
      <c r="F21" s="138">
        <f t="shared" si="2"/>
        <v>0</v>
      </c>
      <c r="G21" s="138">
        <f t="shared" si="2"/>
        <v>11995</v>
      </c>
      <c r="H21" s="138">
        <f t="shared" si="2"/>
        <v>89681</v>
      </c>
      <c r="I21" s="138">
        <f t="shared" si="2"/>
        <v>13524</v>
      </c>
      <c r="J21" s="138">
        <f t="shared" si="2"/>
        <v>0</v>
      </c>
      <c r="K21" s="138">
        <f t="shared" si="2"/>
        <v>0</v>
      </c>
      <c r="L21" s="138">
        <f t="shared" si="2"/>
        <v>13524</v>
      </c>
      <c r="M21" s="138">
        <f t="shared" si="2"/>
        <v>103205</v>
      </c>
    </row>
    <row r="22" spans="1:13" ht="48" hidden="1" thickBot="1" x14ac:dyDescent="0.25">
      <c r="A22" s="137" t="s">
        <v>522</v>
      </c>
      <c r="B22" s="138">
        <f t="shared" ref="B22:M22" si="3">B16</f>
        <v>7105</v>
      </c>
      <c r="C22" s="138">
        <f t="shared" si="3"/>
        <v>35581</v>
      </c>
      <c r="D22" s="138">
        <f t="shared" si="3"/>
        <v>0</v>
      </c>
      <c r="E22" s="138">
        <f t="shared" si="3"/>
        <v>35000</v>
      </c>
      <c r="F22" s="138">
        <f t="shared" si="3"/>
        <v>0</v>
      </c>
      <c r="G22" s="138">
        <f t="shared" si="3"/>
        <v>11995</v>
      </c>
      <c r="H22" s="138">
        <f t="shared" si="3"/>
        <v>89681</v>
      </c>
      <c r="I22" s="138">
        <f t="shared" si="3"/>
        <v>13524</v>
      </c>
      <c r="J22" s="138">
        <f t="shared" si="3"/>
        <v>0</v>
      </c>
      <c r="K22" s="138">
        <f t="shared" si="3"/>
        <v>0</v>
      </c>
      <c r="L22" s="138">
        <f t="shared" si="3"/>
        <v>13524</v>
      </c>
      <c r="M22" s="138">
        <f t="shared" si="3"/>
        <v>103205</v>
      </c>
    </row>
    <row r="23" spans="1:13" ht="48" hidden="1" thickBot="1" x14ac:dyDescent="0.25">
      <c r="A23" s="137" t="s">
        <v>523</v>
      </c>
      <c r="B23" s="138">
        <f>B17</f>
        <v>7105</v>
      </c>
      <c r="C23" s="138">
        <f t="shared" ref="C23:M23" si="4">C17</f>
        <v>35581</v>
      </c>
      <c r="D23" s="138">
        <f t="shared" si="4"/>
        <v>0</v>
      </c>
      <c r="E23" s="138">
        <f t="shared" si="4"/>
        <v>35000</v>
      </c>
      <c r="F23" s="138">
        <f t="shared" si="4"/>
        <v>0</v>
      </c>
      <c r="G23" s="138">
        <f t="shared" si="4"/>
        <v>11995</v>
      </c>
      <c r="H23" s="138">
        <f t="shared" si="4"/>
        <v>89681</v>
      </c>
      <c r="I23" s="138">
        <f t="shared" si="4"/>
        <v>13524</v>
      </c>
      <c r="J23" s="138">
        <f t="shared" si="4"/>
        <v>0</v>
      </c>
      <c r="K23" s="138">
        <f t="shared" si="4"/>
        <v>0</v>
      </c>
      <c r="L23" s="138">
        <f t="shared" si="4"/>
        <v>13524</v>
      </c>
      <c r="M23" s="138">
        <f t="shared" si="4"/>
        <v>103205</v>
      </c>
    </row>
  </sheetData>
  <mergeCells count="17">
    <mergeCell ref="G10:G11"/>
    <mergeCell ref="H10:H11"/>
    <mergeCell ref="I10:I11"/>
    <mergeCell ref="A1:M1"/>
    <mergeCell ref="A5:M5"/>
    <mergeCell ref="A8:A11"/>
    <mergeCell ref="B8:M8"/>
    <mergeCell ref="B9:H9"/>
    <mergeCell ref="I9:L9"/>
    <mergeCell ref="M9:M11"/>
    <mergeCell ref="B10:B11"/>
    <mergeCell ref="C10:D10"/>
    <mergeCell ref="J10:J11"/>
    <mergeCell ref="K10:K11"/>
    <mergeCell ref="L10:L11"/>
    <mergeCell ref="E10:E11"/>
    <mergeCell ref="F10:F11"/>
  </mergeCells>
  <printOptions horizontalCentered="1"/>
  <pageMargins left="0.15748031496062992" right="0.15748031496062992" top="0.35433070866141736" bottom="0.15748031496062992" header="0.15748031496062992" footer="0.11811023622047245"/>
  <pageSetup paperSize="9" scale="90" orientation="landscape" horizontalDpi="4294967292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3"/>
  <sheetViews>
    <sheetView zoomScale="90" zoomScaleNormal="90" workbookViewId="0">
      <selection activeCell="G49" sqref="G49"/>
    </sheetView>
  </sheetViews>
  <sheetFormatPr defaultRowHeight="12.75" x14ac:dyDescent="0.2"/>
  <cols>
    <col min="1" max="1" width="24.28515625" style="75" customWidth="1"/>
    <col min="2" max="2" width="9.85546875" style="69" bestFit="1" customWidth="1"/>
    <col min="3" max="3" width="9.42578125" style="69" customWidth="1"/>
    <col min="4" max="4" width="9.85546875" style="69" bestFit="1" customWidth="1"/>
    <col min="5" max="5" width="9.28515625" style="69" bestFit="1" customWidth="1"/>
    <col min="6" max="6" width="10.42578125" style="69" customWidth="1"/>
    <col min="7" max="8" width="10.28515625" style="69" customWidth="1"/>
    <col min="9" max="9" width="9.85546875" style="69" customWidth="1"/>
    <col min="10" max="10" width="10" style="69" customWidth="1"/>
    <col min="11" max="12" width="9.28515625" style="69" bestFit="1" customWidth="1"/>
    <col min="13" max="13" width="11.5703125" style="69" customWidth="1"/>
    <col min="14" max="14" width="12.140625" style="69" customWidth="1"/>
    <col min="15" max="15" width="7.85546875" style="65" hidden="1" customWidth="1"/>
    <col min="16" max="16" width="8.28515625" style="65" customWidth="1"/>
    <col min="17" max="16384" width="9.140625" style="65"/>
  </cols>
  <sheetData>
    <row r="1" spans="1:19" ht="15" customHeight="1" x14ac:dyDescent="0.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63" t="s">
        <v>487</v>
      </c>
      <c r="O1" s="63"/>
      <c r="P1" s="64"/>
      <c r="Q1" s="64"/>
      <c r="R1" s="64"/>
      <c r="S1" s="64"/>
    </row>
    <row r="2" spans="1:19" ht="1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375" t="str">
        <f>'1.Bev-kiad.'!C2</f>
        <v>a 2/2025.(III.6.) önkormányzati rendelethez</v>
      </c>
      <c r="O2" s="63"/>
      <c r="P2" s="64"/>
      <c r="Q2" s="64"/>
      <c r="R2" s="64"/>
      <c r="S2" s="64"/>
    </row>
    <row r="3" spans="1:19" ht="1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375"/>
      <c r="O3" s="63"/>
      <c r="P3" s="64"/>
      <c r="Q3" s="64"/>
      <c r="R3" s="64"/>
      <c r="S3" s="64"/>
    </row>
    <row r="4" spans="1:19" ht="1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90"/>
      <c r="O4" s="63"/>
      <c r="P4" s="64"/>
      <c r="Q4" s="64"/>
      <c r="R4" s="64"/>
      <c r="S4" s="64"/>
    </row>
    <row r="5" spans="1:19" ht="38.25" customHeight="1" x14ac:dyDescent="0.2">
      <c r="A5" s="461" t="s">
        <v>843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66"/>
      <c r="P5" s="64"/>
      <c r="Q5" s="64"/>
      <c r="R5" s="64"/>
      <c r="S5" s="64"/>
    </row>
    <row r="6" spans="1:19" ht="15" customHeight="1" x14ac:dyDescent="0.2">
      <c r="A6" s="66"/>
      <c r="B6" s="122"/>
      <c r="C6" s="123"/>
      <c r="D6" s="124"/>
      <c r="E6" s="124"/>
      <c r="F6" s="67"/>
      <c r="G6" s="67"/>
      <c r="H6" s="67"/>
      <c r="I6" s="67"/>
      <c r="J6" s="67"/>
      <c r="K6" s="67"/>
      <c r="L6" s="67"/>
      <c r="M6" s="67"/>
      <c r="N6" s="67"/>
      <c r="O6" s="68"/>
      <c r="Q6" s="69"/>
    </row>
    <row r="7" spans="1:19" ht="15" customHeight="1" thickBot="1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191" t="s">
        <v>0</v>
      </c>
      <c r="O7" s="70"/>
    </row>
    <row r="8" spans="1:19" ht="18" customHeight="1" x14ac:dyDescent="0.2">
      <c r="A8" s="455" t="s">
        <v>85</v>
      </c>
      <c r="B8" s="463" t="s">
        <v>842</v>
      </c>
      <c r="C8" s="463"/>
      <c r="D8" s="463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4" t="s">
        <v>29</v>
      </c>
      <c r="P8" s="473" t="s">
        <v>89</v>
      </c>
    </row>
    <row r="9" spans="1:19" ht="23.25" customHeight="1" x14ac:dyDescent="0.2">
      <c r="A9" s="455"/>
      <c r="B9" s="468" t="s">
        <v>30</v>
      </c>
      <c r="C9" s="469"/>
      <c r="D9" s="469"/>
      <c r="E9" s="469"/>
      <c r="F9" s="469"/>
      <c r="G9" s="469"/>
      <c r="H9" s="470"/>
      <c r="I9" s="467" t="s">
        <v>31</v>
      </c>
      <c r="J9" s="471" t="s">
        <v>32</v>
      </c>
      <c r="K9" s="471"/>
      <c r="L9" s="471"/>
      <c r="M9" s="471"/>
      <c r="N9" s="472" t="s">
        <v>331</v>
      </c>
      <c r="O9" s="465"/>
      <c r="P9" s="474"/>
    </row>
    <row r="10" spans="1:19" ht="62.25" customHeight="1" x14ac:dyDescent="0.2">
      <c r="A10" s="455"/>
      <c r="B10" s="477" t="s">
        <v>33</v>
      </c>
      <c r="C10" s="477" t="s">
        <v>86</v>
      </c>
      <c r="D10" s="477" t="s">
        <v>34</v>
      </c>
      <c r="E10" s="477" t="s">
        <v>394</v>
      </c>
      <c r="F10" s="468" t="s">
        <v>35</v>
      </c>
      <c r="G10" s="470"/>
      <c r="H10" s="477" t="s">
        <v>385</v>
      </c>
      <c r="I10" s="467"/>
      <c r="J10" s="477" t="s">
        <v>36</v>
      </c>
      <c r="K10" s="477" t="s">
        <v>37</v>
      </c>
      <c r="L10" s="477" t="s">
        <v>38</v>
      </c>
      <c r="M10" s="476" t="s">
        <v>12</v>
      </c>
      <c r="N10" s="472"/>
      <c r="O10" s="465"/>
      <c r="P10" s="474"/>
    </row>
    <row r="11" spans="1:19" ht="30.75" customHeight="1" thickBot="1" x14ac:dyDescent="0.25">
      <c r="A11" s="455"/>
      <c r="B11" s="478"/>
      <c r="C11" s="478"/>
      <c r="D11" s="478"/>
      <c r="E11" s="478"/>
      <c r="F11" s="193" t="s">
        <v>330</v>
      </c>
      <c r="G11" s="193" t="s">
        <v>329</v>
      </c>
      <c r="H11" s="478"/>
      <c r="I11" s="467"/>
      <c r="J11" s="478"/>
      <c r="K11" s="478"/>
      <c r="L11" s="478"/>
      <c r="M11" s="476"/>
      <c r="N11" s="472"/>
      <c r="O11" s="466"/>
      <c r="P11" s="475"/>
    </row>
    <row r="12" spans="1:19" ht="19.5" customHeight="1" x14ac:dyDescent="0.2">
      <c r="A12" s="21" t="s">
        <v>452</v>
      </c>
      <c r="B12" s="135">
        <f>SUM('2.működés'!C103)</f>
        <v>36308</v>
      </c>
      <c r="C12" s="135">
        <f>SUM('2.működés'!C104)</f>
        <v>4536</v>
      </c>
      <c r="D12" s="135">
        <f>SUM('2.működés'!C105)</f>
        <v>37734</v>
      </c>
      <c r="E12" s="135">
        <f>SUM('2.működés'!C106)</f>
        <v>1500</v>
      </c>
      <c r="F12" s="135">
        <f>'4. Átadott p.eszk.'!B10+'4. Átadott p.eszk.'!B33+'2.működés'!C110</f>
        <v>9600</v>
      </c>
      <c r="G12" s="135">
        <f>SUM('2.működés'!C109)</f>
        <v>0</v>
      </c>
      <c r="H12" s="135">
        <f>SUM('2.működés'!C114)</f>
        <v>933</v>
      </c>
      <c r="I12" s="194">
        <f t="shared" ref="I12:I21" si="0">SUM(B12:H12)</f>
        <v>90611</v>
      </c>
      <c r="J12" s="135">
        <f>SUM('3.felh'!C41)</f>
        <v>984</v>
      </c>
      <c r="K12" s="135">
        <f>SUM('3.felh'!C55)</f>
        <v>0</v>
      </c>
      <c r="L12" s="135">
        <f>SUM('3.felh'!C63)</f>
        <v>0</v>
      </c>
      <c r="M12" s="194">
        <f t="shared" ref="M12:M21" si="1">SUM(J12:L12)</f>
        <v>984</v>
      </c>
      <c r="N12" s="194">
        <f t="shared" ref="N12:N21" si="2">SUM(I12+M12)</f>
        <v>91595</v>
      </c>
      <c r="O12" s="132"/>
      <c r="P12" s="265">
        <v>4</v>
      </c>
    </row>
    <row r="13" spans="1:19" ht="25.5" hidden="1" x14ac:dyDescent="0.2">
      <c r="A13" s="307" t="str">
        <f>'5.Bev.össz.'!A14</f>
        <v>Kötelező (módosított 2024.09.havi)</v>
      </c>
      <c r="B13" s="135">
        <f>SUM('2.működés'!D103)</f>
        <v>0</v>
      </c>
      <c r="C13" s="135">
        <f>SUM('2.működés'!D104)</f>
        <v>0</v>
      </c>
      <c r="D13" s="135">
        <f>SUM('2.működés'!D105)</f>
        <v>0</v>
      </c>
      <c r="E13" s="135">
        <f>SUM('2.működés'!D106)</f>
        <v>0</v>
      </c>
      <c r="F13" s="135">
        <f>'4. Átadott p.eszk.'!C10+'4. Átadott p.eszk.'!C33+'2.működés'!D110</f>
        <v>10677</v>
      </c>
      <c r="G13" s="135">
        <f>SUM('2.működés'!D109)</f>
        <v>0</v>
      </c>
      <c r="H13" s="135">
        <f>SUM('2.működés'!D114)</f>
        <v>933</v>
      </c>
      <c r="I13" s="194">
        <f t="shared" si="0"/>
        <v>11610</v>
      </c>
      <c r="J13" s="135">
        <f>SUM('3.felh'!D41)</f>
        <v>9372</v>
      </c>
      <c r="K13" s="135">
        <f>SUM('3.felh'!D55)</f>
        <v>2271</v>
      </c>
      <c r="L13" s="135">
        <f>SUM('3.felh'!D63)</f>
        <v>13524</v>
      </c>
      <c r="M13" s="194">
        <f t="shared" si="1"/>
        <v>25167</v>
      </c>
      <c r="N13" s="194">
        <f t="shared" si="2"/>
        <v>36777</v>
      </c>
      <c r="O13" s="132"/>
      <c r="P13" s="265">
        <v>5</v>
      </c>
    </row>
    <row r="14" spans="1:19" ht="25.5" hidden="1" x14ac:dyDescent="0.2">
      <c r="A14" s="307" t="str">
        <f>'5.Bev.össz.'!A15</f>
        <v>Kötelező (módosított 2022..havi)</v>
      </c>
      <c r="B14" s="135">
        <f>SUM('2.működés'!E103)</f>
        <v>0</v>
      </c>
      <c r="C14" s="135">
        <f>SUM('2.működés'!E104)</f>
        <v>0</v>
      </c>
      <c r="D14" s="135">
        <f>SUM('2.működés'!E105)</f>
        <v>0</v>
      </c>
      <c r="E14" s="135">
        <f>SUM('2.működés'!E106)</f>
        <v>0</v>
      </c>
      <c r="F14" s="135">
        <f>'4. Átadott p.eszk.'!D10+'4. Átadott p.eszk.'!D40+'4. Átadott p.eszk.'!D34+'4. Átadott p.eszk.'!D35</f>
        <v>9600</v>
      </c>
      <c r="G14" s="135">
        <f>SUM('2.működés'!E110)</f>
        <v>500</v>
      </c>
      <c r="H14" s="135">
        <f>SUM('2.működés'!E114)</f>
        <v>933</v>
      </c>
      <c r="I14" s="194">
        <f>SUM(B14:H14)</f>
        <v>11033</v>
      </c>
      <c r="J14" s="135">
        <f>SUM('3.felh'!E41)</f>
        <v>3623</v>
      </c>
      <c r="K14" s="135">
        <f>SUM('3.felh'!E55)</f>
        <v>0</v>
      </c>
      <c r="L14" s="135">
        <f>SUM('3.felh'!E63)</f>
        <v>13526</v>
      </c>
      <c r="M14" s="194">
        <f>SUM(J14:L14)</f>
        <v>17149</v>
      </c>
      <c r="N14" s="194">
        <f>SUM(I14+M14)</f>
        <v>28182</v>
      </c>
      <c r="O14" s="132"/>
      <c r="P14" s="265">
        <v>4</v>
      </c>
    </row>
    <row r="15" spans="1:19" ht="25.5" hidden="1" x14ac:dyDescent="0.2">
      <c r="A15" s="307" t="str">
        <f>'5.Bev.össz.'!A16</f>
        <v>Kötelező (módosított 2021.12.31.)</v>
      </c>
      <c r="B15" s="135">
        <f>SUM('2.működés'!F103)</f>
        <v>0</v>
      </c>
      <c r="C15" s="135">
        <f>SUM('2.működés'!F104)</f>
        <v>0</v>
      </c>
      <c r="D15" s="135">
        <f>SUM('2.működés'!F105)</f>
        <v>0</v>
      </c>
      <c r="E15" s="135">
        <f>SUM('2.működés'!F106)</f>
        <v>0</v>
      </c>
      <c r="F15" s="135">
        <f>'4. Átadott p.eszk.'!E10+'4. Átadott p.eszk.'!E40+'4. Átadott p.eszk.'!E34</f>
        <v>8300</v>
      </c>
      <c r="G15" s="135">
        <f>SUM('2.működés'!F110)</f>
        <v>500</v>
      </c>
      <c r="H15" s="135">
        <f>SUM('2.működés'!F114)</f>
        <v>933</v>
      </c>
      <c r="I15" s="194">
        <f>SUM(B15:H15)</f>
        <v>9733</v>
      </c>
      <c r="J15" s="135">
        <f>SUM('3.felh'!F41)</f>
        <v>3623</v>
      </c>
      <c r="K15" s="135">
        <f>SUM('3.felh'!F55)</f>
        <v>0</v>
      </c>
      <c r="L15" s="135">
        <f>SUM('3.felh'!F63)</f>
        <v>13527</v>
      </c>
      <c r="M15" s="194">
        <f>SUM(J15:L15)</f>
        <v>17150</v>
      </c>
      <c r="N15" s="194">
        <f>SUM(I15+M15)</f>
        <v>26883</v>
      </c>
      <c r="O15" s="132"/>
      <c r="P15" s="265">
        <v>4</v>
      </c>
    </row>
    <row r="16" spans="1:19" ht="25.5" hidden="1" x14ac:dyDescent="0.2">
      <c r="A16" s="307" t="str">
        <f>'5.Bev.össz.'!A17</f>
        <v>Kötelező (teljesítés 2021.12.31.)</v>
      </c>
      <c r="B16" s="135">
        <f>SUM('2.működés'!G103)</f>
        <v>0</v>
      </c>
      <c r="C16" s="135">
        <f>SUM('2.működés'!G104)</f>
        <v>0</v>
      </c>
      <c r="D16" s="135">
        <f>SUM('2.működés'!G105)</f>
        <v>0</v>
      </c>
      <c r="E16" s="135">
        <f>SUM('2.működés'!G106)</f>
        <v>0</v>
      </c>
      <c r="F16" s="135">
        <f>'4. Átadott p.eszk.'!F10+'4. Átadott p.eszk.'!F40+'4. Átadott p.eszk.'!F34</f>
        <v>8300</v>
      </c>
      <c r="G16" s="135">
        <f>SUM('2.működés'!G110)</f>
        <v>500</v>
      </c>
      <c r="H16" s="135">
        <f>SUM('2.működés'!G114)</f>
        <v>933</v>
      </c>
      <c r="I16" s="194">
        <f t="shared" si="0"/>
        <v>9733</v>
      </c>
      <c r="J16" s="135">
        <f>SUM('3.felh'!G41)</f>
        <v>3623</v>
      </c>
      <c r="K16" s="135">
        <f>SUM('3.felh'!G55)</f>
        <v>0</v>
      </c>
      <c r="L16" s="135">
        <f>SUM('3.felh'!G63)</f>
        <v>13528</v>
      </c>
      <c r="M16" s="194">
        <f t="shared" si="1"/>
        <v>17151</v>
      </c>
      <c r="N16" s="194">
        <f t="shared" si="2"/>
        <v>26884</v>
      </c>
      <c r="O16" s="132"/>
      <c r="P16" s="265">
        <v>4</v>
      </c>
    </row>
    <row r="17" spans="1:16" s="64" customFormat="1" ht="19.5" customHeight="1" x14ac:dyDescent="0.2">
      <c r="A17" s="21" t="s">
        <v>721</v>
      </c>
      <c r="B17" s="257"/>
      <c r="C17" s="257"/>
      <c r="D17" s="257"/>
      <c r="E17" s="257"/>
      <c r="F17" s="72">
        <f>'4. Átadott p.eszk.'!B32</f>
        <v>0</v>
      </c>
      <c r="G17" s="257"/>
      <c r="H17" s="257"/>
      <c r="I17" s="194">
        <f t="shared" si="0"/>
        <v>0</v>
      </c>
      <c r="J17" s="257"/>
      <c r="K17" s="257"/>
      <c r="L17" s="257"/>
      <c r="M17" s="195">
        <f t="shared" si="1"/>
        <v>0</v>
      </c>
      <c r="N17" s="194">
        <f t="shared" si="2"/>
        <v>0</v>
      </c>
      <c r="O17" s="258"/>
      <c r="P17" s="259"/>
    </row>
    <row r="18" spans="1:16" ht="25.5" hidden="1" x14ac:dyDescent="0.2">
      <c r="A18" s="307" t="s">
        <v>772</v>
      </c>
      <c r="B18" s="74"/>
      <c r="C18" s="74"/>
      <c r="D18" s="74"/>
      <c r="E18" s="74"/>
      <c r="F18" s="72">
        <f>'4. Átadott p.eszk.'!C32</f>
        <v>500</v>
      </c>
      <c r="G18" s="257"/>
      <c r="H18" s="257"/>
      <c r="I18" s="194">
        <f t="shared" si="0"/>
        <v>500</v>
      </c>
      <c r="J18" s="257"/>
      <c r="K18" s="257"/>
      <c r="L18" s="257"/>
      <c r="M18" s="195">
        <f t="shared" si="1"/>
        <v>0</v>
      </c>
      <c r="N18" s="194">
        <f t="shared" si="2"/>
        <v>500</v>
      </c>
      <c r="O18" s="132"/>
      <c r="P18" s="143"/>
    </row>
    <row r="19" spans="1:16" ht="25.5" hidden="1" x14ac:dyDescent="0.2">
      <c r="A19" s="307" t="s">
        <v>773</v>
      </c>
      <c r="B19" s="74"/>
      <c r="C19" s="74"/>
      <c r="D19" s="74"/>
      <c r="E19" s="74"/>
      <c r="F19" s="72">
        <f>'4. Átadott p.eszk.'!D32</f>
        <v>500</v>
      </c>
      <c r="G19" s="257"/>
      <c r="H19" s="257"/>
      <c r="I19" s="194">
        <f>SUM(B19:H19)</f>
        <v>500</v>
      </c>
      <c r="J19" s="257"/>
      <c r="K19" s="257"/>
      <c r="L19" s="257"/>
      <c r="M19" s="195">
        <f>SUM(J19:L19)</f>
        <v>0</v>
      </c>
      <c r="N19" s="194">
        <f>SUM(I19+M19)</f>
        <v>500</v>
      </c>
      <c r="O19" s="132"/>
      <c r="P19" s="143"/>
    </row>
    <row r="20" spans="1:16" ht="25.5" hidden="1" x14ac:dyDescent="0.2">
      <c r="A20" s="307" t="s">
        <v>774</v>
      </c>
      <c r="B20" s="74"/>
      <c r="C20" s="74"/>
      <c r="D20" s="74"/>
      <c r="E20" s="74"/>
      <c r="F20" s="72">
        <f>'4. Átadott p.eszk.'!E32</f>
        <v>500</v>
      </c>
      <c r="G20" s="257"/>
      <c r="H20" s="257"/>
      <c r="I20" s="194">
        <f>SUM(B20:H20)</f>
        <v>500</v>
      </c>
      <c r="J20" s="257"/>
      <c r="K20" s="257"/>
      <c r="L20" s="257"/>
      <c r="M20" s="195">
        <f>SUM(J20:L20)</f>
        <v>0</v>
      </c>
      <c r="N20" s="194">
        <f>SUM(I20+M20)</f>
        <v>500</v>
      </c>
      <c r="O20" s="132"/>
      <c r="P20" s="143"/>
    </row>
    <row r="21" spans="1:16" ht="25.5" hidden="1" x14ac:dyDescent="0.2">
      <c r="A21" s="307" t="s">
        <v>775</v>
      </c>
      <c r="B21" s="74"/>
      <c r="C21" s="74"/>
      <c r="D21" s="74"/>
      <c r="E21" s="74"/>
      <c r="F21" s="72">
        <f>'4. Átadott p.eszk.'!F32</f>
        <v>500</v>
      </c>
      <c r="G21" s="257"/>
      <c r="H21" s="257"/>
      <c r="I21" s="194">
        <f t="shared" si="0"/>
        <v>500</v>
      </c>
      <c r="J21" s="257"/>
      <c r="K21" s="257"/>
      <c r="L21" s="257"/>
      <c r="M21" s="195">
        <f t="shared" si="1"/>
        <v>0</v>
      </c>
      <c r="N21" s="194">
        <f t="shared" si="2"/>
        <v>500</v>
      </c>
      <c r="O21" s="132"/>
      <c r="P21" s="143"/>
    </row>
    <row r="22" spans="1:16" ht="19.5" customHeight="1" thickBot="1" x14ac:dyDescent="0.25">
      <c r="A22" s="140" t="s">
        <v>455</v>
      </c>
      <c r="B22" s="74"/>
      <c r="C22" s="74"/>
      <c r="D22" s="74"/>
      <c r="E22" s="74"/>
      <c r="F22" s="74"/>
      <c r="G22" s="74"/>
      <c r="H22" s="74"/>
      <c r="I22" s="196"/>
      <c r="J22" s="74"/>
      <c r="K22" s="74"/>
      <c r="L22" s="74"/>
      <c r="M22" s="196"/>
      <c r="N22" s="196"/>
      <c r="O22" s="132"/>
      <c r="P22" s="143"/>
    </row>
    <row r="23" spans="1:16" s="73" customFormat="1" ht="30" customHeight="1" thickBot="1" x14ac:dyDescent="0.25">
      <c r="A23" s="133" t="s">
        <v>454</v>
      </c>
      <c r="B23" s="134">
        <f t="shared" ref="B23:N23" si="3">B12+B17</f>
        <v>36308</v>
      </c>
      <c r="C23" s="134">
        <f t="shared" si="3"/>
        <v>4536</v>
      </c>
      <c r="D23" s="134">
        <f t="shared" si="3"/>
        <v>37734</v>
      </c>
      <c r="E23" s="134">
        <f t="shared" si="3"/>
        <v>1500</v>
      </c>
      <c r="F23" s="134">
        <f t="shared" si="3"/>
        <v>9600</v>
      </c>
      <c r="G23" s="134">
        <f t="shared" si="3"/>
        <v>0</v>
      </c>
      <c r="H23" s="134">
        <f t="shared" si="3"/>
        <v>933</v>
      </c>
      <c r="I23" s="197">
        <f t="shared" si="3"/>
        <v>90611</v>
      </c>
      <c r="J23" s="134">
        <f t="shared" si="3"/>
        <v>984</v>
      </c>
      <c r="K23" s="134">
        <f t="shared" si="3"/>
        <v>0</v>
      </c>
      <c r="L23" s="134">
        <f t="shared" si="3"/>
        <v>0</v>
      </c>
      <c r="M23" s="197">
        <f t="shared" si="3"/>
        <v>984</v>
      </c>
      <c r="N23" s="197">
        <f t="shared" si="3"/>
        <v>91595</v>
      </c>
      <c r="O23" s="134">
        <f>SUM(O16:O22)</f>
        <v>0</v>
      </c>
      <c r="P23" s="134">
        <f>P12</f>
        <v>4</v>
      </c>
    </row>
    <row r="24" spans="1:16" s="73" customFormat="1" ht="48" hidden="1" thickBot="1" x14ac:dyDescent="0.25">
      <c r="A24" s="133" t="s">
        <v>771</v>
      </c>
      <c r="B24" s="134">
        <f t="shared" ref="B24:N24" si="4">B13+B18</f>
        <v>0</v>
      </c>
      <c r="C24" s="134">
        <f t="shared" si="4"/>
        <v>0</v>
      </c>
      <c r="D24" s="134">
        <f t="shared" si="4"/>
        <v>0</v>
      </c>
      <c r="E24" s="134">
        <f t="shared" si="4"/>
        <v>0</v>
      </c>
      <c r="F24" s="134">
        <f t="shared" si="4"/>
        <v>11177</v>
      </c>
      <c r="G24" s="134">
        <f t="shared" si="4"/>
        <v>0</v>
      </c>
      <c r="H24" s="134">
        <f t="shared" si="4"/>
        <v>933</v>
      </c>
      <c r="I24" s="197">
        <f t="shared" si="4"/>
        <v>12110</v>
      </c>
      <c r="J24" s="134">
        <f t="shared" si="4"/>
        <v>9372</v>
      </c>
      <c r="K24" s="134">
        <f t="shared" si="4"/>
        <v>2271</v>
      </c>
      <c r="L24" s="134">
        <f t="shared" si="4"/>
        <v>13524</v>
      </c>
      <c r="M24" s="197">
        <f t="shared" si="4"/>
        <v>25167</v>
      </c>
      <c r="N24" s="197">
        <f t="shared" si="4"/>
        <v>37277</v>
      </c>
      <c r="O24" s="134">
        <f>SUM(O17:O23)</f>
        <v>0</v>
      </c>
      <c r="P24" s="134">
        <f>P13</f>
        <v>5</v>
      </c>
    </row>
    <row r="25" spans="1:16" s="73" customFormat="1" ht="48" hidden="1" thickBot="1" x14ac:dyDescent="0.25">
      <c r="A25" s="133" t="s">
        <v>599</v>
      </c>
      <c r="B25" s="134">
        <f t="shared" ref="B25:N25" si="5">B14+B19</f>
        <v>0</v>
      </c>
      <c r="C25" s="134">
        <f t="shared" si="5"/>
        <v>0</v>
      </c>
      <c r="D25" s="134">
        <f t="shared" si="5"/>
        <v>0</v>
      </c>
      <c r="E25" s="134">
        <f t="shared" si="5"/>
        <v>0</v>
      </c>
      <c r="F25" s="134">
        <f t="shared" si="5"/>
        <v>10100</v>
      </c>
      <c r="G25" s="134">
        <f t="shared" si="5"/>
        <v>500</v>
      </c>
      <c r="H25" s="134">
        <f t="shared" si="5"/>
        <v>933</v>
      </c>
      <c r="I25" s="197">
        <f t="shared" si="5"/>
        <v>11533</v>
      </c>
      <c r="J25" s="134">
        <f t="shared" si="5"/>
        <v>3623</v>
      </c>
      <c r="K25" s="134">
        <f t="shared" si="5"/>
        <v>0</v>
      </c>
      <c r="L25" s="134">
        <f t="shared" si="5"/>
        <v>13526</v>
      </c>
      <c r="M25" s="197">
        <f t="shared" si="5"/>
        <v>17149</v>
      </c>
      <c r="N25" s="197">
        <f t="shared" si="5"/>
        <v>28682</v>
      </c>
      <c r="O25" s="134">
        <f>SUM(O18:O24)</f>
        <v>0</v>
      </c>
      <c r="P25" s="134">
        <f>P14</f>
        <v>4</v>
      </c>
    </row>
    <row r="26" spans="1:16" s="73" customFormat="1" ht="48" hidden="1" thickBot="1" x14ac:dyDescent="0.25">
      <c r="A26" s="133" t="s">
        <v>522</v>
      </c>
      <c r="B26" s="134">
        <f t="shared" ref="B26:N26" si="6">B15+B20</f>
        <v>0</v>
      </c>
      <c r="C26" s="134">
        <f t="shared" si="6"/>
        <v>0</v>
      </c>
      <c r="D26" s="134">
        <f t="shared" si="6"/>
        <v>0</v>
      </c>
      <c r="E26" s="134">
        <f t="shared" si="6"/>
        <v>0</v>
      </c>
      <c r="F26" s="134">
        <f t="shared" si="6"/>
        <v>8800</v>
      </c>
      <c r="G26" s="134">
        <f t="shared" si="6"/>
        <v>500</v>
      </c>
      <c r="H26" s="134">
        <f t="shared" si="6"/>
        <v>933</v>
      </c>
      <c r="I26" s="197">
        <f t="shared" si="6"/>
        <v>10233</v>
      </c>
      <c r="J26" s="134">
        <f t="shared" si="6"/>
        <v>3623</v>
      </c>
      <c r="K26" s="134">
        <f t="shared" si="6"/>
        <v>0</v>
      </c>
      <c r="L26" s="134">
        <f t="shared" si="6"/>
        <v>13527</v>
      </c>
      <c r="M26" s="197">
        <f t="shared" si="6"/>
        <v>17150</v>
      </c>
      <c r="N26" s="197">
        <f t="shared" si="6"/>
        <v>27383</v>
      </c>
      <c r="O26" s="134">
        <f>SUM(O19:O25)</f>
        <v>0</v>
      </c>
      <c r="P26" s="134">
        <f>P15</f>
        <v>4</v>
      </c>
    </row>
    <row r="27" spans="1:16" s="73" customFormat="1" ht="48" hidden="1" thickBot="1" x14ac:dyDescent="0.25">
      <c r="A27" s="133" t="s">
        <v>523</v>
      </c>
      <c r="B27" s="134">
        <f>B16+B21</f>
        <v>0</v>
      </c>
      <c r="C27" s="134">
        <f t="shared" ref="C27:L27" si="7">C16+C21</f>
        <v>0</v>
      </c>
      <c r="D27" s="134">
        <f t="shared" si="7"/>
        <v>0</v>
      </c>
      <c r="E27" s="134">
        <f t="shared" si="7"/>
        <v>0</v>
      </c>
      <c r="F27" s="134">
        <f t="shared" si="7"/>
        <v>8800</v>
      </c>
      <c r="G27" s="134">
        <f t="shared" si="7"/>
        <v>500</v>
      </c>
      <c r="H27" s="134">
        <f t="shared" si="7"/>
        <v>933</v>
      </c>
      <c r="I27" s="197">
        <f>I16+I21</f>
        <v>10233</v>
      </c>
      <c r="J27" s="134">
        <f t="shared" si="7"/>
        <v>3623</v>
      </c>
      <c r="K27" s="134">
        <f t="shared" si="7"/>
        <v>0</v>
      </c>
      <c r="L27" s="134">
        <f t="shared" si="7"/>
        <v>13528</v>
      </c>
      <c r="M27" s="197">
        <f>M16+M21</f>
        <v>17151</v>
      </c>
      <c r="N27" s="197">
        <f>N16+N21</f>
        <v>27384</v>
      </c>
      <c r="O27" s="134">
        <f>SUM(O18:O24)</f>
        <v>0</v>
      </c>
      <c r="P27" s="134">
        <f>P16</f>
        <v>4</v>
      </c>
    </row>
    <row r="28" spans="1:16" x14ac:dyDescent="0.2">
      <c r="A28" s="75" t="s">
        <v>88</v>
      </c>
      <c r="P28" s="65">
        <v>0</v>
      </c>
    </row>
    <row r="30" spans="1:16" x14ac:dyDescent="0.2">
      <c r="L30" s="65"/>
      <c r="M30" s="65"/>
      <c r="N30" s="65"/>
    </row>
    <row r="31" spans="1:16" x14ac:dyDescent="0.2">
      <c r="L31" s="65"/>
      <c r="M31" s="65"/>
      <c r="N31" s="65"/>
    </row>
    <row r="32" spans="1:16" x14ac:dyDescent="0.2">
      <c r="M32" s="65"/>
      <c r="N32" s="65"/>
    </row>
    <row r="33" spans="13:14" x14ac:dyDescent="0.2">
      <c r="M33" s="65"/>
      <c r="N33" s="65"/>
    </row>
  </sheetData>
  <mergeCells count="19">
    <mergeCell ref="P8:P11"/>
    <mergeCell ref="M10:M11"/>
    <mergeCell ref="B10:B11"/>
    <mergeCell ref="C10:C11"/>
    <mergeCell ref="D10:D11"/>
    <mergeCell ref="E10:E11"/>
    <mergeCell ref="H10:H11"/>
    <mergeCell ref="J10:J11"/>
    <mergeCell ref="K10:K11"/>
    <mergeCell ref="L10:L11"/>
    <mergeCell ref="A5:N5"/>
    <mergeCell ref="A8:A11"/>
    <mergeCell ref="B8:N8"/>
    <mergeCell ref="O8:O11"/>
    <mergeCell ref="I9:I11"/>
    <mergeCell ref="B9:H9"/>
    <mergeCell ref="J9:M9"/>
    <mergeCell ref="N9:N11"/>
    <mergeCell ref="F10:G10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85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90"/>
  <sheetViews>
    <sheetView zoomScale="90" zoomScaleNormal="90" workbookViewId="0">
      <selection activeCell="D10" sqref="D10"/>
    </sheetView>
  </sheetViews>
  <sheetFormatPr defaultRowHeight="12.75" x14ac:dyDescent="0.2"/>
  <cols>
    <col min="1" max="1" width="6.140625" customWidth="1"/>
    <col min="2" max="2" width="50" customWidth="1"/>
    <col min="3" max="3" width="12.7109375" customWidth="1"/>
    <col min="4" max="6" width="11.140625" style="9" customWidth="1"/>
    <col min="7" max="7" width="9.7109375" customWidth="1"/>
    <col min="8" max="8" width="9.28515625" bestFit="1" customWidth="1"/>
    <col min="9" max="9" width="9.28515625" hidden="1" customWidth="1"/>
    <col min="10" max="10" width="10.5703125" customWidth="1"/>
    <col min="11" max="12" width="9.28515625" customWidth="1"/>
    <col min="13" max="13" width="9.28515625" hidden="1" customWidth="1"/>
    <col min="14" max="14" width="10.7109375" hidden="1" customWidth="1"/>
    <col min="15" max="15" width="9.28515625" hidden="1" customWidth="1"/>
    <col min="16" max="16" width="9.85546875" bestFit="1" customWidth="1"/>
    <col min="17" max="17" width="9.140625" hidden="1" customWidth="1"/>
    <col min="18" max="18" width="8.85546875" bestFit="1" customWidth="1"/>
    <col min="19" max="20" width="9.140625" customWidth="1"/>
  </cols>
  <sheetData>
    <row r="1" spans="1:17" x14ac:dyDescent="0.2">
      <c r="A1" s="52"/>
      <c r="B1" s="1"/>
      <c r="C1" s="57"/>
      <c r="P1" s="53" t="s">
        <v>488</v>
      </c>
    </row>
    <row r="2" spans="1:17" x14ac:dyDescent="0.2">
      <c r="A2" s="52"/>
      <c r="B2" s="1"/>
      <c r="C2" s="57"/>
      <c r="P2" s="55" t="str">
        <f>'1.Bev-kiad.'!C2</f>
        <v>a 2/2025.(III.6.) önkormányzati rendelethez</v>
      </c>
    </row>
    <row r="3" spans="1:17" x14ac:dyDescent="0.2">
      <c r="A3" s="52"/>
      <c r="B3" s="1"/>
      <c r="C3" s="57"/>
      <c r="P3" s="55"/>
    </row>
    <row r="4" spans="1:17" ht="15.75" x14ac:dyDescent="0.25">
      <c r="A4" s="486" t="s">
        <v>370</v>
      </c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</row>
    <row r="5" spans="1:17" ht="15.75" customHeight="1" x14ac:dyDescent="0.25">
      <c r="A5" s="486" t="s">
        <v>793</v>
      </c>
      <c r="B5" s="486"/>
      <c r="C5" s="486"/>
      <c r="D5" s="486"/>
      <c r="E5" s="486"/>
      <c r="F5" s="486"/>
      <c r="G5" s="486"/>
      <c r="H5" s="486"/>
      <c r="I5" s="486"/>
      <c r="J5" s="486"/>
      <c r="K5" s="486"/>
      <c r="L5" s="486"/>
      <c r="M5" s="486"/>
      <c r="N5" s="486"/>
      <c r="O5" s="486"/>
      <c r="P5" s="486"/>
    </row>
    <row r="6" spans="1:17" ht="16.5" thickBot="1" x14ac:dyDescent="0.3">
      <c r="A6" s="52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192" t="s">
        <v>0</v>
      </c>
    </row>
    <row r="7" spans="1:17" ht="28.5" customHeight="1" thickBot="1" x14ac:dyDescent="0.25">
      <c r="A7" s="484" t="s">
        <v>106</v>
      </c>
      <c r="B7" s="479" t="s">
        <v>26</v>
      </c>
      <c r="C7" s="481" t="s">
        <v>789</v>
      </c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2"/>
      <c r="P7" s="483"/>
    </row>
    <row r="8" spans="1:17" ht="77.25" customHeight="1" thickBot="1" x14ac:dyDescent="0.25">
      <c r="A8" s="485"/>
      <c r="B8" s="480"/>
      <c r="C8" s="178" t="s">
        <v>296</v>
      </c>
      <c r="D8" s="176" t="s">
        <v>379</v>
      </c>
      <c r="E8" s="176" t="s">
        <v>338</v>
      </c>
      <c r="F8" s="176" t="s">
        <v>373</v>
      </c>
      <c r="G8" s="176" t="s">
        <v>103</v>
      </c>
      <c r="H8" s="176" t="s">
        <v>628</v>
      </c>
      <c r="I8" s="178"/>
      <c r="J8" s="178" t="s">
        <v>345</v>
      </c>
      <c r="K8" s="178" t="s">
        <v>629</v>
      </c>
      <c r="L8" s="178" t="s">
        <v>304</v>
      </c>
      <c r="M8" s="178" t="s">
        <v>563</v>
      </c>
      <c r="N8" s="178" t="s">
        <v>612</v>
      </c>
      <c r="O8" s="178" t="s">
        <v>337</v>
      </c>
      <c r="P8" s="212" t="s">
        <v>40</v>
      </c>
    </row>
    <row r="9" spans="1:17" ht="13.5" customHeight="1" x14ac:dyDescent="0.2">
      <c r="A9" s="183" t="s">
        <v>279</v>
      </c>
      <c r="B9" s="17" t="s">
        <v>280</v>
      </c>
      <c r="C9" s="38">
        <f t="shared" ref="C9:P9" si="0">SUM(C10:C14)</f>
        <v>0</v>
      </c>
      <c r="D9" s="38">
        <f t="shared" si="0"/>
        <v>11813</v>
      </c>
      <c r="E9" s="38">
        <f t="shared" si="0"/>
        <v>4885</v>
      </c>
      <c r="F9" s="38">
        <f t="shared" si="0"/>
        <v>0</v>
      </c>
      <c r="G9" s="38">
        <f t="shared" si="0"/>
        <v>0</v>
      </c>
      <c r="H9" s="38">
        <f t="shared" si="0"/>
        <v>0</v>
      </c>
      <c r="I9" s="38">
        <f t="shared" si="0"/>
        <v>0</v>
      </c>
      <c r="J9" s="38">
        <f t="shared" si="0"/>
        <v>0</v>
      </c>
      <c r="K9" s="38">
        <f t="shared" si="0"/>
        <v>0</v>
      </c>
      <c r="L9" s="38">
        <f t="shared" si="0"/>
        <v>0</v>
      </c>
      <c r="M9" s="38">
        <f t="shared" si="0"/>
        <v>0</v>
      </c>
      <c r="N9" s="38">
        <f t="shared" si="0"/>
        <v>0</v>
      </c>
      <c r="O9" s="38">
        <f t="shared" si="0"/>
        <v>0</v>
      </c>
      <c r="P9" s="38">
        <f t="shared" si="0"/>
        <v>16698</v>
      </c>
      <c r="Q9" s="188"/>
    </row>
    <row r="10" spans="1:17" ht="13.5" customHeight="1" x14ac:dyDescent="0.2">
      <c r="A10" s="378">
        <v>1101</v>
      </c>
      <c r="B10" s="49" t="s">
        <v>310</v>
      </c>
      <c r="C10" s="186"/>
      <c r="D10" s="78">
        <v>11132</v>
      </c>
      <c r="E10" s="78">
        <v>4715</v>
      </c>
      <c r="F10" s="78"/>
      <c r="G10" s="78"/>
      <c r="H10" s="78"/>
      <c r="I10" s="78"/>
      <c r="J10" s="78"/>
      <c r="K10" s="78"/>
      <c r="L10" s="78"/>
      <c r="M10" s="78"/>
      <c r="N10" s="78"/>
      <c r="O10" s="78">
        <v>0</v>
      </c>
      <c r="P10" s="78">
        <f t="shared" ref="P10:P24" si="1">SUM(C10:O10)</f>
        <v>15847</v>
      </c>
      <c r="Q10" s="188"/>
    </row>
    <row r="11" spans="1:17" ht="13.5" hidden="1" customHeight="1" x14ac:dyDescent="0.2">
      <c r="A11" s="378">
        <v>1106</v>
      </c>
      <c r="B11" s="49" t="s">
        <v>620</v>
      </c>
      <c r="C11" s="186"/>
      <c r="D11" s="381"/>
      <c r="E11" s="381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>
        <f t="shared" si="1"/>
        <v>0</v>
      </c>
      <c r="Q11" s="188"/>
    </row>
    <row r="12" spans="1:17" ht="13.5" customHeight="1" x14ac:dyDescent="0.2">
      <c r="A12" s="378">
        <v>1107</v>
      </c>
      <c r="B12" s="49" t="s">
        <v>836</v>
      </c>
      <c r="C12" s="186"/>
      <c r="D12" s="78">
        <v>360</v>
      </c>
      <c r="E12" s="78">
        <v>120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>
        <f t="shared" si="1"/>
        <v>480</v>
      </c>
      <c r="Q12" s="188"/>
    </row>
    <row r="13" spans="1:17" ht="13.5" customHeight="1" x14ac:dyDescent="0.2">
      <c r="A13" s="378">
        <v>1109</v>
      </c>
      <c r="B13" s="49" t="s">
        <v>44</v>
      </c>
      <c r="C13" s="186"/>
      <c r="D13" s="78">
        <v>71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>
        <f t="shared" si="1"/>
        <v>71</v>
      </c>
      <c r="Q13" s="188"/>
    </row>
    <row r="14" spans="1:17" ht="12.75" customHeight="1" x14ac:dyDescent="0.2">
      <c r="A14" s="60">
        <v>1113</v>
      </c>
      <c r="B14" s="2" t="s">
        <v>639</v>
      </c>
      <c r="C14" s="10"/>
      <c r="D14" s="10">
        <f>250</f>
        <v>250</v>
      </c>
      <c r="E14" s="10">
        <v>50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78">
        <f t="shared" si="1"/>
        <v>300</v>
      </c>
      <c r="Q14" s="188"/>
    </row>
    <row r="15" spans="1:17" ht="12.75" customHeight="1" x14ac:dyDescent="0.2">
      <c r="A15" s="77" t="s">
        <v>281</v>
      </c>
      <c r="B15" s="13" t="s">
        <v>309</v>
      </c>
      <c r="C15" s="6">
        <f>SUM(C16:C23)</f>
        <v>18373</v>
      </c>
      <c r="D15" s="6">
        <f>SUM(D16:D23)</f>
        <v>50</v>
      </c>
      <c r="E15" s="6">
        <f>SUM(E16:E23)</f>
        <v>0</v>
      </c>
      <c r="F15" s="6">
        <f>SUM(F16:F23)</f>
        <v>0</v>
      </c>
      <c r="G15" s="6">
        <f t="shared" ref="G15:O15" si="2">SUM(G16:G23)</f>
        <v>0</v>
      </c>
      <c r="H15" s="6">
        <f t="shared" si="2"/>
        <v>0</v>
      </c>
      <c r="I15" s="6">
        <f t="shared" si="2"/>
        <v>0</v>
      </c>
      <c r="J15" s="6">
        <f t="shared" si="2"/>
        <v>887</v>
      </c>
      <c r="K15" s="6">
        <f t="shared" si="2"/>
        <v>0</v>
      </c>
      <c r="L15" s="6">
        <f t="shared" si="2"/>
        <v>300</v>
      </c>
      <c r="M15" s="6">
        <f t="shared" si="2"/>
        <v>0</v>
      </c>
      <c r="N15" s="6">
        <f t="shared" si="2"/>
        <v>0</v>
      </c>
      <c r="O15" s="6">
        <f t="shared" si="2"/>
        <v>0</v>
      </c>
      <c r="P15" s="225">
        <f t="shared" si="1"/>
        <v>19610</v>
      </c>
      <c r="Q15" s="188"/>
    </row>
    <row r="16" spans="1:17" ht="12.75" customHeight="1" x14ac:dyDescent="0.2">
      <c r="A16" s="60">
        <v>121</v>
      </c>
      <c r="B16" s="8" t="s">
        <v>41</v>
      </c>
      <c r="C16" s="186">
        <f>13133</f>
        <v>13133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0">
        <f t="shared" si="1"/>
        <v>13133</v>
      </c>
      <c r="Q16" s="188"/>
    </row>
    <row r="17" spans="1:17" ht="12.75" hidden="1" customHeight="1" x14ac:dyDescent="0.2">
      <c r="A17" s="60">
        <v>121</v>
      </c>
      <c r="B17" s="152" t="s">
        <v>708</v>
      </c>
      <c r="C17" s="186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0">
        <f t="shared" si="1"/>
        <v>0</v>
      </c>
      <c r="Q17" s="188"/>
    </row>
    <row r="18" spans="1:17" ht="12.75" customHeight="1" x14ac:dyDescent="0.2">
      <c r="A18" s="60">
        <v>121</v>
      </c>
      <c r="B18" s="152" t="s">
        <v>396</v>
      </c>
      <c r="C18" s="186">
        <v>16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0">
        <f t="shared" si="1"/>
        <v>16</v>
      </c>
      <c r="Q18" s="188"/>
    </row>
    <row r="19" spans="1:17" ht="12.75" customHeight="1" x14ac:dyDescent="0.2">
      <c r="A19" s="60">
        <v>121</v>
      </c>
      <c r="B19" s="152" t="s">
        <v>308</v>
      </c>
      <c r="C19" s="186">
        <v>2096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0">
        <f t="shared" si="1"/>
        <v>2096</v>
      </c>
      <c r="Q19" s="188"/>
    </row>
    <row r="20" spans="1:17" ht="12.75" customHeight="1" x14ac:dyDescent="0.2">
      <c r="A20" s="60">
        <v>121</v>
      </c>
      <c r="B20" s="8" t="s">
        <v>660</v>
      </c>
      <c r="C20" s="10">
        <v>2928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>
        <f t="shared" si="1"/>
        <v>2928</v>
      </c>
      <c r="Q20" s="188"/>
    </row>
    <row r="21" spans="1:17" ht="12.75" customHeight="1" x14ac:dyDescent="0.2">
      <c r="A21" s="60">
        <v>122</v>
      </c>
      <c r="B21" s="8" t="s">
        <v>493</v>
      </c>
      <c r="C21" s="10">
        <v>0</v>
      </c>
      <c r="D21" s="10"/>
      <c r="E21" s="10"/>
      <c r="F21" s="10"/>
      <c r="G21" s="10"/>
      <c r="H21" s="10"/>
      <c r="I21" s="10"/>
      <c r="J21" s="10">
        <v>287</v>
      </c>
      <c r="K21" s="10"/>
      <c r="L21" s="10">
        <v>300</v>
      </c>
      <c r="M21" s="10"/>
      <c r="N21" s="10"/>
      <c r="O21" s="10"/>
      <c r="P21" s="10">
        <f t="shared" si="1"/>
        <v>587</v>
      </c>
      <c r="Q21" s="188"/>
    </row>
    <row r="22" spans="1:17" ht="12.75" hidden="1" customHeight="1" x14ac:dyDescent="0.2">
      <c r="A22" s="60">
        <v>123</v>
      </c>
      <c r="B22" s="8" t="s">
        <v>619</v>
      </c>
      <c r="C22" s="10"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>
        <f t="shared" si="1"/>
        <v>0</v>
      </c>
      <c r="Q22" s="188"/>
    </row>
    <row r="23" spans="1:17" ht="12.75" customHeight="1" x14ac:dyDescent="0.2">
      <c r="A23" s="60">
        <v>123</v>
      </c>
      <c r="B23" s="8" t="s">
        <v>568</v>
      </c>
      <c r="C23" s="10">
        <v>200</v>
      </c>
      <c r="D23" s="10">
        <v>50</v>
      </c>
      <c r="E23" s="10"/>
      <c r="F23" s="10"/>
      <c r="G23" s="10"/>
      <c r="H23" s="10"/>
      <c r="I23" s="10"/>
      <c r="J23" s="10">
        <v>600</v>
      </c>
      <c r="K23" s="10"/>
      <c r="L23" s="10"/>
      <c r="M23" s="10"/>
      <c r="N23" s="10"/>
      <c r="O23" s="10"/>
      <c r="P23" s="10">
        <f t="shared" si="1"/>
        <v>850</v>
      </c>
      <c r="Q23" s="188"/>
    </row>
    <row r="24" spans="1:17" ht="13.5" customHeight="1" x14ac:dyDescent="0.2">
      <c r="A24" s="77" t="s">
        <v>203</v>
      </c>
      <c r="B24" s="125" t="s">
        <v>278</v>
      </c>
      <c r="C24" s="175">
        <f t="shared" ref="C24:L24" si="3">SUM(C9+C15)</f>
        <v>18373</v>
      </c>
      <c r="D24" s="175">
        <f t="shared" si="3"/>
        <v>11863</v>
      </c>
      <c r="E24" s="175">
        <f t="shared" si="3"/>
        <v>4885</v>
      </c>
      <c r="F24" s="175">
        <f t="shared" si="3"/>
        <v>0</v>
      </c>
      <c r="G24" s="175">
        <f t="shared" si="3"/>
        <v>0</v>
      </c>
      <c r="H24" s="175">
        <f t="shared" si="3"/>
        <v>0</v>
      </c>
      <c r="I24" s="175">
        <f t="shared" si="3"/>
        <v>0</v>
      </c>
      <c r="J24" s="175">
        <f t="shared" si="3"/>
        <v>887</v>
      </c>
      <c r="K24" s="175">
        <f t="shared" si="3"/>
        <v>0</v>
      </c>
      <c r="L24" s="175">
        <f t="shared" si="3"/>
        <v>300</v>
      </c>
      <c r="M24" s="175">
        <f>SUM(M9+M15)</f>
        <v>0</v>
      </c>
      <c r="N24" s="175">
        <f>SUM(N9+N15)</f>
        <v>0</v>
      </c>
      <c r="O24" s="175">
        <f>SUM(O9+O15)</f>
        <v>0</v>
      </c>
      <c r="P24" s="175">
        <f t="shared" si="1"/>
        <v>36308</v>
      </c>
      <c r="Q24" s="188"/>
    </row>
    <row r="25" spans="1:17" ht="13.5" customHeight="1" x14ac:dyDescent="0.2">
      <c r="A25" s="60"/>
      <c r="B25" s="8" t="s">
        <v>27</v>
      </c>
      <c r="C25" s="10">
        <v>2466</v>
      </c>
      <c r="D25" s="10">
        <v>1168</v>
      </c>
      <c r="E25" s="10">
        <v>635</v>
      </c>
      <c r="F25" s="10"/>
      <c r="G25" s="10"/>
      <c r="H25" s="10"/>
      <c r="I25" s="10"/>
      <c r="J25" s="10">
        <v>34</v>
      </c>
      <c r="K25" s="10"/>
      <c r="L25" s="10">
        <v>0</v>
      </c>
      <c r="M25" s="10"/>
      <c r="N25" s="10"/>
      <c r="O25" s="10">
        <v>0</v>
      </c>
      <c r="P25" s="10">
        <f>SUM(C25:O25)</f>
        <v>4303</v>
      </c>
      <c r="Q25" s="188"/>
    </row>
    <row r="26" spans="1:17" x14ac:dyDescent="0.2">
      <c r="A26" s="60"/>
      <c r="B26" s="8" t="s">
        <v>468</v>
      </c>
      <c r="C26" s="10">
        <v>153</v>
      </c>
      <c r="D26" s="10">
        <v>62</v>
      </c>
      <c r="E26" s="10">
        <v>18</v>
      </c>
      <c r="F26" s="10"/>
      <c r="G26" s="10"/>
      <c r="H26" s="10"/>
      <c r="I26" s="10"/>
      <c r="J26" s="10">
        <v>0</v>
      </c>
      <c r="K26" s="10"/>
      <c r="L26" s="10">
        <v>0</v>
      </c>
      <c r="M26" s="10"/>
      <c r="N26" s="10"/>
      <c r="O26" s="10"/>
      <c r="P26" s="10">
        <f>SUM(C26:O26)</f>
        <v>233</v>
      </c>
      <c r="Q26" s="188"/>
    </row>
    <row r="27" spans="1:17" ht="13.5" customHeight="1" x14ac:dyDescent="0.2">
      <c r="A27" s="77" t="s">
        <v>204</v>
      </c>
      <c r="B27" s="125" t="s">
        <v>86</v>
      </c>
      <c r="C27" s="175">
        <f>SUM(C25:C26)</f>
        <v>2619</v>
      </c>
      <c r="D27" s="175">
        <f>SUM(D25:D26)</f>
        <v>1230</v>
      </c>
      <c r="E27" s="175">
        <f>SUM(E25:E26)</f>
        <v>653</v>
      </c>
      <c r="F27" s="175">
        <f>SUM(F25:F26)</f>
        <v>0</v>
      </c>
      <c r="G27" s="175">
        <f t="shared" ref="G27:L27" si="4">SUM(G25:G26)</f>
        <v>0</v>
      </c>
      <c r="H27" s="175">
        <f t="shared" si="4"/>
        <v>0</v>
      </c>
      <c r="I27" s="175">
        <f t="shared" si="4"/>
        <v>0</v>
      </c>
      <c r="J27" s="175">
        <f t="shared" si="4"/>
        <v>34</v>
      </c>
      <c r="K27" s="175">
        <f t="shared" si="4"/>
        <v>0</v>
      </c>
      <c r="L27" s="175">
        <f t="shared" si="4"/>
        <v>0</v>
      </c>
      <c r="M27" s="175">
        <f>SUM(M25:M26)</f>
        <v>0</v>
      </c>
      <c r="N27" s="175"/>
      <c r="O27" s="175">
        <f>SUM(O25:O26)</f>
        <v>0</v>
      </c>
      <c r="P27" s="175">
        <f>SUM(P25:P26)</f>
        <v>4536</v>
      </c>
      <c r="Q27" s="188"/>
    </row>
    <row r="28" spans="1:17" ht="13.5" customHeight="1" x14ac:dyDescent="0.2">
      <c r="A28" s="77" t="s">
        <v>244</v>
      </c>
      <c r="B28" s="13" t="s">
        <v>267</v>
      </c>
      <c r="C28" s="6">
        <f t="shared" ref="C28:M28" si="5">SUM(C29:C36)</f>
        <v>580</v>
      </c>
      <c r="D28" s="6">
        <f t="shared" si="5"/>
        <v>2070</v>
      </c>
      <c r="E28" s="6">
        <f t="shared" si="5"/>
        <v>930</v>
      </c>
      <c r="F28" s="6">
        <f t="shared" si="5"/>
        <v>70</v>
      </c>
      <c r="G28" s="6">
        <f t="shared" si="5"/>
        <v>0</v>
      </c>
      <c r="H28" s="6">
        <f t="shared" si="5"/>
        <v>0</v>
      </c>
      <c r="I28" s="6">
        <f t="shared" si="5"/>
        <v>0</v>
      </c>
      <c r="J28" s="6">
        <f t="shared" si="5"/>
        <v>420</v>
      </c>
      <c r="K28" s="6">
        <f t="shared" si="5"/>
        <v>0</v>
      </c>
      <c r="L28" s="6">
        <f t="shared" si="5"/>
        <v>30</v>
      </c>
      <c r="M28" s="6">
        <f t="shared" si="5"/>
        <v>0</v>
      </c>
      <c r="N28" s="6"/>
      <c r="O28" s="6">
        <f>SUM(O29:O36)</f>
        <v>0</v>
      </c>
      <c r="P28" s="6">
        <f>SUM(P29:P36)</f>
        <v>4100</v>
      </c>
      <c r="Q28" s="188"/>
    </row>
    <row r="29" spans="1:17" ht="13.5" customHeight="1" x14ac:dyDescent="0.2">
      <c r="A29" s="60" t="s">
        <v>245</v>
      </c>
      <c r="B29" s="8" t="s">
        <v>343</v>
      </c>
      <c r="C29" s="10"/>
      <c r="D29" s="301"/>
      <c r="E29" s="301"/>
      <c r="F29" s="301"/>
      <c r="G29" s="10"/>
      <c r="H29" s="10"/>
      <c r="I29" s="10"/>
      <c r="J29" s="10">
        <v>120</v>
      </c>
      <c r="K29" s="10"/>
      <c r="L29" s="10">
        <v>30</v>
      </c>
      <c r="M29" s="10"/>
      <c r="N29" s="10"/>
      <c r="O29" s="10"/>
      <c r="P29" s="10">
        <f t="shared" ref="P29:P34" si="6">SUM(C29:O29)</f>
        <v>150</v>
      </c>
      <c r="Q29" s="188"/>
    </row>
    <row r="30" spans="1:17" ht="13.5" customHeight="1" x14ac:dyDescent="0.2">
      <c r="A30" s="60" t="s">
        <v>247</v>
      </c>
      <c r="B30" s="8" t="s">
        <v>268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>
        <f t="shared" si="6"/>
        <v>0</v>
      </c>
      <c r="Q30" s="188"/>
    </row>
    <row r="31" spans="1:17" ht="13.5" customHeight="1" x14ac:dyDescent="0.2">
      <c r="A31" s="60"/>
      <c r="B31" s="8" t="s">
        <v>289</v>
      </c>
      <c r="C31" s="10">
        <v>180</v>
      </c>
      <c r="D31" s="10"/>
      <c r="E31" s="10"/>
      <c r="F31" s="10"/>
      <c r="G31" s="10"/>
      <c r="H31" s="10"/>
      <c r="I31" s="10"/>
      <c r="J31" s="10">
        <v>30</v>
      </c>
      <c r="K31" s="10"/>
      <c r="L31" s="10"/>
      <c r="M31" s="10"/>
      <c r="N31" s="10"/>
      <c r="O31" s="10"/>
      <c r="P31" s="10">
        <f t="shared" si="6"/>
        <v>210</v>
      </c>
      <c r="Q31" s="188"/>
    </row>
    <row r="32" spans="1:17" ht="13.5" customHeight="1" x14ac:dyDescent="0.2">
      <c r="A32" s="60"/>
      <c r="B32" s="8" t="s">
        <v>290</v>
      </c>
      <c r="C32" s="10"/>
      <c r="D32" s="10">
        <v>900</v>
      </c>
      <c r="E32" s="10">
        <v>700</v>
      </c>
      <c r="F32" s="10">
        <v>70</v>
      </c>
      <c r="G32" s="10"/>
      <c r="H32" s="10"/>
      <c r="I32" s="10"/>
      <c r="J32" s="10"/>
      <c r="K32" s="10"/>
      <c r="L32" s="10"/>
      <c r="M32" s="10"/>
      <c r="N32" s="10"/>
      <c r="O32" s="10"/>
      <c r="P32" s="10">
        <f t="shared" si="6"/>
        <v>1670</v>
      </c>
      <c r="Q32" s="188"/>
    </row>
    <row r="33" spans="1:17" ht="13.5" customHeight="1" x14ac:dyDescent="0.2">
      <c r="A33" s="60"/>
      <c r="B33" s="8" t="s">
        <v>291</v>
      </c>
      <c r="C33" s="10">
        <v>200</v>
      </c>
      <c r="D33" s="10">
        <v>170</v>
      </c>
      <c r="E33" s="10"/>
      <c r="F33" s="10"/>
      <c r="G33" s="10"/>
      <c r="H33" s="10"/>
      <c r="I33" s="10"/>
      <c r="J33" s="10">
        <v>50</v>
      </c>
      <c r="K33" s="10"/>
      <c r="L33" s="10"/>
      <c r="M33" s="10"/>
      <c r="N33" s="10"/>
      <c r="O33" s="10"/>
      <c r="P33" s="10">
        <f t="shared" si="6"/>
        <v>420</v>
      </c>
      <c r="Q33" s="188"/>
    </row>
    <row r="34" spans="1:17" ht="13.5" customHeight="1" x14ac:dyDescent="0.2">
      <c r="A34" s="60"/>
      <c r="B34" s="8" t="s">
        <v>321</v>
      </c>
      <c r="C34" s="10">
        <v>200</v>
      </c>
      <c r="D34" s="10">
        <v>900</v>
      </c>
      <c r="E34" s="10">
        <v>150</v>
      </c>
      <c r="F34" s="10"/>
      <c r="G34" s="10"/>
      <c r="H34" s="10"/>
      <c r="I34" s="10"/>
      <c r="J34" s="10">
        <v>220</v>
      </c>
      <c r="K34" s="10"/>
      <c r="L34" s="10"/>
      <c r="M34" s="10"/>
      <c r="N34" s="10"/>
      <c r="O34" s="10"/>
      <c r="P34" s="10">
        <f t="shared" si="6"/>
        <v>1470</v>
      </c>
      <c r="Q34" s="188"/>
    </row>
    <row r="35" spans="1:17" ht="13.5" customHeight="1" x14ac:dyDescent="0.2">
      <c r="A35" s="60"/>
      <c r="B35" s="8" t="s">
        <v>299</v>
      </c>
      <c r="C35" s="10"/>
      <c r="D35" s="10">
        <v>100</v>
      </c>
      <c r="E35" s="10">
        <v>80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>
        <f>SUM(C35:O35)</f>
        <v>180</v>
      </c>
      <c r="Q35" s="188"/>
    </row>
    <row r="36" spans="1:17" ht="13.5" customHeight="1" x14ac:dyDescent="0.2">
      <c r="A36" s="60"/>
      <c r="B36" s="8" t="s">
        <v>576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>
        <f>SUM(C36:O36)</f>
        <v>0</v>
      </c>
      <c r="Q36" s="188"/>
    </row>
    <row r="37" spans="1:17" ht="13.5" customHeight="1" x14ac:dyDescent="0.2">
      <c r="A37" s="77" t="s">
        <v>248</v>
      </c>
      <c r="B37" s="13" t="s">
        <v>270</v>
      </c>
      <c r="C37" s="6">
        <f>SUM(C38:C39)</f>
        <v>600</v>
      </c>
      <c r="D37" s="6">
        <f>SUM(D38:D39)</f>
        <v>0</v>
      </c>
      <c r="E37" s="6">
        <f>SUM(E38:E39)</f>
        <v>0</v>
      </c>
      <c r="F37" s="6">
        <f>SUM(F38:F39)</f>
        <v>0</v>
      </c>
      <c r="G37" s="6">
        <f t="shared" ref="G37:M37" si="7">SUM(G38:G39)</f>
        <v>0</v>
      </c>
      <c r="H37" s="6">
        <f t="shared" si="7"/>
        <v>0</v>
      </c>
      <c r="I37" s="6">
        <f t="shared" si="7"/>
        <v>0</v>
      </c>
      <c r="J37" s="6">
        <f t="shared" si="7"/>
        <v>0</v>
      </c>
      <c r="K37" s="6">
        <f t="shared" si="7"/>
        <v>280</v>
      </c>
      <c r="L37" s="6">
        <f t="shared" si="7"/>
        <v>0</v>
      </c>
      <c r="M37" s="6">
        <f t="shared" si="7"/>
        <v>0</v>
      </c>
      <c r="N37" s="6"/>
      <c r="O37" s="6">
        <f t="shared" ref="O37" si="8">SUM(O38:O39)</f>
        <v>0</v>
      </c>
      <c r="P37" s="6">
        <f>SUM(P38:P39)</f>
        <v>880</v>
      </c>
      <c r="Q37" s="188"/>
    </row>
    <row r="38" spans="1:17" ht="13.5" customHeight="1" x14ac:dyDescent="0.2">
      <c r="A38" s="60" t="s">
        <v>249</v>
      </c>
      <c r="B38" s="8" t="s">
        <v>340</v>
      </c>
      <c r="C38" s="10">
        <v>520</v>
      </c>
      <c r="D38" s="10"/>
      <c r="E38" s="10"/>
      <c r="F38" s="10"/>
      <c r="G38" s="10"/>
      <c r="H38" s="10"/>
      <c r="I38" s="10"/>
      <c r="J38" s="10"/>
      <c r="K38" s="10">
        <v>250</v>
      </c>
      <c r="L38" s="10"/>
      <c r="M38" s="10"/>
      <c r="N38" s="10"/>
      <c r="O38" s="10"/>
      <c r="P38" s="10">
        <f>SUM(C38:O38)</f>
        <v>770</v>
      </c>
      <c r="Q38" s="188"/>
    </row>
    <row r="39" spans="1:17" ht="13.5" customHeight="1" x14ac:dyDescent="0.2">
      <c r="A39" s="60" t="s">
        <v>250</v>
      </c>
      <c r="B39" s="8" t="s">
        <v>292</v>
      </c>
      <c r="C39" s="10">
        <v>80</v>
      </c>
      <c r="D39" s="301"/>
      <c r="E39" s="10"/>
      <c r="F39" s="301"/>
      <c r="G39" s="10"/>
      <c r="H39" s="10"/>
      <c r="I39" s="10"/>
      <c r="J39" s="10"/>
      <c r="K39" s="10">
        <v>30</v>
      </c>
      <c r="L39" s="10"/>
      <c r="M39" s="10"/>
      <c r="N39" s="10"/>
      <c r="O39" s="10"/>
      <c r="P39" s="10">
        <f>SUM(C39:O39)</f>
        <v>110</v>
      </c>
      <c r="Q39" s="188"/>
    </row>
    <row r="40" spans="1:17" ht="13.5" customHeight="1" x14ac:dyDescent="0.2">
      <c r="A40" s="77" t="s">
        <v>251</v>
      </c>
      <c r="B40" s="13" t="s">
        <v>271</v>
      </c>
      <c r="C40" s="6">
        <f t="shared" ref="C40:M40" si="9">SUM(C41:C60)</f>
        <v>5490</v>
      </c>
      <c r="D40" s="6">
        <f t="shared" si="9"/>
        <v>5894</v>
      </c>
      <c r="E40" s="6">
        <f t="shared" si="9"/>
        <v>747</v>
      </c>
      <c r="F40" s="6">
        <f t="shared" si="9"/>
        <v>270</v>
      </c>
      <c r="G40" s="6">
        <f t="shared" si="9"/>
        <v>3715</v>
      </c>
      <c r="H40" s="6">
        <f t="shared" si="9"/>
        <v>4800</v>
      </c>
      <c r="I40" s="6">
        <f t="shared" si="9"/>
        <v>0</v>
      </c>
      <c r="J40" s="6">
        <f t="shared" si="9"/>
        <v>1110</v>
      </c>
      <c r="K40" s="6">
        <f t="shared" si="9"/>
        <v>2012</v>
      </c>
      <c r="L40" s="6">
        <f t="shared" si="9"/>
        <v>100</v>
      </c>
      <c r="M40" s="6">
        <f t="shared" si="9"/>
        <v>0</v>
      </c>
      <c r="N40" s="6"/>
      <c r="O40" s="6">
        <f>SUM(O41:O60)</f>
        <v>0</v>
      </c>
      <c r="P40" s="6">
        <f>SUM(P41:P60)</f>
        <v>24138</v>
      </c>
      <c r="Q40" s="188"/>
    </row>
    <row r="41" spans="1:17" ht="13.5" customHeight="1" x14ac:dyDescent="0.2">
      <c r="A41" s="60" t="s">
        <v>252</v>
      </c>
      <c r="B41" s="8" t="s">
        <v>288</v>
      </c>
      <c r="C41" s="10">
        <v>850</v>
      </c>
      <c r="D41" s="10">
        <v>2250</v>
      </c>
      <c r="E41" s="10"/>
      <c r="F41" s="10">
        <v>250</v>
      </c>
      <c r="G41" s="10">
        <v>3000</v>
      </c>
      <c r="H41" s="10"/>
      <c r="I41" s="10"/>
      <c r="J41" s="10">
        <v>50</v>
      </c>
      <c r="K41" s="10">
        <v>1300</v>
      </c>
      <c r="L41" s="10">
        <v>100</v>
      </c>
      <c r="M41" s="10"/>
      <c r="N41" s="10"/>
      <c r="O41" s="10"/>
      <c r="P41" s="10">
        <f t="shared" ref="P41:P52" si="10">SUM(C41:O41)</f>
        <v>7800</v>
      </c>
      <c r="Q41" s="188"/>
    </row>
    <row r="42" spans="1:17" ht="13.5" customHeight="1" x14ac:dyDescent="0.2">
      <c r="A42" s="60" t="s">
        <v>297</v>
      </c>
      <c r="B42" s="8" t="s">
        <v>298</v>
      </c>
      <c r="C42" s="10"/>
      <c r="D42" s="10"/>
      <c r="E42" s="10"/>
      <c r="F42" s="10"/>
      <c r="G42" s="10"/>
      <c r="H42" s="10">
        <v>4800</v>
      </c>
      <c r="I42" s="10"/>
      <c r="J42" s="10"/>
      <c r="K42" s="10"/>
      <c r="L42" s="10"/>
      <c r="M42" s="10"/>
      <c r="N42" s="10"/>
      <c r="O42" s="10"/>
      <c r="P42" s="10">
        <f t="shared" si="10"/>
        <v>4800</v>
      </c>
      <c r="Q42" s="7" t="s">
        <v>830</v>
      </c>
    </row>
    <row r="43" spans="1:17" ht="13.5" customHeight="1" x14ac:dyDescent="0.2">
      <c r="A43" s="60" t="s">
        <v>253</v>
      </c>
      <c r="B43" s="8" t="s">
        <v>287</v>
      </c>
      <c r="C43" s="10"/>
      <c r="D43" s="10">
        <v>100</v>
      </c>
      <c r="E43" s="10"/>
      <c r="F43" s="10"/>
      <c r="G43" s="10">
        <v>100</v>
      </c>
      <c r="H43" s="10"/>
      <c r="I43" s="10"/>
      <c r="J43" s="10"/>
      <c r="K43" s="10"/>
      <c r="L43" s="10"/>
      <c r="M43" s="10"/>
      <c r="N43" s="10"/>
      <c r="O43" s="10"/>
      <c r="P43" s="10">
        <f t="shared" si="10"/>
        <v>200</v>
      </c>
      <c r="Q43" s="188"/>
    </row>
    <row r="44" spans="1:17" ht="13.5" customHeight="1" x14ac:dyDescent="0.2">
      <c r="A44" s="60" t="s">
        <v>254</v>
      </c>
      <c r="B44" s="8" t="s">
        <v>286</v>
      </c>
      <c r="C44" s="10">
        <v>200</v>
      </c>
      <c r="D44" s="10">
        <v>300</v>
      </c>
      <c r="E44" s="10">
        <v>400</v>
      </c>
      <c r="F44" s="10"/>
      <c r="G44" s="10">
        <v>50</v>
      </c>
      <c r="H44" s="10"/>
      <c r="I44" s="10"/>
      <c r="J44" s="10">
        <v>60</v>
      </c>
      <c r="K44" s="10">
        <v>50</v>
      </c>
      <c r="L44" s="10"/>
      <c r="M44" s="10"/>
      <c r="N44" s="10"/>
      <c r="O44" s="10"/>
      <c r="P44" s="10">
        <f t="shared" si="10"/>
        <v>1060</v>
      </c>
      <c r="Q44" s="188"/>
    </row>
    <row r="45" spans="1:17" ht="13.5" customHeight="1" x14ac:dyDescent="0.2">
      <c r="A45" s="60" t="s">
        <v>255</v>
      </c>
      <c r="B45" s="8" t="s">
        <v>285</v>
      </c>
      <c r="C45" s="10">
        <v>627</v>
      </c>
      <c r="D45" s="10">
        <v>1528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>
        <f t="shared" si="10"/>
        <v>2155</v>
      </c>
      <c r="Q45" s="188"/>
    </row>
    <row r="46" spans="1:17" ht="13.5" customHeight="1" x14ac:dyDescent="0.2">
      <c r="A46" s="60" t="s">
        <v>256</v>
      </c>
      <c r="B46" s="8" t="s">
        <v>284</v>
      </c>
      <c r="C46" s="10">
        <f>250+(1100+278+240)</f>
        <v>1868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>
        <f t="shared" si="10"/>
        <v>1868</v>
      </c>
      <c r="Q46" s="188"/>
    </row>
    <row r="47" spans="1:17" ht="13.5" customHeight="1" x14ac:dyDescent="0.2">
      <c r="A47" s="60"/>
      <c r="B47" s="8" t="s">
        <v>303</v>
      </c>
      <c r="C47" s="8">
        <v>30</v>
      </c>
      <c r="D47" s="10">
        <v>40</v>
      </c>
      <c r="E47" s="10">
        <v>30</v>
      </c>
      <c r="F47" s="10"/>
      <c r="G47" s="10"/>
      <c r="H47" s="10"/>
      <c r="I47" s="10"/>
      <c r="J47" s="10"/>
      <c r="K47" s="8"/>
      <c r="L47" s="10"/>
      <c r="M47" s="10"/>
      <c r="N47" s="10"/>
      <c r="O47" s="10"/>
      <c r="P47" s="10">
        <f t="shared" si="10"/>
        <v>100</v>
      </c>
      <c r="Q47" s="188"/>
    </row>
    <row r="48" spans="1:17" ht="13.5" customHeight="1" x14ac:dyDescent="0.2">
      <c r="A48" s="60"/>
      <c r="B48" s="8" t="s">
        <v>716</v>
      </c>
      <c r="C48" s="8"/>
      <c r="D48" s="10"/>
      <c r="E48" s="10"/>
      <c r="F48" s="10"/>
      <c r="G48" s="10"/>
      <c r="H48" s="10"/>
      <c r="I48" s="10"/>
      <c r="J48" s="10"/>
      <c r="K48" s="8">
        <f>(85+170)+317</f>
        <v>572</v>
      </c>
      <c r="L48" s="10"/>
      <c r="M48" s="10"/>
      <c r="N48" s="10"/>
      <c r="O48" s="10"/>
      <c r="P48" s="10">
        <f t="shared" si="10"/>
        <v>572</v>
      </c>
      <c r="Q48" s="188"/>
    </row>
    <row r="49" spans="1:17" ht="13.5" customHeight="1" x14ac:dyDescent="0.2">
      <c r="A49" s="60"/>
      <c r="B49" s="8" t="s">
        <v>80</v>
      </c>
      <c r="C49" s="8"/>
      <c r="D49" s="10"/>
      <c r="E49" s="10"/>
      <c r="F49" s="10"/>
      <c r="G49" s="10"/>
      <c r="H49" s="10"/>
      <c r="I49" s="10"/>
      <c r="J49" s="10"/>
      <c r="K49" s="8">
        <v>0</v>
      </c>
      <c r="L49" s="10"/>
      <c r="M49" s="10"/>
      <c r="N49" s="10"/>
      <c r="O49" s="10"/>
      <c r="P49" s="10">
        <f t="shared" si="10"/>
        <v>0</v>
      </c>
      <c r="Q49" s="188"/>
    </row>
    <row r="50" spans="1:17" ht="13.5" customHeight="1" x14ac:dyDescent="0.2">
      <c r="A50" s="60"/>
      <c r="B50" s="8" t="s">
        <v>492</v>
      </c>
      <c r="C50" s="12"/>
      <c r="D50" s="10">
        <f>30+240</f>
        <v>270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>
        <f t="shared" si="10"/>
        <v>270</v>
      </c>
      <c r="Q50" s="188"/>
    </row>
    <row r="51" spans="1:17" ht="13.5" customHeight="1" x14ac:dyDescent="0.2">
      <c r="A51" s="60"/>
      <c r="B51" s="8" t="s">
        <v>641</v>
      </c>
      <c r="C51" s="10">
        <v>500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>
        <f t="shared" ref="P51" si="11">SUM(C51:O51)</f>
        <v>500</v>
      </c>
      <c r="Q51" s="188"/>
    </row>
    <row r="52" spans="1:17" s="446" customFormat="1" ht="25.5" x14ac:dyDescent="0.2">
      <c r="A52" s="444"/>
      <c r="B52" s="307" t="s">
        <v>834</v>
      </c>
      <c r="C52" s="86"/>
      <c r="D52" s="86">
        <v>255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>
        <f t="shared" si="10"/>
        <v>255</v>
      </c>
      <c r="Q52" s="445"/>
    </row>
    <row r="53" spans="1:17" s="446" customFormat="1" ht="25.5" x14ac:dyDescent="0.2">
      <c r="A53" s="444"/>
      <c r="B53" s="307" t="s">
        <v>835</v>
      </c>
      <c r="C53" s="86"/>
      <c r="D53" s="86">
        <v>350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>
        <f t="shared" ref="P53:P56" si="12">SUM(C53:O53)</f>
        <v>350</v>
      </c>
      <c r="Q53" s="445"/>
    </row>
    <row r="54" spans="1:17" ht="13.5" hidden="1" customHeight="1" x14ac:dyDescent="0.2">
      <c r="A54" s="60"/>
      <c r="B54" s="8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>
        <f t="shared" si="12"/>
        <v>0</v>
      </c>
      <c r="Q54" s="188"/>
    </row>
    <row r="55" spans="1:17" ht="13.5" customHeight="1" x14ac:dyDescent="0.2">
      <c r="A55" s="60" t="s">
        <v>257</v>
      </c>
      <c r="B55" s="8" t="s">
        <v>283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>
        <f t="shared" si="12"/>
        <v>0</v>
      </c>
      <c r="Q55" s="188"/>
    </row>
    <row r="56" spans="1:17" ht="13.5" customHeight="1" x14ac:dyDescent="0.2">
      <c r="A56" s="60"/>
      <c r="B56" s="8" t="s">
        <v>341</v>
      </c>
      <c r="C56" s="10">
        <v>50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>
        <f t="shared" si="12"/>
        <v>50</v>
      </c>
      <c r="Q56" s="188"/>
    </row>
    <row r="57" spans="1:17" ht="13.5" customHeight="1" x14ac:dyDescent="0.2">
      <c r="A57" s="60"/>
      <c r="B57" s="8" t="s">
        <v>397</v>
      </c>
      <c r="C57" s="10">
        <v>1000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>
        <f>SUM(C57:O57)</f>
        <v>1000</v>
      </c>
      <c r="Q57" s="188"/>
    </row>
    <row r="58" spans="1:17" x14ac:dyDescent="0.2">
      <c r="A58" s="60"/>
      <c r="B58" s="8" t="s">
        <v>294</v>
      </c>
      <c r="C58" s="10">
        <f>861-626</f>
        <v>235</v>
      </c>
      <c r="D58" s="10">
        <v>70</v>
      </c>
      <c r="E58" s="10">
        <f>167+50</f>
        <v>217</v>
      </c>
      <c r="F58" s="10"/>
      <c r="G58" s="10"/>
      <c r="H58" s="10"/>
      <c r="I58" s="10"/>
      <c r="J58" s="10"/>
      <c r="K58" s="10">
        <v>10</v>
      </c>
      <c r="L58" s="10"/>
      <c r="M58" s="10"/>
      <c r="N58" s="10"/>
      <c r="O58" s="10"/>
      <c r="P58" s="10">
        <f t="shared" ref="P58:P60" si="13">SUM(C58:O58)</f>
        <v>532</v>
      </c>
      <c r="Q58" s="188" t="s">
        <v>838</v>
      </c>
    </row>
    <row r="59" spans="1:17" x14ac:dyDescent="0.2">
      <c r="A59" s="60"/>
      <c r="B59" s="8" t="s">
        <v>617</v>
      </c>
      <c r="C59" s="10">
        <v>130</v>
      </c>
      <c r="D59" s="10">
        <f>700+31</f>
        <v>731</v>
      </c>
      <c r="E59" s="10">
        <v>100</v>
      </c>
      <c r="F59" s="10">
        <v>20</v>
      </c>
      <c r="G59" s="10">
        <f>50+515</f>
        <v>565</v>
      </c>
      <c r="H59" s="10"/>
      <c r="I59" s="10"/>
      <c r="J59" s="10">
        <v>1000</v>
      </c>
      <c r="K59" s="10">
        <f>40+40</f>
        <v>80</v>
      </c>
      <c r="L59" s="10"/>
      <c r="M59" s="10"/>
      <c r="N59" s="10"/>
      <c r="O59" s="10"/>
      <c r="P59" s="10">
        <f t="shared" si="13"/>
        <v>2626</v>
      </c>
      <c r="Q59" s="188"/>
    </row>
    <row r="60" spans="1:17" ht="13.5" hidden="1" customHeight="1" x14ac:dyDescent="0.2">
      <c r="A60" s="60"/>
      <c r="B60" s="8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>
        <f t="shared" si="13"/>
        <v>0</v>
      </c>
      <c r="Q60" s="188"/>
    </row>
    <row r="61" spans="1:17" ht="13.5" customHeight="1" x14ac:dyDescent="0.2">
      <c r="A61" s="77" t="s">
        <v>258</v>
      </c>
      <c r="B61" s="13" t="s">
        <v>242</v>
      </c>
      <c r="C61" s="6">
        <f>SUM(C62:C63)</f>
        <v>50</v>
      </c>
      <c r="D61" s="6">
        <f>SUM(D62:D63)</f>
        <v>250</v>
      </c>
      <c r="E61" s="6">
        <f>SUM(E62:E63)</f>
        <v>0</v>
      </c>
      <c r="F61" s="6">
        <f>SUM(F62:F63)</f>
        <v>0</v>
      </c>
      <c r="G61" s="6">
        <f t="shared" ref="G61:N61" si="14">SUM(G62:G63)</f>
        <v>0</v>
      </c>
      <c r="H61" s="6">
        <f t="shared" si="14"/>
        <v>0</v>
      </c>
      <c r="I61" s="6">
        <f t="shared" si="14"/>
        <v>0</v>
      </c>
      <c r="J61" s="6">
        <f t="shared" si="14"/>
        <v>0</v>
      </c>
      <c r="K61" s="6">
        <f t="shared" si="14"/>
        <v>0</v>
      </c>
      <c r="L61" s="6">
        <f t="shared" si="14"/>
        <v>0</v>
      </c>
      <c r="M61" s="6">
        <f t="shared" si="14"/>
        <v>0</v>
      </c>
      <c r="N61" s="6">
        <f t="shared" si="14"/>
        <v>0</v>
      </c>
      <c r="O61" s="6">
        <f>SUM(O62:O63)</f>
        <v>0</v>
      </c>
      <c r="P61" s="6">
        <f t="shared" ref="P61:P71" si="15">SUM(C61:O61)</f>
        <v>300</v>
      </c>
      <c r="Q61" s="188"/>
    </row>
    <row r="62" spans="1:17" ht="13.5" customHeight="1" x14ac:dyDescent="0.2">
      <c r="A62" s="60" t="s">
        <v>259</v>
      </c>
      <c r="B62" s="8" t="s">
        <v>282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>
        <f t="shared" si="15"/>
        <v>0</v>
      </c>
      <c r="Q62" s="188"/>
    </row>
    <row r="63" spans="1:17" ht="13.5" customHeight="1" x14ac:dyDescent="0.2">
      <c r="A63" s="60" t="s">
        <v>260</v>
      </c>
      <c r="B63" s="8" t="s">
        <v>719</v>
      </c>
      <c r="C63" s="10">
        <v>50</v>
      </c>
      <c r="D63" s="10">
        <v>250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>
        <f t="shared" si="15"/>
        <v>300</v>
      </c>
      <c r="Q63" s="188"/>
    </row>
    <row r="64" spans="1:17" ht="13.5" customHeight="1" x14ac:dyDescent="0.2">
      <c r="A64" s="77" t="s">
        <v>261</v>
      </c>
      <c r="B64" s="13" t="s">
        <v>243</v>
      </c>
      <c r="C64" s="6">
        <f>SUM(C65:C71)</f>
        <v>1819</v>
      </c>
      <c r="D64" s="6">
        <f>SUM(D65:D71)</f>
        <v>2282</v>
      </c>
      <c r="E64" s="6">
        <f>SUM(E65:E71)</f>
        <v>450</v>
      </c>
      <c r="F64" s="6">
        <f>SUM(F65:F71)</f>
        <v>92</v>
      </c>
      <c r="G64" s="6">
        <f t="shared" ref="G64:O64" si="16">SUM(G65:G71)</f>
        <v>1003</v>
      </c>
      <c r="H64" s="6">
        <f t="shared" si="16"/>
        <v>1296</v>
      </c>
      <c r="I64" s="6">
        <f t="shared" si="16"/>
        <v>0</v>
      </c>
      <c r="J64" s="6">
        <f t="shared" si="16"/>
        <v>723</v>
      </c>
      <c r="K64" s="6">
        <f t="shared" si="16"/>
        <v>616</v>
      </c>
      <c r="L64" s="6">
        <f t="shared" si="16"/>
        <v>35</v>
      </c>
      <c r="M64" s="6">
        <f t="shared" si="16"/>
        <v>0</v>
      </c>
      <c r="N64" s="6">
        <f t="shared" si="16"/>
        <v>0</v>
      </c>
      <c r="O64" s="6">
        <f t="shared" si="16"/>
        <v>0</v>
      </c>
      <c r="P64" s="6">
        <f t="shared" si="15"/>
        <v>8316</v>
      </c>
      <c r="Q64" s="188"/>
    </row>
    <row r="65" spans="1:18" ht="13.5" customHeight="1" x14ac:dyDescent="0.2">
      <c r="A65" s="60" t="s">
        <v>262</v>
      </c>
      <c r="B65" s="8" t="s">
        <v>272</v>
      </c>
      <c r="C65" s="10">
        <v>1392</v>
      </c>
      <c r="D65" s="10">
        <v>2212</v>
      </c>
      <c r="E65" s="10">
        <v>400</v>
      </c>
      <c r="F65" s="10">
        <v>92</v>
      </c>
      <c r="G65" s="10">
        <v>1003</v>
      </c>
      <c r="H65" s="10">
        <v>1296</v>
      </c>
      <c r="I65" s="10">
        <v>0</v>
      </c>
      <c r="J65" s="10">
        <v>543</v>
      </c>
      <c r="K65" s="10">
        <v>616</v>
      </c>
      <c r="L65" s="10">
        <v>35</v>
      </c>
      <c r="M65" s="10"/>
      <c r="N65" s="10">
        <v>0</v>
      </c>
      <c r="O65" s="10">
        <v>0</v>
      </c>
      <c r="P65" s="10">
        <f t="shared" si="15"/>
        <v>7589</v>
      </c>
      <c r="Q65" s="188"/>
      <c r="R65" s="382"/>
    </row>
    <row r="66" spans="1:18" ht="13.5" customHeight="1" x14ac:dyDescent="0.2">
      <c r="A66" s="60" t="s">
        <v>263</v>
      </c>
      <c r="B66" s="8" t="s">
        <v>273</v>
      </c>
      <c r="C66" s="10"/>
      <c r="D66" s="301"/>
      <c r="E66" s="301"/>
      <c r="F66" s="301"/>
      <c r="G66" s="10"/>
      <c r="H66" s="10"/>
      <c r="I66" s="10"/>
      <c r="J66" s="10"/>
      <c r="K66" s="10"/>
      <c r="L66" s="10"/>
      <c r="M66" s="10"/>
      <c r="N66" s="10"/>
      <c r="O66" s="10"/>
      <c r="P66" s="10">
        <f t="shared" si="15"/>
        <v>0</v>
      </c>
      <c r="Q66" s="188"/>
    </row>
    <row r="67" spans="1:18" ht="13.5" customHeight="1" x14ac:dyDescent="0.2">
      <c r="A67" s="60" t="s">
        <v>264</v>
      </c>
      <c r="B67" s="8" t="s">
        <v>274</v>
      </c>
      <c r="C67" s="10">
        <v>50</v>
      </c>
      <c r="D67" s="301"/>
      <c r="E67" s="301"/>
      <c r="F67" s="301"/>
      <c r="G67" s="10"/>
      <c r="H67" s="10"/>
      <c r="I67" s="10"/>
      <c r="J67" s="10"/>
      <c r="K67" s="10"/>
      <c r="L67" s="10"/>
      <c r="M67" s="10"/>
      <c r="N67" s="10"/>
      <c r="O67" s="10"/>
      <c r="P67" s="10">
        <f t="shared" si="15"/>
        <v>50</v>
      </c>
      <c r="Q67" s="188"/>
    </row>
    <row r="68" spans="1:18" ht="13.5" hidden="1" customHeight="1" x14ac:dyDescent="0.2">
      <c r="A68" s="60" t="s">
        <v>265</v>
      </c>
      <c r="B68" s="8" t="s">
        <v>275</v>
      </c>
      <c r="C68" s="10"/>
      <c r="D68" s="301"/>
      <c r="E68" s="301"/>
      <c r="F68" s="301"/>
      <c r="G68" s="10"/>
      <c r="H68" s="10"/>
      <c r="I68" s="10"/>
      <c r="J68" s="10"/>
      <c r="K68" s="10"/>
      <c r="L68" s="10"/>
      <c r="M68" s="10"/>
      <c r="N68" s="10"/>
      <c r="O68" s="10"/>
      <c r="P68" s="10">
        <f t="shared" si="15"/>
        <v>0</v>
      </c>
      <c r="Q68" s="188"/>
    </row>
    <row r="69" spans="1:18" ht="13.5" customHeight="1" x14ac:dyDescent="0.2">
      <c r="A69" s="60" t="s">
        <v>266</v>
      </c>
      <c r="B69" s="8" t="s">
        <v>42</v>
      </c>
      <c r="C69" s="10">
        <f>150+227</f>
        <v>377</v>
      </c>
      <c r="D69" s="10">
        <v>70</v>
      </c>
      <c r="E69" s="12">
        <v>50</v>
      </c>
      <c r="F69" s="10"/>
      <c r="G69" s="10"/>
      <c r="H69" s="10"/>
      <c r="I69" s="10"/>
      <c r="J69" s="10">
        <v>180</v>
      </c>
      <c r="K69" s="10"/>
      <c r="L69" s="10"/>
      <c r="M69" s="10"/>
      <c r="N69" s="10"/>
      <c r="O69" s="10"/>
      <c r="P69" s="10">
        <f t="shared" si="15"/>
        <v>677</v>
      </c>
      <c r="Q69" s="188"/>
    </row>
    <row r="70" spans="1:18" ht="13.5" hidden="1" customHeight="1" x14ac:dyDescent="0.2">
      <c r="A70" s="60"/>
      <c r="B70" s="8" t="s">
        <v>624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>
        <f t="shared" si="15"/>
        <v>0</v>
      </c>
      <c r="Q70" s="188"/>
    </row>
    <row r="71" spans="1:18" ht="13.5" hidden="1" customHeight="1" x14ac:dyDescent="0.2">
      <c r="A71" s="60"/>
      <c r="B71" s="8" t="s">
        <v>295</v>
      </c>
      <c r="C71" s="380"/>
      <c r="D71" s="12"/>
      <c r="E71" s="380"/>
      <c r="F71" s="12"/>
      <c r="G71" s="12"/>
      <c r="H71" s="12"/>
      <c r="I71" s="12"/>
      <c r="J71" s="380"/>
      <c r="K71" s="10"/>
      <c r="L71" s="10"/>
      <c r="M71" s="10"/>
      <c r="N71" s="10"/>
      <c r="O71" s="10"/>
      <c r="P71" s="10">
        <f t="shared" si="15"/>
        <v>0</v>
      </c>
      <c r="Q71" s="188"/>
    </row>
    <row r="72" spans="1:18" ht="13.5" customHeight="1" x14ac:dyDescent="0.2">
      <c r="A72" s="77" t="s">
        <v>277</v>
      </c>
      <c r="B72" s="125" t="s">
        <v>28</v>
      </c>
      <c r="C72" s="175">
        <f t="shared" ref="C72:O72" si="17">SUM(C28+C37+C40+C61+C64)</f>
        <v>8539</v>
      </c>
      <c r="D72" s="175">
        <f t="shared" si="17"/>
        <v>10496</v>
      </c>
      <c r="E72" s="175">
        <f t="shared" si="17"/>
        <v>2127</v>
      </c>
      <c r="F72" s="175">
        <f t="shared" si="17"/>
        <v>432</v>
      </c>
      <c r="G72" s="175">
        <f t="shared" si="17"/>
        <v>4718</v>
      </c>
      <c r="H72" s="175">
        <f t="shared" si="17"/>
        <v>6096</v>
      </c>
      <c r="I72" s="175">
        <f t="shared" si="17"/>
        <v>0</v>
      </c>
      <c r="J72" s="175">
        <f t="shared" si="17"/>
        <v>2253</v>
      </c>
      <c r="K72" s="175">
        <f t="shared" si="17"/>
        <v>2908</v>
      </c>
      <c r="L72" s="175">
        <f t="shared" si="17"/>
        <v>165</v>
      </c>
      <c r="M72" s="175">
        <f t="shared" si="17"/>
        <v>0</v>
      </c>
      <c r="N72" s="175">
        <f t="shared" si="17"/>
        <v>0</v>
      </c>
      <c r="O72" s="175">
        <f t="shared" si="17"/>
        <v>0</v>
      </c>
      <c r="P72" s="175">
        <f t="shared" ref="P72:P76" si="18">SUM(C72:O72)</f>
        <v>37734</v>
      </c>
      <c r="Q72" s="188"/>
    </row>
    <row r="73" spans="1:18" ht="13.5" customHeight="1" x14ac:dyDescent="0.2">
      <c r="A73" s="180" t="s">
        <v>276</v>
      </c>
      <c r="B73" s="125" t="s">
        <v>394</v>
      </c>
      <c r="C73" s="175"/>
      <c r="D73" s="175"/>
      <c r="E73" s="175"/>
      <c r="F73" s="175"/>
      <c r="G73" s="175"/>
      <c r="H73" s="175">
        <f>1050+450</f>
        <v>1500</v>
      </c>
      <c r="I73" s="175"/>
      <c r="J73" s="175"/>
      <c r="K73" s="175"/>
      <c r="L73" s="175"/>
      <c r="M73" s="175"/>
      <c r="N73" s="175"/>
      <c r="O73" s="175"/>
      <c r="P73" s="175">
        <f t="shared" si="18"/>
        <v>1500</v>
      </c>
      <c r="Q73" s="188"/>
    </row>
    <row r="74" spans="1:18" s="289" customFormat="1" ht="13.5" hidden="1" customHeight="1" x14ac:dyDescent="0.25">
      <c r="A74" s="383"/>
      <c r="B74" s="384" t="s">
        <v>717</v>
      </c>
      <c r="C74" s="385"/>
      <c r="D74" s="385"/>
      <c r="E74" s="385"/>
      <c r="F74" s="385"/>
      <c r="G74" s="385"/>
      <c r="H74" s="385">
        <v>0</v>
      </c>
      <c r="I74" s="385"/>
      <c r="J74" s="385"/>
      <c r="K74" s="385"/>
      <c r="L74" s="385"/>
      <c r="M74" s="385"/>
      <c r="N74" s="385"/>
      <c r="O74" s="385"/>
      <c r="P74" s="385">
        <f t="shared" si="18"/>
        <v>0</v>
      </c>
      <c r="Q74" s="386"/>
    </row>
    <row r="75" spans="1:18" ht="13.5" customHeight="1" x14ac:dyDescent="0.2">
      <c r="A75" s="180" t="s">
        <v>300</v>
      </c>
      <c r="B75" s="125" t="s">
        <v>35</v>
      </c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>
        <f t="shared" si="18"/>
        <v>0</v>
      </c>
      <c r="Q75" s="188"/>
    </row>
    <row r="76" spans="1:18" ht="13.5" customHeight="1" thickBot="1" x14ac:dyDescent="0.25">
      <c r="A76" s="180" t="s">
        <v>301</v>
      </c>
      <c r="B76" s="179" t="s">
        <v>302</v>
      </c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75">
        <f t="shared" si="18"/>
        <v>0</v>
      </c>
      <c r="Q76" s="188"/>
    </row>
    <row r="77" spans="1:18" ht="22.5" customHeight="1" thickBot="1" x14ac:dyDescent="0.4">
      <c r="A77" s="177"/>
      <c r="B77" s="230" t="s">
        <v>7</v>
      </c>
      <c r="C77" s="182">
        <f t="shared" ref="C77:P77" si="19">SUM(C24+C27+C72+C73+C75+C76)</f>
        <v>29531</v>
      </c>
      <c r="D77" s="182">
        <f t="shared" si="19"/>
        <v>23589</v>
      </c>
      <c r="E77" s="182">
        <f t="shared" si="19"/>
        <v>7665</v>
      </c>
      <c r="F77" s="182">
        <f t="shared" si="19"/>
        <v>432</v>
      </c>
      <c r="G77" s="182">
        <f t="shared" si="19"/>
        <v>4718</v>
      </c>
      <c r="H77" s="182">
        <f t="shared" si="19"/>
        <v>7596</v>
      </c>
      <c r="I77" s="182">
        <f t="shared" si="19"/>
        <v>0</v>
      </c>
      <c r="J77" s="182">
        <f t="shared" si="19"/>
        <v>3174</v>
      </c>
      <c r="K77" s="182">
        <f t="shared" si="19"/>
        <v>2908</v>
      </c>
      <c r="L77" s="182">
        <f t="shared" si="19"/>
        <v>465</v>
      </c>
      <c r="M77" s="182">
        <f t="shared" si="19"/>
        <v>0</v>
      </c>
      <c r="N77" s="182">
        <f t="shared" si="19"/>
        <v>0</v>
      </c>
      <c r="O77" s="182">
        <f t="shared" si="19"/>
        <v>0</v>
      </c>
      <c r="P77" s="226">
        <f t="shared" si="19"/>
        <v>80078</v>
      </c>
      <c r="Q77" s="188"/>
    </row>
    <row r="78" spans="1:18" x14ac:dyDescent="0.2">
      <c r="A78" s="60"/>
      <c r="B78" s="228" t="s">
        <v>43</v>
      </c>
      <c r="C78" s="229"/>
      <c r="D78" s="181">
        <v>3</v>
      </c>
      <c r="E78" s="181">
        <v>1</v>
      </c>
      <c r="F78" s="181"/>
      <c r="G78" s="78"/>
      <c r="H78" s="78"/>
      <c r="I78" s="78"/>
      <c r="J78" s="181"/>
      <c r="K78" s="78"/>
      <c r="L78" s="78"/>
      <c r="M78" s="78"/>
      <c r="N78" s="78"/>
      <c r="O78" s="78"/>
      <c r="P78" s="78">
        <f>SUM(C78:O78)</f>
        <v>4</v>
      </c>
      <c r="Q78" s="2"/>
    </row>
    <row r="79" spans="1:18" x14ac:dyDescent="0.2">
      <c r="B79" s="227" t="s">
        <v>384</v>
      </c>
      <c r="C79" s="2"/>
      <c r="D79" s="27"/>
      <c r="E79" s="27"/>
      <c r="F79" s="27"/>
      <c r="G79" s="2"/>
      <c r="H79" s="2"/>
      <c r="I79" s="2"/>
      <c r="J79" s="2"/>
      <c r="K79" s="2"/>
      <c r="L79" s="2"/>
      <c r="M79" s="2"/>
      <c r="N79" s="2"/>
      <c r="O79" s="2">
        <v>0</v>
      </c>
      <c r="P79" s="7">
        <f>SUM(O79)</f>
        <v>0</v>
      </c>
      <c r="Q79" s="2"/>
    </row>
    <row r="81" spans="1:17" ht="28.5" hidden="1" customHeight="1" thickBot="1" x14ac:dyDescent="0.25">
      <c r="A81" s="484" t="s">
        <v>106</v>
      </c>
      <c r="B81" s="479" t="s">
        <v>26</v>
      </c>
      <c r="C81" s="481" t="s">
        <v>776</v>
      </c>
      <c r="D81" s="482"/>
      <c r="E81" s="482"/>
      <c r="F81" s="482"/>
      <c r="G81" s="482"/>
      <c r="H81" s="482"/>
      <c r="I81" s="482"/>
      <c r="J81" s="482"/>
      <c r="K81" s="482"/>
      <c r="L81" s="482"/>
      <c r="M81" s="482"/>
      <c r="N81" s="482"/>
      <c r="O81" s="482"/>
      <c r="P81" s="483"/>
    </row>
    <row r="82" spans="1:17" ht="77.25" hidden="1" customHeight="1" thickBot="1" x14ac:dyDescent="0.25">
      <c r="A82" s="485"/>
      <c r="B82" s="480"/>
      <c r="C82" s="178" t="s">
        <v>296</v>
      </c>
      <c r="D82" s="176" t="s">
        <v>379</v>
      </c>
      <c r="E82" s="176" t="s">
        <v>338</v>
      </c>
      <c r="F82" s="176" t="s">
        <v>373</v>
      </c>
      <c r="G82" s="176" t="s">
        <v>103</v>
      </c>
      <c r="H82" s="176" t="s">
        <v>628</v>
      </c>
      <c r="I82" s="178"/>
      <c r="J82" s="178" t="s">
        <v>345</v>
      </c>
      <c r="K82" s="178" t="s">
        <v>629</v>
      </c>
      <c r="L82" s="178" t="s">
        <v>304</v>
      </c>
      <c r="M82" s="178" t="s">
        <v>563</v>
      </c>
      <c r="N82" s="178" t="s">
        <v>612</v>
      </c>
      <c r="O82" s="178" t="s">
        <v>337</v>
      </c>
      <c r="P82" s="212" t="s">
        <v>40</v>
      </c>
    </row>
    <row r="83" spans="1:17" ht="13.5" hidden="1" customHeight="1" x14ac:dyDescent="0.2">
      <c r="A83" s="183" t="s">
        <v>279</v>
      </c>
      <c r="B83" s="17" t="s">
        <v>280</v>
      </c>
      <c r="C83" s="38">
        <f t="shared" ref="C83:P83" si="20">SUM(C84:C88)</f>
        <v>0</v>
      </c>
      <c r="D83" s="38">
        <f t="shared" si="20"/>
        <v>12573</v>
      </c>
      <c r="E83" s="38">
        <f t="shared" si="20"/>
        <v>4705</v>
      </c>
      <c r="F83" s="38">
        <f t="shared" si="20"/>
        <v>0</v>
      </c>
      <c r="G83" s="38">
        <f t="shared" si="20"/>
        <v>0</v>
      </c>
      <c r="H83" s="38">
        <f t="shared" si="20"/>
        <v>0</v>
      </c>
      <c r="I83" s="38">
        <f t="shared" si="20"/>
        <v>0</v>
      </c>
      <c r="J83" s="38">
        <f t="shared" si="20"/>
        <v>0</v>
      </c>
      <c r="K83" s="38">
        <f t="shared" si="20"/>
        <v>0</v>
      </c>
      <c r="L83" s="38">
        <f t="shared" si="20"/>
        <v>0</v>
      </c>
      <c r="M83" s="38">
        <f t="shared" si="20"/>
        <v>0</v>
      </c>
      <c r="N83" s="38">
        <f t="shared" si="20"/>
        <v>0</v>
      </c>
      <c r="O83" s="38">
        <f t="shared" si="20"/>
        <v>0</v>
      </c>
      <c r="P83" s="38">
        <f t="shared" si="20"/>
        <v>17278</v>
      </c>
      <c r="Q83" s="188"/>
    </row>
    <row r="84" spans="1:17" ht="13.5" hidden="1" customHeight="1" x14ac:dyDescent="0.2">
      <c r="A84" s="378">
        <v>1101</v>
      </c>
      <c r="B84" s="49" t="s">
        <v>310</v>
      </c>
      <c r="C84" s="186"/>
      <c r="D84" s="78">
        <f>10274+1407</f>
        <v>11681</v>
      </c>
      <c r="E84" s="78">
        <v>4464</v>
      </c>
      <c r="F84" s="78"/>
      <c r="G84" s="78"/>
      <c r="H84" s="78"/>
      <c r="I84" s="78"/>
      <c r="J84" s="78"/>
      <c r="K84" s="78"/>
      <c r="L84" s="78"/>
      <c r="M84" s="78"/>
      <c r="N84" s="78"/>
      <c r="O84" s="78">
        <v>0</v>
      </c>
      <c r="P84" s="78">
        <f t="shared" ref="P84:P98" si="21">SUM(C84:O84)</f>
        <v>16145</v>
      </c>
      <c r="Q84" s="188"/>
    </row>
    <row r="85" spans="1:17" ht="13.5" hidden="1" customHeight="1" x14ac:dyDescent="0.2">
      <c r="A85" s="378">
        <v>1106</v>
      </c>
      <c r="B85" s="49" t="s">
        <v>620</v>
      </c>
      <c r="C85" s="186"/>
      <c r="D85" s="381"/>
      <c r="E85" s="381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>
        <f t="shared" si="21"/>
        <v>0</v>
      </c>
      <c r="Q85" s="188"/>
    </row>
    <row r="86" spans="1:17" ht="13.5" hidden="1" customHeight="1" x14ac:dyDescent="0.2">
      <c r="A86" s="378">
        <v>1107</v>
      </c>
      <c r="B86" s="49" t="s">
        <v>622</v>
      </c>
      <c r="C86" s="186"/>
      <c r="D86" s="78">
        <v>345</v>
      </c>
      <c r="E86" s="78">
        <v>115</v>
      </c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>
        <f t="shared" si="21"/>
        <v>460</v>
      </c>
      <c r="Q86" s="188"/>
    </row>
    <row r="87" spans="1:17" ht="13.5" hidden="1" customHeight="1" x14ac:dyDescent="0.2">
      <c r="A87" s="378">
        <v>1109</v>
      </c>
      <c r="B87" s="49" t="s">
        <v>44</v>
      </c>
      <c r="C87" s="186"/>
      <c r="D87" s="78">
        <v>71</v>
      </c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>
        <f t="shared" si="21"/>
        <v>71</v>
      </c>
      <c r="Q87" s="188"/>
    </row>
    <row r="88" spans="1:17" ht="12.75" hidden="1" customHeight="1" x14ac:dyDescent="0.2">
      <c r="A88" s="60">
        <v>1113</v>
      </c>
      <c r="B88" s="2" t="s">
        <v>639</v>
      </c>
      <c r="C88" s="10"/>
      <c r="D88" s="10">
        <f>226+250</f>
        <v>476</v>
      </c>
      <c r="E88" s="10">
        <f>76+50</f>
        <v>126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78">
        <f t="shared" si="21"/>
        <v>602</v>
      </c>
      <c r="Q88" s="188"/>
    </row>
    <row r="89" spans="1:17" ht="12.75" hidden="1" customHeight="1" x14ac:dyDescent="0.2">
      <c r="A89" s="77" t="s">
        <v>281</v>
      </c>
      <c r="B89" s="13" t="s">
        <v>309</v>
      </c>
      <c r="C89" s="6">
        <f>SUM(C90:C97)</f>
        <v>14046</v>
      </c>
      <c r="D89" s="6">
        <f>SUM(D90:D97)</f>
        <v>100</v>
      </c>
      <c r="E89" s="6">
        <f>SUM(E90:E97)</f>
        <v>0</v>
      </c>
      <c r="F89" s="6">
        <f>SUM(F90:F97)</f>
        <v>0</v>
      </c>
      <c r="G89" s="6">
        <f t="shared" ref="G89:O89" si="22">SUM(G90:G97)</f>
        <v>0</v>
      </c>
      <c r="H89" s="6">
        <f t="shared" si="22"/>
        <v>0</v>
      </c>
      <c r="I89" s="6">
        <f t="shared" si="22"/>
        <v>0</v>
      </c>
      <c r="J89" s="6">
        <f t="shared" si="22"/>
        <v>1486</v>
      </c>
      <c r="K89" s="6">
        <f t="shared" si="22"/>
        <v>0</v>
      </c>
      <c r="L89" s="6">
        <f t="shared" si="22"/>
        <v>300</v>
      </c>
      <c r="M89" s="6">
        <f t="shared" si="22"/>
        <v>0</v>
      </c>
      <c r="N89" s="6">
        <f t="shared" si="22"/>
        <v>0</v>
      </c>
      <c r="O89" s="6">
        <f t="shared" si="22"/>
        <v>0</v>
      </c>
      <c r="P89" s="225">
        <f t="shared" si="21"/>
        <v>15932</v>
      </c>
      <c r="Q89" s="188"/>
    </row>
    <row r="90" spans="1:17" ht="12.75" hidden="1" customHeight="1" x14ac:dyDescent="0.2">
      <c r="A90" s="60">
        <v>121</v>
      </c>
      <c r="B90" s="8" t="s">
        <v>777</v>
      </c>
      <c r="C90" s="186">
        <f>7800+2451</f>
        <v>10251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10">
        <f t="shared" si="21"/>
        <v>10251</v>
      </c>
      <c r="Q90" s="188"/>
    </row>
    <row r="91" spans="1:17" ht="12.75" hidden="1" customHeight="1" x14ac:dyDescent="0.2">
      <c r="A91" s="60">
        <v>121</v>
      </c>
      <c r="B91" s="152" t="s">
        <v>708</v>
      </c>
      <c r="C91" s="186">
        <v>75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10">
        <f t="shared" si="21"/>
        <v>75</v>
      </c>
      <c r="Q91" s="188"/>
    </row>
    <row r="92" spans="1:17" ht="12.75" hidden="1" customHeight="1" x14ac:dyDescent="0.2">
      <c r="A92" s="60">
        <v>121</v>
      </c>
      <c r="B92" s="152" t="s">
        <v>396</v>
      </c>
      <c r="C92" s="186">
        <v>188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10">
        <f t="shared" si="21"/>
        <v>188</v>
      </c>
      <c r="Q92" s="188"/>
    </row>
    <row r="93" spans="1:17" ht="12.75" hidden="1" customHeight="1" x14ac:dyDescent="0.2">
      <c r="A93" s="60">
        <v>121</v>
      </c>
      <c r="B93" s="152" t="s">
        <v>308</v>
      </c>
      <c r="C93" s="186">
        <v>1170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10">
        <f t="shared" si="21"/>
        <v>1170</v>
      </c>
      <c r="Q93" s="188"/>
    </row>
    <row r="94" spans="1:17" ht="12.75" hidden="1" customHeight="1" x14ac:dyDescent="0.2">
      <c r="A94" s="60">
        <v>121</v>
      </c>
      <c r="B94" s="8" t="s">
        <v>660</v>
      </c>
      <c r="C94" s="10">
        <v>1392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>
        <f t="shared" si="21"/>
        <v>1392</v>
      </c>
      <c r="Q94" s="188"/>
    </row>
    <row r="95" spans="1:17" ht="12.75" hidden="1" customHeight="1" x14ac:dyDescent="0.2">
      <c r="A95" s="60">
        <v>122</v>
      </c>
      <c r="B95" s="8" t="s">
        <v>493</v>
      </c>
      <c r="C95" s="10">
        <f>250+200</f>
        <v>450</v>
      </c>
      <c r="D95" s="10"/>
      <c r="E95" s="10"/>
      <c r="F95" s="10"/>
      <c r="G95" s="10"/>
      <c r="H95" s="10"/>
      <c r="I95" s="10"/>
      <c r="J95" s="10">
        <v>286</v>
      </c>
      <c r="K95" s="10"/>
      <c r="L95" s="10">
        <v>300</v>
      </c>
      <c r="M95" s="10"/>
      <c r="N95" s="10"/>
      <c r="O95" s="10"/>
      <c r="P95" s="10">
        <f t="shared" si="21"/>
        <v>1036</v>
      </c>
      <c r="Q95" s="188"/>
    </row>
    <row r="96" spans="1:17" ht="12.75" hidden="1" customHeight="1" x14ac:dyDescent="0.2">
      <c r="A96" s="60">
        <v>123</v>
      </c>
      <c r="B96" s="8" t="s">
        <v>619</v>
      </c>
      <c r="C96" s="10">
        <v>120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>
        <f t="shared" si="21"/>
        <v>120</v>
      </c>
      <c r="Q96" s="188"/>
    </row>
    <row r="97" spans="1:17" ht="12.75" hidden="1" customHeight="1" x14ac:dyDescent="0.2">
      <c r="A97" s="60">
        <v>123</v>
      </c>
      <c r="B97" s="8" t="s">
        <v>568</v>
      </c>
      <c r="C97" s="10">
        <f>500-100</f>
        <v>400</v>
      </c>
      <c r="D97" s="10">
        <v>100</v>
      </c>
      <c r="E97" s="10"/>
      <c r="F97" s="10"/>
      <c r="G97" s="10"/>
      <c r="H97" s="10"/>
      <c r="I97" s="10"/>
      <c r="J97" s="10">
        <f>700+500</f>
        <v>1200</v>
      </c>
      <c r="K97" s="10"/>
      <c r="L97" s="10"/>
      <c r="M97" s="10"/>
      <c r="N97" s="10"/>
      <c r="O97" s="10"/>
      <c r="P97" s="10">
        <f t="shared" si="21"/>
        <v>1700</v>
      </c>
      <c r="Q97" s="188"/>
    </row>
    <row r="98" spans="1:17" ht="13.5" hidden="1" customHeight="1" x14ac:dyDescent="0.2">
      <c r="A98" s="77" t="s">
        <v>203</v>
      </c>
      <c r="B98" s="125" t="s">
        <v>278</v>
      </c>
      <c r="C98" s="175">
        <f t="shared" ref="C98:L98" si="23">SUM(C83+C89)</f>
        <v>14046</v>
      </c>
      <c r="D98" s="175">
        <f t="shared" si="23"/>
        <v>12673</v>
      </c>
      <c r="E98" s="175">
        <f t="shared" si="23"/>
        <v>4705</v>
      </c>
      <c r="F98" s="175">
        <f t="shared" si="23"/>
        <v>0</v>
      </c>
      <c r="G98" s="175">
        <f t="shared" si="23"/>
        <v>0</v>
      </c>
      <c r="H98" s="175">
        <f t="shared" si="23"/>
        <v>0</v>
      </c>
      <c r="I98" s="175">
        <f t="shared" si="23"/>
        <v>0</v>
      </c>
      <c r="J98" s="175">
        <f t="shared" si="23"/>
        <v>1486</v>
      </c>
      <c r="K98" s="175">
        <f t="shared" si="23"/>
        <v>0</v>
      </c>
      <c r="L98" s="175">
        <f t="shared" si="23"/>
        <v>300</v>
      </c>
      <c r="M98" s="175">
        <f>SUM(M83+M89)</f>
        <v>0</v>
      </c>
      <c r="N98" s="175">
        <f>SUM(N83+N89)</f>
        <v>0</v>
      </c>
      <c r="O98" s="175">
        <f>SUM(O83+O89)</f>
        <v>0</v>
      </c>
      <c r="P98" s="175">
        <f t="shared" si="21"/>
        <v>33210</v>
      </c>
      <c r="Q98" s="188"/>
    </row>
    <row r="99" spans="1:17" ht="13.5" hidden="1" customHeight="1" x14ac:dyDescent="0.2">
      <c r="A99" s="60"/>
      <c r="B99" s="8" t="s">
        <v>27</v>
      </c>
      <c r="C99" s="10">
        <f>1600+39+319</f>
        <v>1958</v>
      </c>
      <c r="D99" s="10">
        <v>1125</v>
      </c>
      <c r="E99" s="10">
        <v>612</v>
      </c>
      <c r="F99" s="10"/>
      <c r="G99" s="10"/>
      <c r="H99" s="10"/>
      <c r="I99" s="10"/>
      <c r="J99" s="10">
        <v>34</v>
      </c>
      <c r="K99" s="10"/>
      <c r="L99" s="10"/>
      <c r="M99" s="10"/>
      <c r="N99" s="10"/>
      <c r="O99" s="10">
        <v>0</v>
      </c>
      <c r="P99" s="10">
        <f>SUM(C99:O99)</f>
        <v>3729</v>
      </c>
      <c r="Q99" s="188"/>
    </row>
    <row r="100" spans="1:17" hidden="1" x14ac:dyDescent="0.2">
      <c r="A100" s="60"/>
      <c r="B100" s="8" t="s">
        <v>468</v>
      </c>
      <c r="C100" s="10">
        <v>241</v>
      </c>
      <c r="D100" s="10">
        <v>52</v>
      </c>
      <c r="E100" s="10">
        <v>18</v>
      </c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>
        <f>SUM(C100:O100)</f>
        <v>311</v>
      </c>
      <c r="Q100" s="188"/>
    </row>
    <row r="101" spans="1:17" ht="13.5" hidden="1" customHeight="1" x14ac:dyDescent="0.2">
      <c r="A101" s="77" t="s">
        <v>204</v>
      </c>
      <c r="B101" s="125" t="s">
        <v>86</v>
      </c>
      <c r="C101" s="175">
        <f>SUM(C99:C100)</f>
        <v>2199</v>
      </c>
      <c r="D101" s="175">
        <f>SUM(D99:D100)</f>
        <v>1177</v>
      </c>
      <c r="E101" s="175">
        <f>SUM(E99:E100)</f>
        <v>630</v>
      </c>
      <c r="F101" s="175">
        <f>SUM(F99:F100)</f>
        <v>0</v>
      </c>
      <c r="G101" s="175">
        <f t="shared" ref="G101:L101" si="24">SUM(G99:G100)</f>
        <v>0</v>
      </c>
      <c r="H101" s="175">
        <f t="shared" si="24"/>
        <v>0</v>
      </c>
      <c r="I101" s="175">
        <f t="shared" si="24"/>
        <v>0</v>
      </c>
      <c r="J101" s="175">
        <f t="shared" si="24"/>
        <v>34</v>
      </c>
      <c r="K101" s="175">
        <f t="shared" si="24"/>
        <v>0</v>
      </c>
      <c r="L101" s="175">
        <f t="shared" si="24"/>
        <v>0</v>
      </c>
      <c r="M101" s="175">
        <f>SUM(M99:M100)</f>
        <v>0</v>
      </c>
      <c r="N101" s="175"/>
      <c r="O101" s="175">
        <f>SUM(O99:O100)</f>
        <v>0</v>
      </c>
      <c r="P101" s="175">
        <f>SUM(P99:P100)</f>
        <v>4040</v>
      </c>
      <c r="Q101" s="188"/>
    </row>
    <row r="102" spans="1:17" ht="13.5" hidden="1" customHeight="1" x14ac:dyDescent="0.2">
      <c r="A102" s="77" t="s">
        <v>244</v>
      </c>
      <c r="B102" s="13" t="s">
        <v>267</v>
      </c>
      <c r="C102" s="6">
        <f t="shared" ref="C102:M102" si="25">SUM(C103:C110)</f>
        <v>680</v>
      </c>
      <c r="D102" s="6">
        <f t="shared" si="25"/>
        <v>2520</v>
      </c>
      <c r="E102" s="6">
        <f t="shared" si="25"/>
        <v>880</v>
      </c>
      <c r="F102" s="6">
        <f t="shared" si="25"/>
        <v>285</v>
      </c>
      <c r="G102" s="6">
        <f t="shared" si="25"/>
        <v>0</v>
      </c>
      <c r="H102" s="6">
        <f t="shared" si="25"/>
        <v>0</v>
      </c>
      <c r="I102" s="6">
        <f t="shared" si="25"/>
        <v>0</v>
      </c>
      <c r="J102" s="6">
        <f t="shared" si="25"/>
        <v>420</v>
      </c>
      <c r="K102" s="6">
        <f t="shared" si="25"/>
        <v>0</v>
      </c>
      <c r="L102" s="6">
        <f t="shared" si="25"/>
        <v>100</v>
      </c>
      <c r="M102" s="6">
        <f t="shared" si="25"/>
        <v>0</v>
      </c>
      <c r="N102" s="6"/>
      <c r="O102" s="6">
        <f>SUM(O103:O110)</f>
        <v>0</v>
      </c>
      <c r="P102" s="6">
        <f>SUM(P103:P110)</f>
        <v>4885</v>
      </c>
      <c r="Q102" s="188"/>
    </row>
    <row r="103" spans="1:17" ht="13.5" hidden="1" customHeight="1" x14ac:dyDescent="0.2">
      <c r="A103" s="60" t="s">
        <v>245</v>
      </c>
      <c r="B103" s="8" t="s">
        <v>343</v>
      </c>
      <c r="C103" s="10"/>
      <c r="D103" s="301"/>
      <c r="E103" s="301"/>
      <c r="F103" s="301"/>
      <c r="G103" s="10"/>
      <c r="H103" s="10"/>
      <c r="I103" s="10"/>
      <c r="J103" s="10">
        <f>100+20</f>
        <v>120</v>
      </c>
      <c r="K103" s="10"/>
      <c r="L103" s="10">
        <f>50-20</f>
        <v>30</v>
      </c>
      <c r="M103" s="10"/>
      <c r="N103" s="10"/>
      <c r="O103" s="10"/>
      <c r="P103" s="10">
        <f t="shared" ref="P103:P108" si="26">SUM(C103:O103)</f>
        <v>150</v>
      </c>
      <c r="Q103" s="188"/>
    </row>
    <row r="104" spans="1:17" ht="13.5" hidden="1" customHeight="1" x14ac:dyDescent="0.2">
      <c r="A104" s="60" t="s">
        <v>247</v>
      </c>
      <c r="B104" s="8" t="s">
        <v>268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>
        <f t="shared" si="26"/>
        <v>0</v>
      </c>
      <c r="Q104" s="188"/>
    </row>
    <row r="105" spans="1:17" ht="13.5" hidden="1" customHeight="1" x14ac:dyDescent="0.2">
      <c r="A105" s="60"/>
      <c r="B105" s="8" t="s">
        <v>289</v>
      </c>
      <c r="C105" s="10">
        <v>150</v>
      </c>
      <c r="D105" s="10"/>
      <c r="E105" s="10"/>
      <c r="F105" s="10"/>
      <c r="G105" s="10"/>
      <c r="H105" s="10"/>
      <c r="I105" s="10"/>
      <c r="J105" s="10">
        <v>30</v>
      </c>
      <c r="K105" s="10"/>
      <c r="L105" s="10">
        <v>20</v>
      </c>
      <c r="M105" s="10"/>
      <c r="N105" s="10"/>
      <c r="O105" s="10"/>
      <c r="P105" s="10">
        <f t="shared" si="26"/>
        <v>200</v>
      </c>
      <c r="Q105" s="188"/>
    </row>
    <row r="106" spans="1:17" ht="13.5" hidden="1" customHeight="1" x14ac:dyDescent="0.2">
      <c r="A106" s="60"/>
      <c r="B106" s="8" t="s">
        <v>290</v>
      </c>
      <c r="C106" s="10"/>
      <c r="D106" s="10">
        <f>700+300</f>
        <v>1000</v>
      </c>
      <c r="E106" s="10">
        <f>1000-300</f>
        <v>700</v>
      </c>
      <c r="F106" s="10">
        <v>250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>
        <f t="shared" si="26"/>
        <v>1950</v>
      </c>
      <c r="Q106" s="188"/>
    </row>
    <row r="107" spans="1:17" ht="13.5" hidden="1" customHeight="1" x14ac:dyDescent="0.2">
      <c r="A107" s="60"/>
      <c r="B107" s="8" t="s">
        <v>291</v>
      </c>
      <c r="C107" s="10">
        <f>110+100</f>
        <v>210</v>
      </c>
      <c r="D107" s="10">
        <f>320-100</f>
        <v>220</v>
      </c>
      <c r="E107" s="10"/>
      <c r="F107" s="10"/>
      <c r="G107" s="10"/>
      <c r="H107" s="10"/>
      <c r="I107" s="10"/>
      <c r="J107" s="10">
        <v>50</v>
      </c>
      <c r="K107" s="10"/>
      <c r="L107" s="10"/>
      <c r="M107" s="10"/>
      <c r="N107" s="10"/>
      <c r="O107" s="10"/>
      <c r="P107" s="10">
        <f t="shared" si="26"/>
        <v>480</v>
      </c>
      <c r="Q107" s="188"/>
    </row>
    <row r="108" spans="1:17" ht="13.5" hidden="1" customHeight="1" x14ac:dyDescent="0.2">
      <c r="A108" s="60"/>
      <c r="B108" s="8" t="s">
        <v>321</v>
      </c>
      <c r="C108" s="10">
        <v>320</v>
      </c>
      <c r="D108" s="10">
        <v>1200</v>
      </c>
      <c r="E108" s="10">
        <v>100</v>
      </c>
      <c r="F108" s="10">
        <v>35</v>
      </c>
      <c r="G108" s="10"/>
      <c r="H108" s="10"/>
      <c r="I108" s="10"/>
      <c r="J108" s="10">
        <f>120+100</f>
        <v>220</v>
      </c>
      <c r="K108" s="10"/>
      <c r="L108" s="10">
        <v>50</v>
      </c>
      <c r="M108" s="10"/>
      <c r="N108" s="10"/>
      <c r="O108" s="10"/>
      <c r="P108" s="10">
        <f t="shared" si="26"/>
        <v>1925</v>
      </c>
      <c r="Q108" s="188"/>
    </row>
    <row r="109" spans="1:17" ht="13.5" hidden="1" customHeight="1" x14ac:dyDescent="0.2">
      <c r="A109" s="60"/>
      <c r="B109" s="8" t="s">
        <v>299</v>
      </c>
      <c r="C109" s="10"/>
      <c r="D109" s="10">
        <v>100</v>
      </c>
      <c r="E109" s="10">
        <v>80</v>
      </c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>
        <f>SUM(C109:O109)</f>
        <v>180</v>
      </c>
      <c r="Q109" s="188"/>
    </row>
    <row r="110" spans="1:17" ht="13.5" hidden="1" customHeight="1" x14ac:dyDescent="0.2">
      <c r="A110" s="60"/>
      <c r="B110" s="8" t="s">
        <v>576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>
        <f>SUM(C110:O110)</f>
        <v>0</v>
      </c>
      <c r="Q110" s="188"/>
    </row>
    <row r="111" spans="1:17" ht="13.5" hidden="1" customHeight="1" x14ac:dyDescent="0.2">
      <c r="A111" s="77" t="s">
        <v>248</v>
      </c>
      <c r="B111" s="13" t="s">
        <v>270</v>
      </c>
      <c r="C111" s="6">
        <f>SUM(C112:C113)</f>
        <v>600</v>
      </c>
      <c r="D111" s="6">
        <f>SUM(D112:D113)</f>
        <v>0</v>
      </c>
      <c r="E111" s="6">
        <f>SUM(E112:E113)</f>
        <v>0</v>
      </c>
      <c r="F111" s="6">
        <f>SUM(F112:F113)</f>
        <v>0</v>
      </c>
      <c r="G111" s="6">
        <f t="shared" ref="G111:M111" si="27">SUM(G112:G113)</f>
        <v>0</v>
      </c>
      <c r="H111" s="6">
        <f t="shared" si="27"/>
        <v>0</v>
      </c>
      <c r="I111" s="6">
        <f t="shared" si="27"/>
        <v>0</v>
      </c>
      <c r="J111" s="6">
        <f t="shared" si="27"/>
        <v>0</v>
      </c>
      <c r="K111" s="6">
        <f t="shared" si="27"/>
        <v>400</v>
      </c>
      <c r="L111" s="6">
        <f t="shared" si="27"/>
        <v>0</v>
      </c>
      <c r="M111" s="6">
        <f t="shared" si="27"/>
        <v>0</v>
      </c>
      <c r="N111" s="6"/>
      <c r="O111" s="6">
        <f t="shared" ref="O111" si="28">SUM(O112:O113)</f>
        <v>0</v>
      </c>
      <c r="P111" s="6">
        <f>SUM(P112:P113)</f>
        <v>1000</v>
      </c>
      <c r="Q111" s="188"/>
    </row>
    <row r="112" spans="1:17" ht="13.5" hidden="1" customHeight="1" x14ac:dyDescent="0.2">
      <c r="A112" s="60" t="s">
        <v>249</v>
      </c>
      <c r="B112" s="8" t="s">
        <v>340</v>
      </c>
      <c r="C112" s="10">
        <f>400+100</f>
        <v>500</v>
      </c>
      <c r="D112" s="10"/>
      <c r="E112" s="10"/>
      <c r="F112" s="10"/>
      <c r="G112" s="10"/>
      <c r="H112" s="10"/>
      <c r="I112" s="10"/>
      <c r="J112" s="10">
        <f>100-100</f>
        <v>0</v>
      </c>
      <c r="K112" s="10">
        <v>300</v>
      </c>
      <c r="L112" s="10"/>
      <c r="M112" s="10"/>
      <c r="N112" s="10"/>
      <c r="O112" s="10"/>
      <c r="P112" s="10">
        <f>SUM(C112:O112)</f>
        <v>800</v>
      </c>
      <c r="Q112" s="188"/>
    </row>
    <row r="113" spans="1:17" ht="13.5" hidden="1" customHeight="1" x14ac:dyDescent="0.2">
      <c r="A113" s="60" t="s">
        <v>250</v>
      </c>
      <c r="B113" s="8" t="s">
        <v>292</v>
      </c>
      <c r="C113" s="10">
        <v>100</v>
      </c>
      <c r="D113" s="301"/>
      <c r="E113" s="10"/>
      <c r="F113" s="301"/>
      <c r="G113" s="10"/>
      <c r="H113" s="10"/>
      <c r="I113" s="10"/>
      <c r="J113" s="10"/>
      <c r="K113" s="10">
        <v>100</v>
      </c>
      <c r="L113" s="10"/>
      <c r="M113" s="10"/>
      <c r="N113" s="10"/>
      <c r="O113" s="10"/>
      <c r="P113" s="10">
        <f>SUM(C113:O113)</f>
        <v>200</v>
      </c>
      <c r="Q113" s="188"/>
    </row>
    <row r="114" spans="1:17" ht="13.5" hidden="1" customHeight="1" x14ac:dyDescent="0.2">
      <c r="A114" s="77" t="s">
        <v>251</v>
      </c>
      <c r="B114" s="13" t="s">
        <v>271</v>
      </c>
      <c r="C114" s="6">
        <f t="shared" ref="C114:M114" si="29">SUM(C115:C134)</f>
        <v>5768</v>
      </c>
      <c r="D114" s="6">
        <f t="shared" si="29"/>
        <v>4918</v>
      </c>
      <c r="E114" s="6">
        <f t="shared" si="29"/>
        <v>818</v>
      </c>
      <c r="F114" s="6">
        <f t="shared" si="29"/>
        <v>430</v>
      </c>
      <c r="G114" s="6">
        <f t="shared" si="29"/>
        <v>2645</v>
      </c>
      <c r="H114" s="6">
        <f t="shared" si="29"/>
        <v>5371</v>
      </c>
      <c r="I114" s="6">
        <f t="shared" si="29"/>
        <v>0</v>
      </c>
      <c r="J114" s="6">
        <f t="shared" si="29"/>
        <v>2703</v>
      </c>
      <c r="K114" s="6">
        <f t="shared" si="29"/>
        <v>2378</v>
      </c>
      <c r="L114" s="6">
        <f t="shared" si="29"/>
        <v>65</v>
      </c>
      <c r="M114" s="6">
        <f t="shared" si="29"/>
        <v>0</v>
      </c>
      <c r="N114" s="6"/>
      <c r="O114" s="6">
        <f>SUM(O115:O134)</f>
        <v>0</v>
      </c>
      <c r="P114" s="6">
        <f>SUM(P115:P134)</f>
        <v>25096</v>
      </c>
      <c r="Q114" s="188"/>
    </row>
    <row r="115" spans="1:17" ht="13.5" hidden="1" customHeight="1" x14ac:dyDescent="0.2">
      <c r="A115" s="60" t="s">
        <v>252</v>
      </c>
      <c r="B115" s="8" t="s">
        <v>288</v>
      </c>
      <c r="C115" s="10">
        <v>1100</v>
      </c>
      <c r="D115" s="10">
        <f>1200-200-300-15</f>
        <v>685</v>
      </c>
      <c r="E115" s="10"/>
      <c r="F115" s="10">
        <f>50+200</f>
        <v>250</v>
      </c>
      <c r="G115" s="10">
        <f>1200+430+270</f>
        <v>1900</v>
      </c>
      <c r="H115" s="10"/>
      <c r="I115" s="10"/>
      <c r="J115" s="10"/>
      <c r="K115" s="10">
        <f>1000+300</f>
        <v>1300</v>
      </c>
      <c r="L115" s="10">
        <f>100-50+15</f>
        <v>65</v>
      </c>
      <c r="M115" s="10"/>
      <c r="N115" s="10"/>
      <c r="O115" s="10"/>
      <c r="P115" s="10">
        <f t="shared" ref="P115:P130" si="30">SUM(C115:O115)</f>
        <v>5300</v>
      </c>
      <c r="Q115" s="188"/>
    </row>
    <row r="116" spans="1:17" ht="13.5" hidden="1" customHeight="1" x14ac:dyDescent="0.2">
      <c r="A116" s="60" t="s">
        <v>297</v>
      </c>
      <c r="B116" s="8" t="s">
        <v>298</v>
      </c>
      <c r="C116" s="10"/>
      <c r="D116" s="10"/>
      <c r="E116" s="10"/>
      <c r="F116" s="10"/>
      <c r="G116" s="10"/>
      <c r="H116" s="10">
        <f>5456-85</f>
        <v>5371</v>
      </c>
      <c r="I116" s="10"/>
      <c r="J116" s="10">
        <v>100</v>
      </c>
      <c r="K116" s="10"/>
      <c r="L116" s="10"/>
      <c r="M116" s="10"/>
      <c r="N116" s="10"/>
      <c r="O116" s="10"/>
      <c r="P116" s="10">
        <f t="shared" si="30"/>
        <v>5471</v>
      </c>
      <c r="Q116" s="188"/>
    </row>
    <row r="117" spans="1:17" ht="13.5" hidden="1" customHeight="1" x14ac:dyDescent="0.2">
      <c r="A117" s="60" t="s">
        <v>253</v>
      </c>
      <c r="B117" s="8" t="s">
        <v>287</v>
      </c>
      <c r="C117" s="10"/>
      <c r="D117" s="10">
        <f>100+100</f>
        <v>200</v>
      </c>
      <c r="E117" s="10"/>
      <c r="F117" s="10"/>
      <c r="G117" s="10">
        <v>100</v>
      </c>
      <c r="H117" s="10"/>
      <c r="I117" s="10"/>
      <c r="J117" s="10"/>
      <c r="K117" s="10"/>
      <c r="L117" s="10"/>
      <c r="M117" s="10"/>
      <c r="N117" s="10"/>
      <c r="O117" s="10"/>
      <c r="P117" s="10">
        <f t="shared" si="30"/>
        <v>300</v>
      </c>
      <c r="Q117" s="188"/>
    </row>
    <row r="118" spans="1:17" ht="13.5" hidden="1" customHeight="1" x14ac:dyDescent="0.2">
      <c r="A118" s="60" t="s">
        <v>254</v>
      </c>
      <c r="B118" s="8" t="s">
        <v>286</v>
      </c>
      <c r="C118" s="10">
        <f>200-50</f>
        <v>150</v>
      </c>
      <c r="D118" s="10">
        <f>800+700+50+50+200</f>
        <v>1800</v>
      </c>
      <c r="E118" s="10">
        <f>400-200</f>
        <v>200</v>
      </c>
      <c r="F118" s="10"/>
      <c r="G118" s="10">
        <f>100-50</f>
        <v>50</v>
      </c>
      <c r="H118" s="10"/>
      <c r="I118" s="10"/>
      <c r="J118" s="10"/>
      <c r="K118" s="10">
        <v>50</v>
      </c>
      <c r="L118" s="10"/>
      <c r="M118" s="10"/>
      <c r="N118" s="10"/>
      <c r="O118" s="10"/>
      <c r="P118" s="10">
        <f t="shared" si="30"/>
        <v>2250</v>
      </c>
      <c r="Q118" s="188"/>
    </row>
    <row r="119" spans="1:17" ht="13.5" hidden="1" customHeight="1" x14ac:dyDescent="0.2">
      <c r="A119" s="60" t="s">
        <v>255</v>
      </c>
      <c r="B119" s="8" t="s">
        <v>285</v>
      </c>
      <c r="C119" s="10"/>
      <c r="D119" s="10">
        <f>100+280</f>
        <v>380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>
        <f t="shared" si="30"/>
        <v>380</v>
      </c>
      <c r="Q119" s="188"/>
    </row>
    <row r="120" spans="1:17" ht="13.5" hidden="1" customHeight="1" x14ac:dyDescent="0.2">
      <c r="A120" s="60" t="s">
        <v>256</v>
      </c>
      <c r="B120" s="8" t="s">
        <v>284</v>
      </c>
      <c r="C120" s="10">
        <f>250+550</f>
        <v>800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>
        <f t="shared" si="30"/>
        <v>800</v>
      </c>
      <c r="Q120" s="188"/>
    </row>
    <row r="121" spans="1:17" ht="13.5" hidden="1" customHeight="1" x14ac:dyDescent="0.2">
      <c r="A121" s="60"/>
      <c r="B121" s="8" t="s">
        <v>303</v>
      </c>
      <c r="C121" s="8">
        <v>48</v>
      </c>
      <c r="D121" s="10">
        <v>48</v>
      </c>
      <c r="E121" s="10">
        <v>48</v>
      </c>
      <c r="F121" s="10"/>
      <c r="G121" s="10"/>
      <c r="H121" s="10"/>
      <c r="I121" s="10"/>
      <c r="J121" s="10"/>
      <c r="K121" s="8"/>
      <c r="L121" s="10"/>
      <c r="M121" s="10"/>
      <c r="N121" s="10"/>
      <c r="O121" s="10"/>
      <c r="P121" s="10">
        <f t="shared" si="30"/>
        <v>144</v>
      </c>
      <c r="Q121" s="188"/>
    </row>
    <row r="122" spans="1:17" ht="13.5" hidden="1" customHeight="1" x14ac:dyDescent="0.2">
      <c r="A122" s="60"/>
      <c r="B122" s="8" t="s">
        <v>716</v>
      </c>
      <c r="C122" s="8"/>
      <c r="D122" s="10"/>
      <c r="E122" s="10"/>
      <c r="F122" s="10"/>
      <c r="G122" s="10"/>
      <c r="H122" s="10"/>
      <c r="I122" s="10"/>
      <c r="J122" s="10"/>
      <c r="K122" s="8">
        <f>(170)+388</f>
        <v>558</v>
      </c>
      <c r="L122" s="10"/>
      <c r="M122" s="10"/>
      <c r="N122" s="10"/>
      <c r="O122" s="10"/>
      <c r="P122" s="10">
        <f t="shared" si="30"/>
        <v>558</v>
      </c>
      <c r="Q122" s="188"/>
    </row>
    <row r="123" spans="1:17" ht="13.5" hidden="1" customHeight="1" x14ac:dyDescent="0.2">
      <c r="A123" s="60"/>
      <c r="B123" s="8" t="s">
        <v>80</v>
      </c>
      <c r="C123" s="8"/>
      <c r="D123" s="10"/>
      <c r="E123" s="10"/>
      <c r="F123" s="10"/>
      <c r="G123" s="10"/>
      <c r="H123" s="10"/>
      <c r="I123" s="10"/>
      <c r="J123" s="10"/>
      <c r="K123" s="8">
        <f>140+140+140</f>
        <v>420</v>
      </c>
      <c r="L123" s="10"/>
      <c r="M123" s="10"/>
      <c r="N123" s="10"/>
      <c r="O123" s="10"/>
      <c r="P123" s="10">
        <f t="shared" si="30"/>
        <v>420</v>
      </c>
      <c r="Q123" s="188"/>
    </row>
    <row r="124" spans="1:17" ht="13.5" hidden="1" customHeight="1" x14ac:dyDescent="0.2">
      <c r="A124" s="60"/>
      <c r="B124" s="8" t="s">
        <v>492</v>
      </c>
      <c r="C124" s="12"/>
      <c r="D124" s="10">
        <v>120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>
        <f t="shared" si="30"/>
        <v>120</v>
      </c>
      <c r="Q124" s="188"/>
    </row>
    <row r="125" spans="1:17" ht="13.5" hidden="1" customHeight="1" x14ac:dyDescent="0.2">
      <c r="A125" s="60"/>
      <c r="B125" s="8" t="s">
        <v>718</v>
      </c>
      <c r="C125" s="8">
        <v>500</v>
      </c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>
        <f t="shared" si="30"/>
        <v>500</v>
      </c>
      <c r="Q125" s="188"/>
    </row>
    <row r="126" spans="1:17" ht="13.5" hidden="1" customHeight="1" x14ac:dyDescent="0.2">
      <c r="A126" s="60"/>
      <c r="B126" s="8" t="s">
        <v>641</v>
      </c>
      <c r="C126" s="10">
        <f>1000+450</f>
        <v>1450</v>
      </c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>
        <f t="shared" si="30"/>
        <v>1450</v>
      </c>
      <c r="Q126" s="188"/>
    </row>
    <row r="127" spans="1:17" ht="13.5" hidden="1" customHeight="1" x14ac:dyDescent="0.2">
      <c r="A127" s="60"/>
      <c r="B127" s="8" t="s">
        <v>715</v>
      </c>
      <c r="C127" s="417"/>
      <c r="D127" s="10">
        <v>535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>
        <f t="shared" si="30"/>
        <v>535</v>
      </c>
      <c r="Q127" s="188"/>
    </row>
    <row r="128" spans="1:17" ht="13.5" hidden="1" customHeight="1" x14ac:dyDescent="0.2">
      <c r="A128" s="60"/>
      <c r="B128" s="8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>
        <f t="shared" si="30"/>
        <v>0</v>
      </c>
      <c r="Q128" s="188"/>
    </row>
    <row r="129" spans="1:18" ht="13.5" hidden="1" customHeight="1" x14ac:dyDescent="0.2">
      <c r="A129" s="60" t="s">
        <v>257</v>
      </c>
      <c r="B129" s="8" t="s">
        <v>283</v>
      </c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>
        <f t="shared" si="30"/>
        <v>0</v>
      </c>
      <c r="Q129" s="188"/>
    </row>
    <row r="130" spans="1:18" ht="13.5" hidden="1" customHeight="1" x14ac:dyDescent="0.2">
      <c r="A130" s="60"/>
      <c r="B130" s="8" t="s">
        <v>341</v>
      </c>
      <c r="C130" s="10">
        <v>50</v>
      </c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>
        <f t="shared" si="30"/>
        <v>50</v>
      </c>
      <c r="Q130" s="188"/>
    </row>
    <row r="131" spans="1:18" ht="13.5" hidden="1" customHeight="1" x14ac:dyDescent="0.2">
      <c r="A131" s="60"/>
      <c r="B131" s="8" t="s">
        <v>397</v>
      </c>
      <c r="C131" s="10">
        <v>800</v>
      </c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>
        <f>SUM(C131:O131)</f>
        <v>800</v>
      </c>
      <c r="Q131" s="188"/>
    </row>
    <row r="132" spans="1:18" hidden="1" x14ac:dyDescent="0.2">
      <c r="A132" s="60"/>
      <c r="B132" s="8" t="s">
        <v>294</v>
      </c>
      <c r="C132" s="10">
        <f>350+270</f>
        <v>620</v>
      </c>
      <c r="D132" s="10">
        <v>150</v>
      </c>
      <c r="E132" s="10">
        <f>4*76+150+16</f>
        <v>470</v>
      </c>
      <c r="F132" s="10"/>
      <c r="G132" s="10"/>
      <c r="H132" s="10"/>
      <c r="I132" s="10"/>
      <c r="J132" s="10"/>
      <c r="K132" s="10">
        <v>10</v>
      </c>
      <c r="L132" s="10"/>
      <c r="M132" s="10"/>
      <c r="N132" s="10"/>
      <c r="O132" s="10"/>
      <c r="P132" s="10">
        <f t="shared" ref="P132:P145" si="31">SUM(C132:O132)</f>
        <v>1250</v>
      </c>
      <c r="Q132" s="188"/>
    </row>
    <row r="133" spans="1:18" hidden="1" x14ac:dyDescent="0.2">
      <c r="A133" s="60"/>
      <c r="B133" s="8" t="s">
        <v>617</v>
      </c>
      <c r="C133" s="10">
        <v>250</v>
      </c>
      <c r="D133" s="10">
        <v>1000</v>
      </c>
      <c r="E133" s="10">
        <v>100</v>
      </c>
      <c r="F133" s="10">
        <v>180</v>
      </c>
      <c r="G133" s="10">
        <f>100+495</f>
        <v>595</v>
      </c>
      <c r="H133" s="10"/>
      <c r="I133" s="10"/>
      <c r="J133" s="10">
        <f>1400+1203</f>
        <v>2603</v>
      </c>
      <c r="K133" s="10">
        <v>40</v>
      </c>
      <c r="L133" s="10"/>
      <c r="M133" s="10"/>
      <c r="N133" s="10"/>
      <c r="O133" s="10"/>
      <c r="P133" s="10">
        <f t="shared" si="31"/>
        <v>4768</v>
      </c>
      <c r="Q133" s="188"/>
    </row>
    <row r="134" spans="1:18" ht="13.5" hidden="1" customHeight="1" x14ac:dyDescent="0.2">
      <c r="A134" s="60"/>
      <c r="B134" s="8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>
        <f t="shared" si="31"/>
        <v>0</v>
      </c>
      <c r="Q134" s="188"/>
    </row>
    <row r="135" spans="1:18" ht="13.5" hidden="1" customHeight="1" x14ac:dyDescent="0.2">
      <c r="A135" s="77" t="s">
        <v>258</v>
      </c>
      <c r="B135" s="13" t="s">
        <v>242</v>
      </c>
      <c r="C135" s="6">
        <f>SUM(C136:C137)</f>
        <v>50</v>
      </c>
      <c r="D135" s="6">
        <f>SUM(D136:D137)</f>
        <v>300</v>
      </c>
      <c r="E135" s="6">
        <f>SUM(E136:E137)</f>
        <v>0</v>
      </c>
      <c r="F135" s="6">
        <f>SUM(F136:F137)</f>
        <v>0</v>
      </c>
      <c r="G135" s="6">
        <f t="shared" ref="G135:N135" si="32">SUM(G136:G137)</f>
        <v>0</v>
      </c>
      <c r="H135" s="6">
        <f t="shared" si="32"/>
        <v>0</v>
      </c>
      <c r="I135" s="6">
        <f t="shared" si="32"/>
        <v>0</v>
      </c>
      <c r="J135" s="6">
        <f t="shared" si="32"/>
        <v>0</v>
      </c>
      <c r="K135" s="6">
        <f t="shared" si="32"/>
        <v>0</v>
      </c>
      <c r="L135" s="6">
        <f t="shared" si="32"/>
        <v>0</v>
      </c>
      <c r="M135" s="6">
        <f t="shared" si="32"/>
        <v>0</v>
      </c>
      <c r="N135" s="6">
        <f t="shared" si="32"/>
        <v>0</v>
      </c>
      <c r="O135" s="6">
        <f>SUM(O136:O137)</f>
        <v>0</v>
      </c>
      <c r="P135" s="6">
        <f t="shared" si="31"/>
        <v>350</v>
      </c>
      <c r="Q135" s="188"/>
    </row>
    <row r="136" spans="1:18" ht="13.5" hidden="1" customHeight="1" x14ac:dyDescent="0.2">
      <c r="A136" s="60" t="s">
        <v>259</v>
      </c>
      <c r="B136" s="8" t="s">
        <v>282</v>
      </c>
      <c r="C136" s="10"/>
      <c r="D136" s="10">
        <v>50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>
        <f t="shared" si="31"/>
        <v>50</v>
      </c>
      <c r="Q136" s="188"/>
    </row>
    <row r="137" spans="1:18" ht="13.5" hidden="1" customHeight="1" x14ac:dyDescent="0.2">
      <c r="A137" s="60" t="s">
        <v>260</v>
      </c>
      <c r="B137" s="8" t="s">
        <v>719</v>
      </c>
      <c r="C137" s="10">
        <v>50</v>
      </c>
      <c r="D137" s="10">
        <f>50+200</f>
        <v>250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>
        <f t="shared" si="31"/>
        <v>300</v>
      </c>
      <c r="Q137" s="188"/>
    </row>
    <row r="138" spans="1:18" ht="13.5" hidden="1" customHeight="1" x14ac:dyDescent="0.2">
      <c r="A138" s="77" t="s">
        <v>261</v>
      </c>
      <c r="B138" s="13" t="s">
        <v>243</v>
      </c>
      <c r="C138" s="6">
        <f>SUM(C139:C145)</f>
        <v>2138</v>
      </c>
      <c r="D138" s="6">
        <f>SUM(D139:D145)</f>
        <v>1945</v>
      </c>
      <c r="E138" s="6">
        <f>SUM(E139:E145)</f>
        <v>600</v>
      </c>
      <c r="F138" s="6">
        <f>SUM(F139:F145)</f>
        <v>203</v>
      </c>
      <c r="G138" s="6">
        <f t="shared" ref="G138:O138" si="33">SUM(G139:G145)</f>
        <v>728</v>
      </c>
      <c r="H138" s="6">
        <f t="shared" si="33"/>
        <v>1474</v>
      </c>
      <c r="I138" s="6">
        <f t="shared" si="33"/>
        <v>0</v>
      </c>
      <c r="J138" s="6">
        <f t="shared" si="33"/>
        <v>1255</v>
      </c>
      <c r="K138" s="6">
        <f t="shared" si="33"/>
        <v>402</v>
      </c>
      <c r="L138" s="6">
        <f t="shared" si="33"/>
        <v>46</v>
      </c>
      <c r="M138" s="6">
        <f t="shared" si="33"/>
        <v>0</v>
      </c>
      <c r="N138" s="6">
        <f t="shared" si="33"/>
        <v>0</v>
      </c>
      <c r="O138" s="6">
        <f t="shared" si="33"/>
        <v>0</v>
      </c>
      <c r="P138" s="6">
        <f t="shared" si="31"/>
        <v>8791</v>
      </c>
      <c r="Q138" s="188"/>
    </row>
    <row r="139" spans="1:18" ht="13.5" hidden="1" customHeight="1" x14ac:dyDescent="0.2">
      <c r="A139" s="60" t="s">
        <v>262</v>
      </c>
      <c r="B139" s="8" t="s">
        <v>272</v>
      </c>
      <c r="C139" s="10">
        <f>1588</f>
        <v>1588</v>
      </c>
      <c r="D139" s="10">
        <v>1695</v>
      </c>
      <c r="E139" s="10">
        <v>485</v>
      </c>
      <c r="F139" s="10">
        <f>104+49</f>
        <v>153</v>
      </c>
      <c r="G139" s="10">
        <v>728</v>
      </c>
      <c r="H139" s="10">
        <v>1474</v>
      </c>
      <c r="I139" s="10">
        <v>0</v>
      </c>
      <c r="J139" s="10">
        <f>778+197</f>
        <v>975</v>
      </c>
      <c r="K139" s="10">
        <v>402</v>
      </c>
      <c r="L139" s="10">
        <v>46</v>
      </c>
      <c r="M139" s="10"/>
      <c r="N139" s="10">
        <v>0</v>
      </c>
      <c r="O139" s="10">
        <v>0</v>
      </c>
      <c r="P139" s="10">
        <f t="shared" si="31"/>
        <v>7546</v>
      </c>
      <c r="Q139" s="188"/>
      <c r="R139" s="382"/>
    </row>
    <row r="140" spans="1:18" ht="13.5" hidden="1" customHeight="1" x14ac:dyDescent="0.2">
      <c r="A140" s="60" t="s">
        <v>263</v>
      </c>
      <c r="B140" s="8" t="s">
        <v>273</v>
      </c>
      <c r="C140" s="10"/>
      <c r="D140" s="301"/>
      <c r="E140" s="301"/>
      <c r="F140" s="301"/>
      <c r="G140" s="10"/>
      <c r="H140" s="10"/>
      <c r="I140" s="10"/>
      <c r="J140" s="10"/>
      <c r="K140" s="10"/>
      <c r="L140" s="10"/>
      <c r="M140" s="10"/>
      <c r="N140" s="10"/>
      <c r="O140" s="10"/>
      <c r="P140" s="10">
        <f t="shared" si="31"/>
        <v>0</v>
      </c>
      <c r="Q140" s="188"/>
    </row>
    <row r="141" spans="1:18" ht="13.5" hidden="1" customHeight="1" x14ac:dyDescent="0.2">
      <c r="A141" s="60" t="s">
        <v>264</v>
      </c>
      <c r="B141" s="8" t="s">
        <v>274</v>
      </c>
      <c r="C141" s="10">
        <v>150</v>
      </c>
      <c r="D141" s="301"/>
      <c r="E141" s="301"/>
      <c r="F141" s="301"/>
      <c r="G141" s="10"/>
      <c r="H141" s="10"/>
      <c r="I141" s="10"/>
      <c r="J141" s="10"/>
      <c r="K141" s="10"/>
      <c r="L141" s="10"/>
      <c r="M141" s="10"/>
      <c r="N141" s="10"/>
      <c r="O141" s="10"/>
      <c r="P141" s="10">
        <f t="shared" si="31"/>
        <v>150</v>
      </c>
      <c r="Q141" s="188"/>
    </row>
    <row r="142" spans="1:18" ht="13.5" hidden="1" customHeight="1" x14ac:dyDescent="0.2">
      <c r="A142" s="60" t="s">
        <v>265</v>
      </c>
      <c r="B142" s="8" t="s">
        <v>275</v>
      </c>
      <c r="C142" s="10"/>
      <c r="D142" s="301"/>
      <c r="E142" s="301"/>
      <c r="F142" s="301"/>
      <c r="G142" s="10"/>
      <c r="H142" s="10"/>
      <c r="I142" s="10"/>
      <c r="J142" s="10"/>
      <c r="K142" s="10"/>
      <c r="L142" s="10"/>
      <c r="M142" s="10"/>
      <c r="N142" s="10"/>
      <c r="O142" s="10"/>
      <c r="P142" s="10">
        <f t="shared" si="31"/>
        <v>0</v>
      </c>
      <c r="Q142" s="188"/>
    </row>
    <row r="143" spans="1:18" ht="13.5" hidden="1" customHeight="1" x14ac:dyDescent="0.2">
      <c r="A143" s="60" t="s">
        <v>266</v>
      </c>
      <c r="B143" s="8" t="s">
        <v>42</v>
      </c>
      <c r="C143" s="10">
        <v>400</v>
      </c>
      <c r="D143" s="10">
        <v>250</v>
      </c>
      <c r="E143" s="12">
        <v>115</v>
      </c>
      <c r="F143" s="10">
        <v>50</v>
      </c>
      <c r="G143" s="10"/>
      <c r="H143" s="10"/>
      <c r="I143" s="10"/>
      <c r="J143" s="10">
        <v>180</v>
      </c>
      <c r="K143" s="10"/>
      <c r="L143" s="10"/>
      <c r="M143" s="10"/>
      <c r="N143" s="10"/>
      <c r="O143" s="10"/>
      <c r="P143" s="10">
        <f t="shared" si="31"/>
        <v>995</v>
      </c>
      <c r="Q143" s="188"/>
    </row>
    <row r="144" spans="1:18" ht="13.5" hidden="1" customHeight="1" x14ac:dyDescent="0.2">
      <c r="A144" s="60"/>
      <c r="B144" s="8" t="s">
        <v>624</v>
      </c>
      <c r="C144" s="10"/>
      <c r="D144" s="10"/>
      <c r="E144" s="10"/>
      <c r="F144" s="10"/>
      <c r="G144" s="10"/>
      <c r="H144" s="10"/>
      <c r="I144" s="10"/>
      <c r="J144" s="10">
        <v>100</v>
      </c>
      <c r="K144" s="10"/>
      <c r="L144" s="10"/>
      <c r="M144" s="10"/>
      <c r="N144" s="10"/>
      <c r="O144" s="10"/>
      <c r="P144" s="10">
        <f t="shared" si="31"/>
        <v>100</v>
      </c>
      <c r="Q144" s="188"/>
    </row>
    <row r="145" spans="1:17" ht="13.5" hidden="1" customHeight="1" x14ac:dyDescent="0.2">
      <c r="A145" s="60"/>
      <c r="B145" s="8" t="s">
        <v>295</v>
      </c>
      <c r="C145" s="380"/>
      <c r="D145" s="12"/>
      <c r="E145" s="380"/>
      <c r="F145" s="12"/>
      <c r="G145" s="12"/>
      <c r="H145" s="12"/>
      <c r="I145" s="12"/>
      <c r="J145" s="380"/>
      <c r="K145" s="10"/>
      <c r="L145" s="10"/>
      <c r="M145" s="10"/>
      <c r="N145" s="10"/>
      <c r="O145" s="10"/>
      <c r="P145" s="10">
        <f t="shared" si="31"/>
        <v>0</v>
      </c>
      <c r="Q145" s="188"/>
    </row>
    <row r="146" spans="1:17" ht="13.5" hidden="1" customHeight="1" x14ac:dyDescent="0.2">
      <c r="A146" s="77" t="s">
        <v>277</v>
      </c>
      <c r="B146" s="125" t="s">
        <v>28</v>
      </c>
      <c r="C146" s="175">
        <f t="shared" ref="C146:O146" si="34">SUM(C102+C111+C114+C135+C138)</f>
        <v>9236</v>
      </c>
      <c r="D146" s="175">
        <f t="shared" si="34"/>
        <v>9683</v>
      </c>
      <c r="E146" s="175">
        <f t="shared" si="34"/>
        <v>2298</v>
      </c>
      <c r="F146" s="175">
        <f t="shared" si="34"/>
        <v>918</v>
      </c>
      <c r="G146" s="175">
        <f t="shared" si="34"/>
        <v>3373</v>
      </c>
      <c r="H146" s="175">
        <f t="shared" si="34"/>
        <v>6845</v>
      </c>
      <c r="I146" s="175">
        <f t="shared" si="34"/>
        <v>0</v>
      </c>
      <c r="J146" s="175">
        <f t="shared" si="34"/>
        <v>4378</v>
      </c>
      <c r="K146" s="175">
        <f t="shared" si="34"/>
        <v>3180</v>
      </c>
      <c r="L146" s="175">
        <f t="shared" si="34"/>
        <v>211</v>
      </c>
      <c r="M146" s="175">
        <f t="shared" si="34"/>
        <v>0</v>
      </c>
      <c r="N146" s="175">
        <f t="shared" si="34"/>
        <v>0</v>
      </c>
      <c r="O146" s="175">
        <f t="shared" si="34"/>
        <v>0</v>
      </c>
      <c r="P146" s="175">
        <f t="shared" ref="P146:P150" si="35">SUM(C146:O146)</f>
        <v>40122</v>
      </c>
      <c r="Q146" s="188"/>
    </row>
    <row r="147" spans="1:17" ht="13.5" hidden="1" customHeight="1" x14ac:dyDescent="0.2">
      <c r="A147" s="180" t="s">
        <v>276</v>
      </c>
      <c r="B147" s="125" t="s">
        <v>394</v>
      </c>
      <c r="C147" s="175"/>
      <c r="D147" s="175"/>
      <c r="E147" s="175"/>
      <c r="F147" s="175"/>
      <c r="G147" s="175"/>
      <c r="H147" s="175">
        <f>1128+2572</f>
        <v>3700</v>
      </c>
      <c r="I147" s="175"/>
      <c r="J147" s="175"/>
      <c r="K147" s="175"/>
      <c r="L147" s="175"/>
      <c r="M147" s="175"/>
      <c r="N147" s="175"/>
      <c r="O147" s="175"/>
      <c r="P147" s="175">
        <f t="shared" si="35"/>
        <v>3700</v>
      </c>
      <c r="Q147" s="188"/>
    </row>
    <row r="148" spans="1:17" s="289" customFormat="1" ht="13.5" hidden="1" customHeight="1" x14ac:dyDescent="0.25">
      <c r="A148" s="383"/>
      <c r="B148" s="384" t="s">
        <v>717</v>
      </c>
      <c r="C148" s="385"/>
      <c r="D148" s="385"/>
      <c r="E148" s="385"/>
      <c r="F148" s="385"/>
      <c r="G148" s="385"/>
      <c r="H148" s="385">
        <v>44</v>
      </c>
      <c r="I148" s="385"/>
      <c r="J148" s="385"/>
      <c r="K148" s="385"/>
      <c r="L148" s="385"/>
      <c r="M148" s="385"/>
      <c r="N148" s="385"/>
      <c r="O148" s="385"/>
      <c r="P148" s="385">
        <f t="shared" si="35"/>
        <v>44</v>
      </c>
      <c r="Q148" s="386"/>
    </row>
    <row r="149" spans="1:17" ht="13.5" hidden="1" customHeight="1" x14ac:dyDescent="0.2">
      <c r="A149" s="180" t="s">
        <v>300</v>
      </c>
      <c r="B149" s="125" t="s">
        <v>35</v>
      </c>
      <c r="C149" s="175"/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>
        <f t="shared" si="35"/>
        <v>0</v>
      </c>
      <c r="Q149" s="188"/>
    </row>
    <row r="150" spans="1:17" ht="13.5" hidden="1" customHeight="1" thickBot="1" x14ac:dyDescent="0.25">
      <c r="A150" s="180" t="s">
        <v>301</v>
      </c>
      <c r="B150" s="179" t="s">
        <v>302</v>
      </c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75">
        <f t="shared" si="35"/>
        <v>0</v>
      </c>
      <c r="Q150" s="188"/>
    </row>
    <row r="151" spans="1:17" ht="22.5" hidden="1" customHeight="1" thickBot="1" x14ac:dyDescent="0.4">
      <c r="A151" s="177"/>
      <c r="B151" s="230" t="s">
        <v>7</v>
      </c>
      <c r="C151" s="182">
        <f t="shared" ref="C151:P151" si="36">SUM(C98+C101+C146+C147+C149+C150)</f>
        <v>25481</v>
      </c>
      <c r="D151" s="182">
        <f t="shared" si="36"/>
        <v>23533</v>
      </c>
      <c r="E151" s="182">
        <f t="shared" si="36"/>
        <v>7633</v>
      </c>
      <c r="F151" s="182">
        <f t="shared" si="36"/>
        <v>918</v>
      </c>
      <c r="G151" s="182">
        <f t="shared" si="36"/>
        <v>3373</v>
      </c>
      <c r="H151" s="182">
        <f t="shared" si="36"/>
        <v>10545</v>
      </c>
      <c r="I151" s="182">
        <f t="shared" si="36"/>
        <v>0</v>
      </c>
      <c r="J151" s="182">
        <f t="shared" si="36"/>
        <v>5898</v>
      </c>
      <c r="K151" s="182">
        <f t="shared" si="36"/>
        <v>3180</v>
      </c>
      <c r="L151" s="182">
        <f t="shared" si="36"/>
        <v>511</v>
      </c>
      <c r="M151" s="182">
        <f t="shared" si="36"/>
        <v>0</v>
      </c>
      <c r="N151" s="182">
        <f t="shared" si="36"/>
        <v>0</v>
      </c>
      <c r="O151" s="182">
        <f t="shared" si="36"/>
        <v>0</v>
      </c>
      <c r="P151" s="226">
        <f t="shared" si="36"/>
        <v>81072</v>
      </c>
      <c r="Q151" s="188"/>
    </row>
    <row r="152" spans="1:17" hidden="1" x14ac:dyDescent="0.2">
      <c r="A152" s="60"/>
      <c r="B152" s="228" t="s">
        <v>43</v>
      </c>
      <c r="C152" s="229"/>
      <c r="D152" s="181">
        <v>4</v>
      </c>
      <c r="E152" s="181">
        <v>1</v>
      </c>
      <c r="F152" s="181"/>
      <c r="G152" s="78"/>
      <c r="H152" s="78"/>
      <c r="I152" s="78"/>
      <c r="J152" s="181"/>
      <c r="K152" s="78"/>
      <c r="L152" s="78"/>
      <c r="M152" s="78"/>
      <c r="N152" s="78"/>
      <c r="O152" s="78"/>
      <c r="P152" s="78">
        <f>SUM(C152:O152)</f>
        <v>5</v>
      </c>
      <c r="Q152" s="2"/>
    </row>
    <row r="153" spans="1:17" hidden="1" x14ac:dyDescent="0.2">
      <c r="B153" s="227" t="s">
        <v>384</v>
      </c>
      <c r="C153" s="2"/>
      <c r="D153" s="27"/>
      <c r="E153" s="27"/>
      <c r="F153" s="27"/>
      <c r="G153" s="2"/>
      <c r="H153" s="2"/>
      <c r="I153" s="2"/>
      <c r="J153" s="2"/>
      <c r="K153" s="2"/>
      <c r="L153" s="2"/>
      <c r="M153" s="2"/>
      <c r="N153" s="2"/>
      <c r="O153" s="2">
        <v>0</v>
      </c>
      <c r="P153" s="7">
        <f>SUM(O153)</f>
        <v>0</v>
      </c>
      <c r="Q153" s="2"/>
    </row>
    <row r="154" spans="1:17" x14ac:dyDescent="0.2">
      <c r="B154" s="227"/>
      <c r="C154" s="2"/>
      <c r="D154" s="27"/>
      <c r="E154" s="27"/>
      <c r="F154" s="27"/>
      <c r="G154" s="2"/>
      <c r="H154" s="2"/>
      <c r="I154" s="2"/>
      <c r="J154" s="2"/>
      <c r="K154" s="2"/>
      <c r="L154" s="2"/>
      <c r="M154" s="2"/>
      <c r="N154" s="2"/>
      <c r="O154" s="2"/>
      <c r="P154" s="7"/>
      <c r="Q154" s="2"/>
    </row>
    <row r="155" spans="1:17" x14ac:dyDescent="0.2">
      <c r="B155" s="227"/>
      <c r="C155" s="2"/>
      <c r="D155" s="27"/>
      <c r="E155" s="27"/>
      <c r="F155" s="27"/>
      <c r="G155" s="2"/>
      <c r="H155" s="2"/>
      <c r="I155" s="2"/>
      <c r="J155" s="2"/>
      <c r="K155" s="2"/>
      <c r="L155" s="2"/>
      <c r="M155" s="2"/>
      <c r="N155" s="2"/>
      <c r="O155" s="2"/>
      <c r="P155" s="7"/>
      <c r="Q155" s="2"/>
    </row>
    <row r="156" spans="1:17" ht="28.5" hidden="1" customHeight="1" thickBot="1" x14ac:dyDescent="0.25">
      <c r="A156" s="484" t="s">
        <v>106</v>
      </c>
      <c r="B156" s="479" t="s">
        <v>26</v>
      </c>
      <c r="C156" s="481" t="s">
        <v>602</v>
      </c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3"/>
    </row>
    <row r="157" spans="1:17" ht="77.25" hidden="1" customHeight="1" thickBot="1" x14ac:dyDescent="0.25">
      <c r="A157" s="485"/>
      <c r="B157" s="480"/>
      <c r="C157" s="178" t="s">
        <v>296</v>
      </c>
      <c r="D157" s="176" t="s">
        <v>379</v>
      </c>
      <c r="E157" s="176" t="s">
        <v>338</v>
      </c>
      <c r="F157" s="176" t="s">
        <v>373</v>
      </c>
      <c r="G157" s="176" t="s">
        <v>103</v>
      </c>
      <c r="H157" s="176" t="s">
        <v>496</v>
      </c>
      <c r="I157" s="178" t="s">
        <v>378</v>
      </c>
      <c r="J157" s="178" t="s">
        <v>345</v>
      </c>
      <c r="K157" s="178" t="s">
        <v>374</v>
      </c>
      <c r="L157" s="178" t="s">
        <v>304</v>
      </c>
      <c r="M157" s="178" t="s">
        <v>563</v>
      </c>
      <c r="N157" s="178"/>
      <c r="O157" s="178" t="s">
        <v>337</v>
      </c>
      <c r="P157" s="212" t="s">
        <v>40</v>
      </c>
    </row>
    <row r="158" spans="1:17" ht="13.5" hidden="1" customHeight="1" x14ac:dyDescent="0.2">
      <c r="A158" s="183" t="s">
        <v>279</v>
      </c>
      <c r="B158" s="17" t="s">
        <v>280</v>
      </c>
      <c r="C158" s="38">
        <f t="shared" ref="C158:P158" si="37">SUM(C159:C161)</f>
        <v>0</v>
      </c>
      <c r="D158" s="38">
        <f t="shared" si="37"/>
        <v>9276</v>
      </c>
      <c r="E158" s="38">
        <f t="shared" si="37"/>
        <v>3395</v>
      </c>
      <c r="F158" s="38">
        <f t="shared" si="37"/>
        <v>0</v>
      </c>
      <c r="G158" s="38">
        <f t="shared" si="37"/>
        <v>0</v>
      </c>
      <c r="H158" s="38">
        <f t="shared" si="37"/>
        <v>0</v>
      </c>
      <c r="I158" s="38">
        <f t="shared" si="37"/>
        <v>0</v>
      </c>
      <c r="J158" s="38">
        <f t="shared" si="37"/>
        <v>0</v>
      </c>
      <c r="K158" s="38">
        <f t="shared" si="37"/>
        <v>0</v>
      </c>
      <c r="L158" s="38">
        <f t="shared" si="37"/>
        <v>81</v>
      </c>
      <c r="M158" s="38">
        <f t="shared" si="37"/>
        <v>0</v>
      </c>
      <c r="N158" s="38"/>
      <c r="O158" s="38">
        <f t="shared" si="37"/>
        <v>0</v>
      </c>
      <c r="P158" s="38">
        <f t="shared" si="37"/>
        <v>12752</v>
      </c>
      <c r="Q158" s="188"/>
    </row>
    <row r="159" spans="1:17" ht="13.5" hidden="1" customHeight="1" x14ac:dyDescent="0.2">
      <c r="A159" s="183"/>
      <c r="B159" s="49" t="s">
        <v>310</v>
      </c>
      <c r="C159" s="186"/>
      <c r="D159" s="78">
        <f>8891</f>
        <v>8891</v>
      </c>
      <c r="E159" s="78">
        <v>3335</v>
      </c>
      <c r="F159" s="78"/>
      <c r="G159" s="78"/>
      <c r="H159" s="78"/>
      <c r="I159" s="78"/>
      <c r="J159" s="78"/>
      <c r="K159" s="78"/>
      <c r="L159" s="78"/>
      <c r="M159" s="78"/>
      <c r="N159" s="78"/>
      <c r="O159" s="78">
        <v>0</v>
      </c>
      <c r="P159" s="78">
        <f t="shared" ref="P159:P166" si="38">SUM(C159:O159)</f>
        <v>12226</v>
      </c>
      <c r="Q159" s="188"/>
    </row>
    <row r="160" spans="1:17" ht="13.5" hidden="1" customHeight="1" x14ac:dyDescent="0.2">
      <c r="A160" s="183"/>
      <c r="B160" s="49" t="s">
        <v>44</v>
      </c>
      <c r="C160" s="186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>
        <f t="shared" si="38"/>
        <v>0</v>
      </c>
      <c r="Q160" s="188"/>
    </row>
    <row r="161" spans="1:17" ht="12.75" hidden="1" customHeight="1" x14ac:dyDescent="0.2">
      <c r="A161" s="60"/>
      <c r="B161" s="2" t="s">
        <v>506</v>
      </c>
      <c r="C161" s="10"/>
      <c r="D161" s="10">
        <f>4+200+181</f>
        <v>385</v>
      </c>
      <c r="E161" s="10">
        <v>60</v>
      </c>
      <c r="F161" s="10"/>
      <c r="G161" s="10"/>
      <c r="H161" s="10"/>
      <c r="I161" s="10"/>
      <c r="J161" s="10"/>
      <c r="K161" s="10"/>
      <c r="L161" s="10">
        <f>324-187-56</f>
        <v>81</v>
      </c>
      <c r="M161" s="10"/>
      <c r="N161" s="10"/>
      <c r="O161" s="10"/>
      <c r="P161" s="78">
        <f t="shared" si="38"/>
        <v>526</v>
      </c>
      <c r="Q161" s="188"/>
    </row>
    <row r="162" spans="1:17" ht="12.75" hidden="1" customHeight="1" x14ac:dyDescent="0.2">
      <c r="A162" s="77" t="s">
        <v>281</v>
      </c>
      <c r="B162" s="13" t="s">
        <v>309</v>
      </c>
      <c r="C162" s="6">
        <f>SUM(C163:C169)</f>
        <v>7968</v>
      </c>
      <c r="D162" s="6">
        <f>SUM(D163:D169)</f>
        <v>0</v>
      </c>
      <c r="E162" s="6">
        <f>SUM(E163:E169)</f>
        <v>0</v>
      </c>
      <c r="F162" s="6">
        <f>SUM(F163:F169)</f>
        <v>0</v>
      </c>
      <c r="G162" s="6">
        <f t="shared" ref="G162:O162" si="39">SUM(G163:G169)</f>
        <v>0</v>
      </c>
      <c r="H162" s="6">
        <f t="shared" si="39"/>
        <v>0</v>
      </c>
      <c r="I162" s="6">
        <f t="shared" si="39"/>
        <v>0</v>
      </c>
      <c r="J162" s="6">
        <f t="shared" si="39"/>
        <v>546</v>
      </c>
      <c r="K162" s="6">
        <f t="shared" si="39"/>
        <v>0</v>
      </c>
      <c r="L162" s="6">
        <f t="shared" si="39"/>
        <v>187</v>
      </c>
      <c r="M162" s="6">
        <f t="shared" si="39"/>
        <v>5519</v>
      </c>
      <c r="N162" s="6"/>
      <c r="O162" s="6">
        <f t="shared" si="39"/>
        <v>0</v>
      </c>
      <c r="P162" s="225">
        <f t="shared" si="38"/>
        <v>14220</v>
      </c>
      <c r="Q162" s="188"/>
    </row>
    <row r="163" spans="1:17" ht="12.75" hidden="1" customHeight="1" x14ac:dyDescent="0.2">
      <c r="A163" s="77"/>
      <c r="B163" s="8" t="s">
        <v>41</v>
      </c>
      <c r="C163" s="186">
        <v>4787</v>
      </c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10">
        <f t="shared" si="38"/>
        <v>4787</v>
      </c>
      <c r="Q163" s="188"/>
    </row>
    <row r="164" spans="1:17" ht="12.75" hidden="1" customHeight="1" x14ac:dyDescent="0.2">
      <c r="A164" s="77"/>
      <c r="B164" s="152" t="s">
        <v>396</v>
      </c>
      <c r="C164" s="186">
        <v>209</v>
      </c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10">
        <f t="shared" si="38"/>
        <v>209</v>
      </c>
      <c r="Q164" s="188"/>
    </row>
    <row r="165" spans="1:17" ht="12.75" hidden="1" customHeight="1" x14ac:dyDescent="0.2">
      <c r="A165" s="77"/>
      <c r="B165" s="152" t="s">
        <v>308</v>
      </c>
      <c r="C165" s="186">
        <v>718</v>
      </c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10">
        <f t="shared" si="38"/>
        <v>718</v>
      </c>
      <c r="Q165" s="188"/>
    </row>
    <row r="166" spans="1:17" ht="12.75" hidden="1" customHeight="1" x14ac:dyDescent="0.2">
      <c r="A166" s="77"/>
      <c r="B166" s="8" t="s">
        <v>372</v>
      </c>
      <c r="C166" s="10">
        <v>720</v>
      </c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>
        <f t="shared" si="38"/>
        <v>720</v>
      </c>
      <c r="Q166" s="188"/>
    </row>
    <row r="167" spans="1:17" ht="12.75" hidden="1" customHeight="1" x14ac:dyDescent="0.2">
      <c r="A167" s="77"/>
      <c r="B167" s="8" t="s">
        <v>493</v>
      </c>
      <c r="C167" s="10">
        <f>281+1005</f>
        <v>1286</v>
      </c>
      <c r="D167" s="10"/>
      <c r="E167" s="10"/>
      <c r="F167" s="10"/>
      <c r="G167" s="10"/>
      <c r="H167" s="10"/>
      <c r="I167" s="10"/>
      <c r="J167" s="10"/>
      <c r="K167" s="10"/>
      <c r="L167" s="10">
        <v>187</v>
      </c>
      <c r="M167" s="10">
        <v>5519</v>
      </c>
      <c r="N167" s="10"/>
      <c r="O167" s="10"/>
      <c r="P167" s="10">
        <f>SUM(C167:O167)</f>
        <v>6992</v>
      </c>
      <c r="Q167" s="188"/>
    </row>
    <row r="168" spans="1:17" ht="12.75" hidden="1" customHeight="1" x14ac:dyDescent="0.2">
      <c r="A168" s="77"/>
      <c r="B168" s="8" t="s">
        <v>596</v>
      </c>
      <c r="C168" s="10">
        <v>94</v>
      </c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88"/>
    </row>
    <row r="169" spans="1:17" ht="12.75" hidden="1" customHeight="1" x14ac:dyDescent="0.2">
      <c r="A169" s="77"/>
      <c r="B169" s="8" t="s">
        <v>568</v>
      </c>
      <c r="C169" s="10">
        <f>425-221-50</f>
        <v>154</v>
      </c>
      <c r="D169" s="10"/>
      <c r="E169" s="10"/>
      <c r="F169" s="10"/>
      <c r="G169" s="10"/>
      <c r="H169" s="10"/>
      <c r="I169" s="10"/>
      <c r="J169" s="10">
        <f>275+221+50</f>
        <v>546</v>
      </c>
      <c r="K169" s="10"/>
      <c r="L169" s="10"/>
      <c r="M169" s="10"/>
      <c r="N169" s="10"/>
      <c r="O169" s="10"/>
      <c r="P169" s="10">
        <f>SUM(C169:O169)</f>
        <v>700</v>
      </c>
      <c r="Q169" s="188"/>
    </row>
    <row r="170" spans="1:17" ht="13.5" hidden="1" customHeight="1" x14ac:dyDescent="0.2">
      <c r="A170" s="77" t="s">
        <v>203</v>
      </c>
      <c r="B170" s="125" t="s">
        <v>278</v>
      </c>
      <c r="C170" s="175">
        <f t="shared" ref="C170:L170" si="40">SUM(C158+C162)</f>
        <v>7968</v>
      </c>
      <c r="D170" s="175">
        <f t="shared" si="40"/>
        <v>9276</v>
      </c>
      <c r="E170" s="175">
        <f t="shared" si="40"/>
        <v>3395</v>
      </c>
      <c r="F170" s="175">
        <f t="shared" si="40"/>
        <v>0</v>
      </c>
      <c r="G170" s="175">
        <f t="shared" si="40"/>
        <v>0</v>
      </c>
      <c r="H170" s="175">
        <f t="shared" si="40"/>
        <v>0</v>
      </c>
      <c r="I170" s="175">
        <f t="shared" si="40"/>
        <v>0</v>
      </c>
      <c r="J170" s="175">
        <f t="shared" si="40"/>
        <v>546</v>
      </c>
      <c r="K170" s="175">
        <f t="shared" si="40"/>
        <v>0</v>
      </c>
      <c r="L170" s="175">
        <f t="shared" si="40"/>
        <v>268</v>
      </c>
      <c r="M170" s="175">
        <f>SUM(M158+M162)</f>
        <v>5519</v>
      </c>
      <c r="N170" s="175"/>
      <c r="O170" s="175">
        <f>SUM(O158+O162)</f>
        <v>0</v>
      </c>
      <c r="P170" s="175">
        <f>SUM(C170:O170)</f>
        <v>26972</v>
      </c>
      <c r="Q170" s="188"/>
    </row>
    <row r="171" spans="1:17" ht="13.5" hidden="1" customHeight="1" x14ac:dyDescent="0.2">
      <c r="A171" s="60"/>
      <c r="B171" s="8" t="s">
        <v>27</v>
      </c>
      <c r="C171" s="10">
        <f>(979+128+31+8)+156+15</f>
        <v>1317</v>
      </c>
      <c r="D171" s="10">
        <f>1410+28</f>
        <v>1438</v>
      </c>
      <c r="E171" s="10">
        <f>517+9</f>
        <v>526</v>
      </c>
      <c r="F171" s="10"/>
      <c r="G171" s="10"/>
      <c r="H171" s="10"/>
      <c r="I171" s="10"/>
      <c r="J171" s="10"/>
      <c r="K171" s="10"/>
      <c r="L171" s="10">
        <f>46-8</f>
        <v>38</v>
      </c>
      <c r="M171" s="12">
        <f>770</f>
        <v>770</v>
      </c>
      <c r="N171" s="12"/>
      <c r="O171" s="10">
        <v>0</v>
      </c>
      <c r="P171" s="10">
        <f>SUM(C171:O171)</f>
        <v>4089</v>
      </c>
      <c r="Q171" s="188"/>
    </row>
    <row r="172" spans="1:17" hidden="1" x14ac:dyDescent="0.2">
      <c r="A172" s="60"/>
      <c r="B172" s="8" t="s">
        <v>468</v>
      </c>
      <c r="C172" s="10">
        <f>32+124</f>
        <v>156</v>
      </c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>
        <f>SUM(C172:O172)</f>
        <v>156</v>
      </c>
      <c r="Q172" s="188"/>
    </row>
    <row r="173" spans="1:17" ht="13.5" hidden="1" customHeight="1" x14ac:dyDescent="0.2">
      <c r="A173" s="77" t="s">
        <v>204</v>
      </c>
      <c r="B173" s="125" t="s">
        <v>86</v>
      </c>
      <c r="C173" s="175">
        <f>SUM(C171:C172)</f>
        <v>1473</v>
      </c>
      <c r="D173" s="175">
        <f>SUM(D171:D172)</f>
        <v>1438</v>
      </c>
      <c r="E173" s="175">
        <f>SUM(E171:E172)</f>
        <v>526</v>
      </c>
      <c r="F173" s="175">
        <f>SUM(F171:F172)</f>
        <v>0</v>
      </c>
      <c r="G173" s="175">
        <f t="shared" ref="G173:L173" si="41">SUM(G171:G172)</f>
        <v>0</v>
      </c>
      <c r="H173" s="175">
        <f t="shared" si="41"/>
        <v>0</v>
      </c>
      <c r="I173" s="175">
        <f t="shared" si="41"/>
        <v>0</v>
      </c>
      <c r="J173" s="175">
        <f t="shared" si="41"/>
        <v>0</v>
      </c>
      <c r="K173" s="175">
        <f t="shared" si="41"/>
        <v>0</v>
      </c>
      <c r="L173" s="175">
        <f t="shared" si="41"/>
        <v>38</v>
      </c>
      <c r="M173" s="175">
        <f>SUM(M171:M172)</f>
        <v>770</v>
      </c>
      <c r="N173" s="175"/>
      <c r="O173" s="175">
        <f>SUM(O171:O172)</f>
        <v>0</v>
      </c>
      <c r="P173" s="175">
        <f>SUM(P171:P172)</f>
        <v>4245</v>
      </c>
      <c r="Q173" s="188"/>
    </row>
    <row r="174" spans="1:17" ht="13.5" hidden="1" customHeight="1" x14ac:dyDescent="0.2">
      <c r="A174" s="77" t="s">
        <v>244</v>
      </c>
      <c r="B174" s="13" t="s">
        <v>267</v>
      </c>
      <c r="C174" s="6">
        <f t="shared" ref="C174:P174" si="42">SUM(C175:C183)</f>
        <v>540</v>
      </c>
      <c r="D174" s="6">
        <f t="shared" si="42"/>
        <v>1180</v>
      </c>
      <c r="E174" s="6">
        <f t="shared" si="42"/>
        <v>725</v>
      </c>
      <c r="F174" s="6">
        <f t="shared" si="42"/>
        <v>10</v>
      </c>
      <c r="G174" s="6">
        <f t="shared" si="42"/>
        <v>0</v>
      </c>
      <c r="H174" s="6">
        <f t="shared" si="42"/>
        <v>0</v>
      </c>
      <c r="I174" s="6">
        <f t="shared" si="42"/>
        <v>432</v>
      </c>
      <c r="J174" s="6">
        <f t="shared" si="42"/>
        <v>200</v>
      </c>
      <c r="K174" s="6">
        <f t="shared" si="42"/>
        <v>50</v>
      </c>
      <c r="L174" s="6">
        <f t="shared" si="42"/>
        <v>90</v>
      </c>
      <c r="M174" s="6">
        <f t="shared" si="42"/>
        <v>0</v>
      </c>
      <c r="N174" s="6"/>
      <c r="O174" s="6">
        <f t="shared" si="42"/>
        <v>0</v>
      </c>
      <c r="P174" s="6">
        <f t="shared" si="42"/>
        <v>3227</v>
      </c>
      <c r="Q174" s="188"/>
    </row>
    <row r="175" spans="1:17" ht="13.5" hidden="1" customHeight="1" x14ac:dyDescent="0.2">
      <c r="A175" s="60" t="s">
        <v>245</v>
      </c>
      <c r="B175" s="8" t="s">
        <v>343</v>
      </c>
      <c r="C175" s="10">
        <v>50</v>
      </c>
      <c r="D175" s="301"/>
      <c r="E175" s="301"/>
      <c r="F175" s="301"/>
      <c r="G175" s="10"/>
      <c r="H175" s="10"/>
      <c r="I175" s="10"/>
      <c r="J175" s="10">
        <v>30</v>
      </c>
      <c r="K175" s="10"/>
      <c r="L175" s="10">
        <f>50-30</f>
        <v>20</v>
      </c>
      <c r="M175" s="10"/>
      <c r="N175" s="10"/>
      <c r="O175" s="10"/>
      <c r="P175" s="10">
        <f t="shared" ref="P175:P180" si="43">SUM(C175:O175)</f>
        <v>100</v>
      </c>
      <c r="Q175" s="188"/>
    </row>
    <row r="176" spans="1:17" ht="13.5" hidden="1" customHeight="1" x14ac:dyDescent="0.2">
      <c r="A176" s="60" t="s">
        <v>247</v>
      </c>
      <c r="B176" s="8" t="s">
        <v>268</v>
      </c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>
        <f t="shared" si="43"/>
        <v>0</v>
      </c>
      <c r="Q176" s="188"/>
    </row>
    <row r="177" spans="1:17" ht="13.5" hidden="1" customHeight="1" x14ac:dyDescent="0.2">
      <c r="A177" s="60"/>
      <c r="B177" s="8" t="s">
        <v>289</v>
      </c>
      <c r="C177" s="10">
        <v>100</v>
      </c>
      <c r="D177" s="10"/>
      <c r="E177" s="10">
        <v>5</v>
      </c>
      <c r="F177" s="10"/>
      <c r="G177" s="10"/>
      <c r="H177" s="10"/>
      <c r="I177" s="10"/>
      <c r="J177" s="10">
        <v>50</v>
      </c>
      <c r="K177" s="10"/>
      <c r="L177" s="10">
        <v>20</v>
      </c>
      <c r="M177" s="10"/>
      <c r="N177" s="10"/>
      <c r="O177" s="10"/>
      <c r="P177" s="10">
        <f t="shared" si="43"/>
        <v>175</v>
      </c>
      <c r="Q177" s="188"/>
    </row>
    <row r="178" spans="1:17" ht="13.5" hidden="1" customHeight="1" x14ac:dyDescent="0.2">
      <c r="A178" s="60"/>
      <c r="B178" s="8" t="s">
        <v>320</v>
      </c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>
        <f t="shared" si="43"/>
        <v>0</v>
      </c>
      <c r="Q178" s="188"/>
    </row>
    <row r="179" spans="1:17" ht="13.5" hidden="1" customHeight="1" x14ac:dyDescent="0.2">
      <c r="A179" s="60"/>
      <c r="B179" s="8" t="s">
        <v>290</v>
      </c>
      <c r="C179" s="10">
        <v>20</v>
      </c>
      <c r="D179" s="10">
        <v>450</v>
      </c>
      <c r="E179" s="10">
        <v>650</v>
      </c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>
        <f t="shared" si="43"/>
        <v>1120</v>
      </c>
      <c r="Q179" s="188"/>
    </row>
    <row r="180" spans="1:17" ht="13.5" hidden="1" customHeight="1" x14ac:dyDescent="0.2">
      <c r="A180" s="60"/>
      <c r="B180" s="8" t="s">
        <v>291</v>
      </c>
      <c r="C180" s="10">
        <f>250-20-50</f>
        <v>180</v>
      </c>
      <c r="D180" s="10">
        <f>120+50</f>
        <v>170</v>
      </c>
      <c r="E180" s="10"/>
      <c r="F180" s="10"/>
      <c r="G180" s="10"/>
      <c r="H180" s="10"/>
      <c r="I180" s="10"/>
      <c r="J180" s="10">
        <v>20</v>
      </c>
      <c r="K180" s="10"/>
      <c r="L180" s="10"/>
      <c r="M180" s="10"/>
      <c r="N180" s="10"/>
      <c r="O180" s="10"/>
      <c r="P180" s="10">
        <f t="shared" si="43"/>
        <v>370</v>
      </c>
      <c r="Q180" s="188"/>
    </row>
    <row r="181" spans="1:17" ht="13.5" hidden="1" customHeight="1" x14ac:dyDescent="0.2">
      <c r="A181" s="60"/>
      <c r="B181" s="8" t="s">
        <v>321</v>
      </c>
      <c r="C181" s="10">
        <f>200-10</f>
        <v>190</v>
      </c>
      <c r="D181" s="10">
        <v>400</v>
      </c>
      <c r="E181" s="10">
        <v>10</v>
      </c>
      <c r="F181" s="10">
        <v>10</v>
      </c>
      <c r="G181" s="10"/>
      <c r="H181" s="10"/>
      <c r="I181" s="10"/>
      <c r="J181" s="10">
        <v>100</v>
      </c>
      <c r="K181" s="10">
        <v>50</v>
      </c>
      <c r="L181" s="10">
        <v>50</v>
      </c>
      <c r="M181" s="10"/>
      <c r="N181" s="10"/>
      <c r="O181" s="10"/>
      <c r="P181" s="10">
        <f>SUM(C181:O181)</f>
        <v>810</v>
      </c>
      <c r="Q181" s="188"/>
    </row>
    <row r="182" spans="1:17" ht="13.5" hidden="1" customHeight="1" x14ac:dyDescent="0.2">
      <c r="A182" s="60"/>
      <c r="B182" s="8" t="s">
        <v>299</v>
      </c>
      <c r="C182" s="10"/>
      <c r="D182" s="10">
        <f>(100+20)+40</f>
        <v>160</v>
      </c>
      <c r="E182" s="10">
        <f>55+5</f>
        <v>60</v>
      </c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>
        <f>SUM(C182:O182)</f>
        <v>220</v>
      </c>
      <c r="Q182" s="188"/>
    </row>
    <row r="183" spans="1:17" ht="13.5" hidden="1" customHeight="1" x14ac:dyDescent="0.2">
      <c r="A183" s="60"/>
      <c r="B183" s="8" t="s">
        <v>576</v>
      </c>
      <c r="C183" s="10"/>
      <c r="D183" s="10"/>
      <c r="E183" s="10"/>
      <c r="F183" s="10"/>
      <c r="G183" s="10"/>
      <c r="H183" s="10"/>
      <c r="I183" s="10">
        <f>448-16</f>
        <v>432</v>
      </c>
      <c r="J183" s="10"/>
      <c r="K183" s="10"/>
      <c r="L183" s="10"/>
      <c r="M183" s="10"/>
      <c r="N183" s="10"/>
      <c r="O183" s="10"/>
      <c r="P183" s="10">
        <f>SUM(C183:O183)</f>
        <v>432</v>
      </c>
      <c r="Q183" s="188"/>
    </row>
    <row r="184" spans="1:17" ht="13.5" hidden="1" customHeight="1" x14ac:dyDescent="0.2">
      <c r="A184" s="77" t="s">
        <v>248</v>
      </c>
      <c r="B184" s="13" t="s">
        <v>270</v>
      </c>
      <c r="C184" s="6">
        <f>SUM(C185:C186)</f>
        <v>260</v>
      </c>
      <c r="D184" s="6">
        <f>SUM(D185:D186)</f>
        <v>0</v>
      </c>
      <c r="E184" s="6">
        <f>SUM(E185:E186)</f>
        <v>0</v>
      </c>
      <c r="F184" s="6">
        <f>SUM(F185:F186)</f>
        <v>0</v>
      </c>
      <c r="G184" s="6">
        <f t="shared" ref="G184:O184" si="44">SUM(G185:G186)</f>
        <v>0</v>
      </c>
      <c r="H184" s="6">
        <f t="shared" si="44"/>
        <v>0</v>
      </c>
      <c r="I184" s="6">
        <f t="shared" si="44"/>
        <v>0</v>
      </c>
      <c r="J184" s="6">
        <f t="shared" si="44"/>
        <v>0</v>
      </c>
      <c r="K184" s="6">
        <f t="shared" si="44"/>
        <v>250</v>
      </c>
      <c r="L184" s="6">
        <f t="shared" si="44"/>
        <v>0</v>
      </c>
      <c r="M184" s="6">
        <f t="shared" si="44"/>
        <v>0</v>
      </c>
      <c r="N184" s="6"/>
      <c r="O184" s="6">
        <f t="shared" si="44"/>
        <v>0</v>
      </c>
      <c r="P184" s="6">
        <f>SUM(P185:P186)</f>
        <v>510</v>
      </c>
      <c r="Q184" s="188"/>
    </row>
    <row r="185" spans="1:17" ht="13.5" hidden="1" customHeight="1" x14ac:dyDescent="0.2">
      <c r="A185" s="60" t="s">
        <v>249</v>
      </c>
      <c r="B185" s="8" t="s">
        <v>340</v>
      </c>
      <c r="C185" s="10">
        <f>150+35</f>
        <v>185</v>
      </c>
      <c r="D185" s="10"/>
      <c r="E185" s="10"/>
      <c r="F185" s="10"/>
      <c r="G185" s="10"/>
      <c r="H185" s="10"/>
      <c r="I185" s="10"/>
      <c r="J185" s="10"/>
      <c r="K185" s="10">
        <v>150</v>
      </c>
      <c r="L185" s="10"/>
      <c r="M185" s="10"/>
      <c r="N185" s="10"/>
      <c r="O185" s="10"/>
      <c r="P185" s="10">
        <f>SUM(C185:O185)</f>
        <v>335</v>
      </c>
      <c r="Q185" s="188"/>
    </row>
    <row r="186" spans="1:17" ht="13.5" hidden="1" customHeight="1" x14ac:dyDescent="0.2">
      <c r="A186" s="60" t="s">
        <v>250</v>
      </c>
      <c r="B186" s="8" t="s">
        <v>292</v>
      </c>
      <c r="C186" s="10">
        <f>110-35</f>
        <v>75</v>
      </c>
      <c r="D186" s="301"/>
      <c r="E186" s="10"/>
      <c r="F186" s="301"/>
      <c r="G186" s="10"/>
      <c r="H186" s="10"/>
      <c r="I186" s="10"/>
      <c r="J186" s="10"/>
      <c r="K186" s="10">
        <v>100</v>
      </c>
      <c r="L186" s="10"/>
      <c r="M186" s="10"/>
      <c r="N186" s="10"/>
      <c r="O186" s="10"/>
      <c r="P186" s="10">
        <f>SUM(C186:O186)</f>
        <v>175</v>
      </c>
      <c r="Q186" s="188"/>
    </row>
    <row r="187" spans="1:17" ht="13.5" hidden="1" customHeight="1" x14ac:dyDescent="0.2">
      <c r="A187" s="77" t="s">
        <v>251</v>
      </c>
      <c r="B187" s="13" t="s">
        <v>271</v>
      </c>
      <c r="C187" s="6">
        <f t="shared" ref="C187:P187" si="45">SUM(C188:C215)</f>
        <v>15912</v>
      </c>
      <c r="D187" s="6">
        <f t="shared" si="45"/>
        <v>1164</v>
      </c>
      <c r="E187" s="6">
        <f t="shared" si="45"/>
        <v>1180</v>
      </c>
      <c r="F187" s="6">
        <f t="shared" si="45"/>
        <v>50</v>
      </c>
      <c r="G187" s="6">
        <f t="shared" si="45"/>
        <v>1750</v>
      </c>
      <c r="H187" s="6">
        <f t="shared" si="45"/>
        <v>2933</v>
      </c>
      <c r="I187" s="6">
        <f t="shared" si="45"/>
        <v>0</v>
      </c>
      <c r="J187" s="6">
        <f t="shared" si="45"/>
        <v>1188</v>
      </c>
      <c r="K187" s="6">
        <f t="shared" si="45"/>
        <v>1645</v>
      </c>
      <c r="L187" s="6">
        <f t="shared" si="45"/>
        <v>100</v>
      </c>
      <c r="M187" s="6">
        <f t="shared" si="45"/>
        <v>32750</v>
      </c>
      <c r="N187" s="6"/>
      <c r="O187" s="6">
        <f t="shared" si="45"/>
        <v>0</v>
      </c>
      <c r="P187" s="6">
        <f t="shared" si="45"/>
        <v>58672</v>
      </c>
      <c r="Q187" s="188"/>
    </row>
    <row r="188" spans="1:17" ht="13.5" hidden="1" customHeight="1" x14ac:dyDescent="0.2">
      <c r="A188" s="60" t="s">
        <v>252</v>
      </c>
      <c r="B188" s="8" t="s">
        <v>288</v>
      </c>
      <c r="C188" s="10">
        <v>1000</v>
      </c>
      <c r="D188" s="10">
        <v>150</v>
      </c>
      <c r="E188" s="10"/>
      <c r="F188" s="10">
        <v>50</v>
      </c>
      <c r="G188" s="10">
        <v>750</v>
      </c>
      <c r="H188" s="10"/>
      <c r="I188" s="10"/>
      <c r="J188" s="10"/>
      <c r="K188" s="10">
        <v>1100</v>
      </c>
      <c r="L188" s="10">
        <v>100</v>
      </c>
      <c r="M188" s="10"/>
      <c r="N188" s="10"/>
      <c r="O188" s="10"/>
      <c r="P188" s="10">
        <f t="shared" ref="P188:P199" si="46">SUM(C188:O188)</f>
        <v>3150</v>
      </c>
      <c r="Q188" s="188"/>
    </row>
    <row r="189" spans="1:17" ht="13.5" hidden="1" customHeight="1" x14ac:dyDescent="0.2">
      <c r="A189" s="60" t="s">
        <v>297</v>
      </c>
      <c r="B189" s="8" t="s">
        <v>298</v>
      </c>
      <c r="C189" s="10"/>
      <c r="D189" s="10"/>
      <c r="E189" s="10"/>
      <c r="F189" s="10"/>
      <c r="G189" s="10"/>
      <c r="H189" s="10">
        <f>(3000+25-160)+68</f>
        <v>2933</v>
      </c>
      <c r="I189" s="10"/>
      <c r="J189" s="10"/>
      <c r="K189" s="10"/>
      <c r="L189" s="10"/>
      <c r="M189" s="10"/>
      <c r="N189" s="10"/>
      <c r="O189" s="10"/>
      <c r="P189" s="10">
        <f t="shared" si="46"/>
        <v>2933</v>
      </c>
      <c r="Q189" s="188"/>
    </row>
    <row r="190" spans="1:17" ht="13.5" hidden="1" customHeight="1" x14ac:dyDescent="0.2">
      <c r="A190" s="60" t="s">
        <v>253</v>
      </c>
      <c r="B190" s="8" t="s">
        <v>287</v>
      </c>
      <c r="C190" s="10"/>
      <c r="D190" s="10"/>
      <c r="E190" s="10"/>
      <c r="F190" s="10"/>
      <c r="G190" s="10">
        <v>900</v>
      </c>
      <c r="H190" s="10"/>
      <c r="I190" s="10"/>
      <c r="J190" s="10"/>
      <c r="K190" s="10"/>
      <c r="L190" s="10"/>
      <c r="M190" s="10"/>
      <c r="N190" s="10"/>
      <c r="O190" s="10"/>
      <c r="P190" s="10">
        <f t="shared" si="46"/>
        <v>900</v>
      </c>
      <c r="Q190" s="188"/>
    </row>
    <row r="191" spans="1:17" ht="13.5" hidden="1" customHeight="1" x14ac:dyDescent="0.2">
      <c r="A191" s="60" t="s">
        <v>254</v>
      </c>
      <c r="B191" s="8" t="s">
        <v>286</v>
      </c>
      <c r="C191" s="10">
        <f>100+415</f>
        <v>515</v>
      </c>
      <c r="D191" s="10">
        <f>(500-157)+155</f>
        <v>498</v>
      </c>
      <c r="E191" s="10">
        <f>(50+93+157)+360+50+50</f>
        <v>760</v>
      </c>
      <c r="F191" s="10"/>
      <c r="G191" s="10">
        <f>150-50</f>
        <v>100</v>
      </c>
      <c r="H191" s="10"/>
      <c r="I191" s="10"/>
      <c r="J191" s="10"/>
      <c r="K191" s="10">
        <f>100-50</f>
        <v>50</v>
      </c>
      <c r="L191" s="10"/>
      <c r="M191" s="10"/>
      <c r="N191" s="10"/>
      <c r="O191" s="10"/>
      <c r="P191" s="10">
        <f t="shared" si="46"/>
        <v>1923</v>
      </c>
      <c r="Q191" s="188"/>
    </row>
    <row r="192" spans="1:17" ht="13.5" hidden="1" customHeight="1" x14ac:dyDescent="0.2">
      <c r="A192" s="60" t="s">
        <v>255</v>
      </c>
      <c r="B192" s="8" t="s">
        <v>285</v>
      </c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>
        <f t="shared" si="46"/>
        <v>0</v>
      </c>
      <c r="Q192" s="188"/>
    </row>
    <row r="193" spans="1:17" ht="13.5" hidden="1" customHeight="1" x14ac:dyDescent="0.2">
      <c r="A193" s="60" t="s">
        <v>256</v>
      </c>
      <c r="B193" s="8" t="s">
        <v>284</v>
      </c>
      <c r="C193" s="10">
        <v>300</v>
      </c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>
        <f t="shared" si="46"/>
        <v>300</v>
      </c>
      <c r="Q193" s="188"/>
    </row>
    <row r="194" spans="1:17" ht="13.5" hidden="1" customHeight="1" x14ac:dyDescent="0.2">
      <c r="A194" s="60"/>
      <c r="B194" s="8" t="s">
        <v>303</v>
      </c>
      <c r="C194" s="8"/>
      <c r="D194" s="10"/>
      <c r="E194" s="10">
        <v>10</v>
      </c>
      <c r="F194" s="10"/>
      <c r="G194" s="10"/>
      <c r="H194" s="10"/>
      <c r="I194" s="10"/>
      <c r="J194" s="10"/>
      <c r="K194" s="8">
        <v>40</v>
      </c>
      <c r="L194" s="10"/>
      <c r="M194" s="10"/>
      <c r="N194" s="10"/>
      <c r="O194" s="10"/>
      <c r="P194" s="10">
        <f t="shared" si="46"/>
        <v>50</v>
      </c>
      <c r="Q194" s="188"/>
    </row>
    <row r="195" spans="1:17" ht="13.5" hidden="1" customHeight="1" x14ac:dyDescent="0.2">
      <c r="A195" s="60"/>
      <c r="B195" s="8" t="s">
        <v>79</v>
      </c>
      <c r="C195" s="8"/>
      <c r="D195" s="10"/>
      <c r="E195" s="10"/>
      <c r="F195" s="10"/>
      <c r="G195" s="10"/>
      <c r="H195" s="10"/>
      <c r="I195" s="10"/>
      <c r="J195" s="10"/>
      <c r="K195" s="8">
        <v>170</v>
      </c>
      <c r="L195" s="10"/>
      <c r="M195" s="10"/>
      <c r="N195" s="10"/>
      <c r="O195" s="10"/>
      <c r="P195" s="10">
        <f t="shared" si="46"/>
        <v>170</v>
      </c>
      <c r="Q195" s="188"/>
    </row>
    <row r="196" spans="1:17" ht="13.5" hidden="1" customHeight="1" x14ac:dyDescent="0.2">
      <c r="A196" s="60"/>
      <c r="B196" s="8" t="s">
        <v>80</v>
      </c>
      <c r="C196" s="8"/>
      <c r="D196" s="10"/>
      <c r="E196" s="10"/>
      <c r="F196" s="10"/>
      <c r="G196" s="10"/>
      <c r="H196" s="10"/>
      <c r="I196" s="10"/>
      <c r="J196" s="10"/>
      <c r="K196" s="8">
        <v>140</v>
      </c>
      <c r="L196" s="10"/>
      <c r="M196" s="10"/>
      <c r="N196" s="10"/>
      <c r="O196" s="10"/>
      <c r="P196" s="10">
        <f t="shared" si="46"/>
        <v>140</v>
      </c>
      <c r="Q196" s="188"/>
    </row>
    <row r="197" spans="1:17" ht="13.5" hidden="1" customHeight="1" x14ac:dyDescent="0.2">
      <c r="A197" s="60"/>
      <c r="B197" s="8" t="s">
        <v>450</v>
      </c>
      <c r="C197" s="8"/>
      <c r="D197" s="10"/>
      <c r="E197" s="10"/>
      <c r="F197" s="10"/>
      <c r="G197" s="10"/>
      <c r="H197" s="10"/>
      <c r="I197" s="12"/>
      <c r="J197" s="10"/>
      <c r="K197" s="10"/>
      <c r="L197" s="10"/>
      <c r="M197" s="10"/>
      <c r="N197" s="10"/>
      <c r="O197" s="10"/>
      <c r="P197" s="10">
        <f t="shared" si="46"/>
        <v>0</v>
      </c>
      <c r="Q197" s="188"/>
    </row>
    <row r="198" spans="1:17" ht="13.5" hidden="1" customHeight="1" x14ac:dyDescent="0.2">
      <c r="A198" s="60"/>
      <c r="B198" s="8" t="s">
        <v>388</v>
      </c>
      <c r="C198" s="8"/>
      <c r="D198" s="10"/>
      <c r="E198" s="10"/>
      <c r="F198" s="10"/>
      <c r="G198" s="10"/>
      <c r="H198" s="10"/>
      <c r="I198" s="10"/>
      <c r="J198" s="10"/>
      <c r="K198" s="12"/>
      <c r="L198" s="10"/>
      <c r="M198" s="10"/>
      <c r="N198" s="10"/>
      <c r="O198" s="10"/>
      <c r="P198" s="10">
        <f t="shared" si="46"/>
        <v>0</v>
      </c>
      <c r="Q198" s="188"/>
    </row>
    <row r="199" spans="1:17" ht="13.5" hidden="1" customHeight="1" x14ac:dyDescent="0.2">
      <c r="A199" s="60"/>
      <c r="B199" s="8" t="s">
        <v>564</v>
      </c>
      <c r="C199" s="8"/>
      <c r="D199" s="10"/>
      <c r="E199" s="10"/>
      <c r="F199" s="10"/>
      <c r="G199" s="10"/>
      <c r="H199" s="10"/>
      <c r="I199" s="10"/>
      <c r="J199" s="10"/>
      <c r="K199" s="10"/>
      <c r="L199" s="10"/>
      <c r="M199" s="10">
        <v>32750</v>
      </c>
      <c r="N199" s="10"/>
      <c r="O199" s="10"/>
      <c r="P199" s="10">
        <f t="shared" si="46"/>
        <v>32750</v>
      </c>
      <c r="Q199" s="188"/>
    </row>
    <row r="200" spans="1:17" ht="13.5" hidden="1" customHeight="1" x14ac:dyDescent="0.2">
      <c r="A200" s="60"/>
      <c r="B200" s="8" t="s">
        <v>492</v>
      </c>
      <c r="C200" s="12">
        <v>120</v>
      </c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>
        <f t="shared" ref="P200:P205" si="47">SUM(C200:O200)</f>
        <v>120</v>
      </c>
      <c r="Q200" s="188"/>
    </row>
    <row r="201" spans="1:17" ht="13.5" hidden="1" customHeight="1" x14ac:dyDescent="0.2">
      <c r="A201" s="60"/>
      <c r="B201" s="8" t="s">
        <v>562</v>
      </c>
      <c r="C201" s="12">
        <f>210-206</f>
        <v>4</v>
      </c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>
        <f t="shared" si="47"/>
        <v>4</v>
      </c>
      <c r="Q201" s="188"/>
    </row>
    <row r="202" spans="1:17" ht="13.5" hidden="1" customHeight="1" x14ac:dyDescent="0.2">
      <c r="A202" s="60"/>
      <c r="B202" s="8" t="s">
        <v>560</v>
      </c>
      <c r="C202" s="12">
        <f>(290+787+252)</f>
        <v>1329</v>
      </c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>
        <f t="shared" si="47"/>
        <v>1329</v>
      </c>
      <c r="Q202" s="188"/>
    </row>
    <row r="203" spans="1:17" ht="13.5" hidden="1" customHeight="1" x14ac:dyDescent="0.2">
      <c r="A203" s="60"/>
      <c r="B203" s="8" t="s">
        <v>561</v>
      </c>
      <c r="C203" s="12">
        <v>490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>
        <f t="shared" si="47"/>
        <v>490</v>
      </c>
      <c r="Q203" s="188"/>
    </row>
    <row r="204" spans="1:17" ht="13.5" hidden="1" customHeight="1" x14ac:dyDescent="0.2">
      <c r="A204" s="60"/>
      <c r="B204" s="8" t="s">
        <v>579</v>
      </c>
      <c r="C204" s="12">
        <v>7</v>
      </c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>
        <f t="shared" si="47"/>
        <v>7</v>
      </c>
      <c r="Q204" s="188"/>
    </row>
    <row r="205" spans="1:17" ht="13.5" hidden="1" customHeight="1" x14ac:dyDescent="0.2">
      <c r="A205" s="60"/>
      <c r="B205" s="8" t="s">
        <v>587</v>
      </c>
      <c r="C205" s="12">
        <v>10205</v>
      </c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>
        <f t="shared" si="47"/>
        <v>10205</v>
      </c>
      <c r="Q205" s="188"/>
    </row>
    <row r="206" spans="1:17" ht="13.5" hidden="1" customHeight="1" x14ac:dyDescent="0.2">
      <c r="A206" s="60"/>
      <c r="B206" s="8"/>
      <c r="C206" s="12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88"/>
    </row>
    <row r="207" spans="1:17" ht="13.5" hidden="1" customHeight="1" x14ac:dyDescent="0.2">
      <c r="A207" s="60"/>
      <c r="B207" s="8"/>
      <c r="C207" s="12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88"/>
    </row>
    <row r="208" spans="1:17" ht="13.5" hidden="1" customHeight="1" x14ac:dyDescent="0.2">
      <c r="A208" s="60" t="s">
        <v>257</v>
      </c>
      <c r="B208" s="8" t="s">
        <v>283</v>
      </c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>
        <f t="shared" ref="P208:P228" si="48">SUM(C208:O208)</f>
        <v>0</v>
      </c>
      <c r="Q208" s="188"/>
    </row>
    <row r="209" spans="1:17" ht="13.5" hidden="1" customHeight="1" x14ac:dyDescent="0.2">
      <c r="A209" s="60"/>
      <c r="B209" s="8" t="s">
        <v>341</v>
      </c>
      <c r="C209" s="10">
        <v>60</v>
      </c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>
        <f t="shared" si="48"/>
        <v>60</v>
      </c>
      <c r="Q209" s="188"/>
    </row>
    <row r="210" spans="1:17" hidden="1" x14ac:dyDescent="0.2">
      <c r="A210" s="60"/>
      <c r="B210" s="8" t="s">
        <v>397</v>
      </c>
      <c r="C210" s="10">
        <v>450</v>
      </c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>
        <f t="shared" si="48"/>
        <v>450</v>
      </c>
      <c r="Q210" s="188"/>
    </row>
    <row r="211" spans="1:17" hidden="1" x14ac:dyDescent="0.2">
      <c r="A211" s="60"/>
      <c r="B211" s="8" t="s">
        <v>294</v>
      </c>
      <c r="C211" s="10">
        <f>150-6-15</f>
        <v>129</v>
      </c>
      <c r="D211" s="10">
        <f>10+6</f>
        <v>16</v>
      </c>
      <c r="E211" s="10">
        <f>245+15</f>
        <v>260</v>
      </c>
      <c r="F211" s="10"/>
      <c r="G211" s="10"/>
      <c r="H211" s="10"/>
      <c r="I211" s="10"/>
      <c r="J211" s="10"/>
      <c r="K211" s="10">
        <v>45</v>
      </c>
      <c r="L211" s="10"/>
      <c r="M211" s="10"/>
      <c r="N211" s="10"/>
      <c r="O211" s="10"/>
      <c r="P211" s="10">
        <f t="shared" si="48"/>
        <v>450</v>
      </c>
      <c r="Q211" s="188"/>
    </row>
    <row r="212" spans="1:17" hidden="1" x14ac:dyDescent="0.2">
      <c r="A212" s="60"/>
      <c r="B212" s="8" t="s">
        <v>566</v>
      </c>
      <c r="C212" s="10">
        <v>400</v>
      </c>
      <c r="D212" s="10">
        <v>500</v>
      </c>
      <c r="E212" s="10">
        <v>150</v>
      </c>
      <c r="F212" s="10"/>
      <c r="G212" s="10"/>
      <c r="H212" s="10"/>
      <c r="I212" s="10"/>
      <c r="J212" s="10">
        <f>800+388</f>
        <v>1188</v>
      </c>
      <c r="K212" s="10">
        <v>100</v>
      </c>
      <c r="L212" s="10"/>
      <c r="M212" s="10"/>
      <c r="N212" s="10"/>
      <c r="O212" s="10"/>
      <c r="P212" s="10">
        <f t="shared" si="48"/>
        <v>2338</v>
      </c>
      <c r="Q212" s="188"/>
    </row>
    <row r="213" spans="1:17" hidden="1" x14ac:dyDescent="0.2">
      <c r="A213" s="60"/>
      <c r="B213" s="8" t="s">
        <v>577</v>
      </c>
      <c r="C213" s="10">
        <v>650</v>
      </c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>
        <f t="shared" si="48"/>
        <v>650</v>
      </c>
      <c r="Q213" s="188"/>
    </row>
    <row r="214" spans="1:17" hidden="1" x14ac:dyDescent="0.2">
      <c r="A214" s="60"/>
      <c r="B214" s="8" t="s">
        <v>582</v>
      </c>
      <c r="C214" s="10">
        <v>253</v>
      </c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>
        <f t="shared" si="48"/>
        <v>253</v>
      </c>
      <c r="Q214" s="188"/>
    </row>
    <row r="215" spans="1:17" ht="13.5" hidden="1" customHeight="1" x14ac:dyDescent="0.2">
      <c r="A215" s="60"/>
      <c r="B215" s="8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>
        <f t="shared" si="48"/>
        <v>0</v>
      </c>
      <c r="Q215" s="188"/>
    </row>
    <row r="216" spans="1:17" ht="13.5" hidden="1" customHeight="1" x14ac:dyDescent="0.2">
      <c r="A216" s="77" t="s">
        <v>258</v>
      </c>
      <c r="B216" s="13" t="s">
        <v>242</v>
      </c>
      <c r="C216" s="6">
        <f>SUM(C217:C218)</f>
        <v>100</v>
      </c>
      <c r="D216" s="6">
        <f>SUM(D217:D218)</f>
        <v>50</v>
      </c>
      <c r="E216" s="6">
        <f>SUM(E217:E218)</f>
        <v>0</v>
      </c>
      <c r="F216" s="6">
        <f>SUM(F217:F218)</f>
        <v>0</v>
      </c>
      <c r="G216" s="6">
        <f t="shared" ref="G216:L216" si="49">SUM(G217:G218)</f>
        <v>0</v>
      </c>
      <c r="H216" s="6">
        <f t="shared" si="49"/>
        <v>0</v>
      </c>
      <c r="I216" s="6">
        <f t="shared" si="49"/>
        <v>0</v>
      </c>
      <c r="J216" s="6">
        <f t="shared" si="49"/>
        <v>0</v>
      </c>
      <c r="K216" s="6">
        <f t="shared" si="49"/>
        <v>0</v>
      </c>
      <c r="L216" s="6">
        <f t="shared" si="49"/>
        <v>0</v>
      </c>
      <c r="M216" s="6"/>
      <c r="N216" s="6"/>
      <c r="O216" s="6">
        <f>SUM(O217:O218)</f>
        <v>0</v>
      </c>
      <c r="P216" s="6">
        <f t="shared" si="48"/>
        <v>150</v>
      </c>
      <c r="Q216" s="188"/>
    </row>
    <row r="217" spans="1:17" ht="13.5" hidden="1" customHeight="1" x14ac:dyDescent="0.2">
      <c r="A217" s="60" t="s">
        <v>259</v>
      </c>
      <c r="B217" s="8" t="s">
        <v>282</v>
      </c>
      <c r="C217" s="10"/>
      <c r="D217" s="10">
        <v>50</v>
      </c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>
        <f t="shared" si="48"/>
        <v>50</v>
      </c>
      <c r="Q217" s="188"/>
    </row>
    <row r="218" spans="1:17" ht="13.5" hidden="1" customHeight="1" x14ac:dyDescent="0.2">
      <c r="A218" s="60" t="s">
        <v>260</v>
      </c>
      <c r="B218" s="8" t="s">
        <v>293</v>
      </c>
      <c r="C218" s="10">
        <v>100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>
        <f t="shared" si="48"/>
        <v>100</v>
      </c>
      <c r="Q218" s="188"/>
    </row>
    <row r="219" spans="1:17" ht="13.5" hidden="1" customHeight="1" x14ac:dyDescent="0.2">
      <c r="A219" s="77" t="s">
        <v>261</v>
      </c>
      <c r="B219" s="13" t="s">
        <v>243</v>
      </c>
      <c r="C219" s="6">
        <f>SUM(C220:C226)</f>
        <v>4526</v>
      </c>
      <c r="D219" s="6">
        <f>SUM(D220:D226)</f>
        <v>980</v>
      </c>
      <c r="E219" s="6">
        <f>SUM(E220:E226)</f>
        <v>346</v>
      </c>
      <c r="F219" s="6">
        <f>SUM(F220:F226)</f>
        <v>62</v>
      </c>
      <c r="G219" s="6">
        <f t="shared" ref="G219:O219" si="50">SUM(G220:G226)</f>
        <v>486</v>
      </c>
      <c r="H219" s="6">
        <f t="shared" si="50"/>
        <v>1148</v>
      </c>
      <c r="I219" s="6">
        <f t="shared" si="50"/>
        <v>118</v>
      </c>
      <c r="J219" s="6">
        <f t="shared" si="50"/>
        <v>1085</v>
      </c>
      <c r="K219" s="6">
        <f t="shared" si="50"/>
        <v>432</v>
      </c>
      <c r="L219" s="6">
        <f t="shared" si="50"/>
        <v>59</v>
      </c>
      <c r="M219" s="6">
        <f t="shared" si="50"/>
        <v>8842</v>
      </c>
      <c r="N219" s="6"/>
      <c r="O219" s="6">
        <f t="shared" si="50"/>
        <v>0</v>
      </c>
      <c r="P219" s="6">
        <f t="shared" si="48"/>
        <v>18084</v>
      </c>
      <c r="Q219" s="188"/>
    </row>
    <row r="220" spans="1:17" ht="13.5" hidden="1" customHeight="1" x14ac:dyDescent="0.2">
      <c r="A220" s="60" t="s">
        <v>262</v>
      </c>
      <c r="B220" s="8" t="s">
        <v>272</v>
      </c>
      <c r="C220" s="10">
        <f>(1160-32+2)+2755+111</f>
        <v>3996</v>
      </c>
      <c r="D220" s="10">
        <v>680</v>
      </c>
      <c r="E220" s="10">
        <v>261</v>
      </c>
      <c r="F220" s="10">
        <v>27</v>
      </c>
      <c r="G220" s="10">
        <v>486</v>
      </c>
      <c r="H220" s="10">
        <f>891-43</f>
        <v>848</v>
      </c>
      <c r="I220" s="10">
        <f>121-3</f>
        <v>118</v>
      </c>
      <c r="J220" s="10">
        <v>485</v>
      </c>
      <c r="K220" s="10">
        <v>432</v>
      </c>
      <c r="L220" s="10">
        <v>59</v>
      </c>
      <c r="M220" s="10">
        <v>8842</v>
      </c>
      <c r="N220" s="10"/>
      <c r="O220" s="10">
        <v>0</v>
      </c>
      <c r="P220" s="10">
        <f t="shared" si="48"/>
        <v>16234</v>
      </c>
      <c r="Q220" s="188"/>
    </row>
    <row r="221" spans="1:17" ht="13.5" hidden="1" customHeight="1" x14ac:dyDescent="0.2">
      <c r="A221" s="60" t="s">
        <v>263</v>
      </c>
      <c r="B221" s="8" t="s">
        <v>273</v>
      </c>
      <c r="C221" s="10"/>
      <c r="D221" s="301"/>
      <c r="E221" s="301"/>
      <c r="F221" s="301"/>
      <c r="G221" s="10"/>
      <c r="H221" s="10"/>
      <c r="I221" s="10"/>
      <c r="J221" s="10"/>
      <c r="K221" s="10"/>
      <c r="L221" s="10"/>
      <c r="M221" s="10"/>
      <c r="N221" s="10"/>
      <c r="O221" s="10"/>
      <c r="P221" s="10">
        <f t="shared" si="48"/>
        <v>0</v>
      </c>
      <c r="Q221" s="188"/>
    </row>
    <row r="222" spans="1:17" ht="13.5" hidden="1" customHeight="1" x14ac:dyDescent="0.2">
      <c r="A222" s="60" t="s">
        <v>264</v>
      </c>
      <c r="B222" s="8" t="s">
        <v>274</v>
      </c>
      <c r="C222" s="10">
        <v>30</v>
      </c>
      <c r="D222" s="301"/>
      <c r="E222" s="301"/>
      <c r="F222" s="301"/>
      <c r="G222" s="10"/>
      <c r="H222" s="10"/>
      <c r="I222" s="10"/>
      <c r="J222" s="10"/>
      <c r="K222" s="10"/>
      <c r="L222" s="10"/>
      <c r="M222" s="10"/>
      <c r="N222" s="10"/>
      <c r="O222" s="10"/>
      <c r="P222" s="10">
        <f t="shared" si="48"/>
        <v>30</v>
      </c>
      <c r="Q222" s="188"/>
    </row>
    <row r="223" spans="1:17" ht="13.5" hidden="1" customHeight="1" x14ac:dyDescent="0.2">
      <c r="A223" s="60" t="s">
        <v>265</v>
      </c>
      <c r="B223" s="8" t="s">
        <v>275</v>
      </c>
      <c r="C223" s="10"/>
      <c r="D223" s="301"/>
      <c r="E223" s="301"/>
      <c r="F223" s="301"/>
      <c r="G223" s="10"/>
      <c r="H223" s="10"/>
      <c r="I223" s="10"/>
      <c r="J223" s="10"/>
      <c r="K223" s="10"/>
      <c r="L223" s="10"/>
      <c r="M223" s="10"/>
      <c r="N223" s="10"/>
      <c r="O223" s="10"/>
      <c r="P223" s="10">
        <f t="shared" si="48"/>
        <v>0</v>
      </c>
      <c r="Q223" s="188"/>
    </row>
    <row r="224" spans="1:17" ht="13.5" hidden="1" customHeight="1" x14ac:dyDescent="0.2">
      <c r="A224" s="60" t="s">
        <v>266</v>
      </c>
      <c r="B224" s="8" t="s">
        <v>42</v>
      </c>
      <c r="C224" s="10">
        <v>200</v>
      </c>
      <c r="D224" s="10">
        <v>300</v>
      </c>
      <c r="E224" s="10">
        <f>20+15</f>
        <v>35</v>
      </c>
      <c r="F224" s="10">
        <f>50-15</f>
        <v>35</v>
      </c>
      <c r="G224" s="10"/>
      <c r="H224" s="10">
        <v>300</v>
      </c>
      <c r="I224" s="10"/>
      <c r="J224" s="10">
        <v>100</v>
      </c>
      <c r="K224" s="10"/>
      <c r="L224" s="10"/>
      <c r="M224" s="10"/>
      <c r="N224" s="10"/>
      <c r="O224" s="10"/>
      <c r="P224" s="10">
        <f t="shared" si="48"/>
        <v>970</v>
      </c>
      <c r="Q224" s="188"/>
    </row>
    <row r="225" spans="1:17" ht="13.5" hidden="1" customHeight="1" x14ac:dyDescent="0.2">
      <c r="A225" s="60"/>
      <c r="B225" s="8" t="s">
        <v>567</v>
      </c>
      <c r="C225" s="10"/>
      <c r="D225" s="10"/>
      <c r="E225" s="10"/>
      <c r="F225" s="10"/>
      <c r="G225" s="10"/>
      <c r="H225" s="10"/>
      <c r="I225" s="10"/>
      <c r="J225" s="10">
        <v>500</v>
      </c>
      <c r="K225" s="10"/>
      <c r="L225" s="10"/>
      <c r="M225" s="10"/>
      <c r="N225" s="10"/>
      <c r="O225" s="10"/>
      <c r="P225" s="10">
        <f t="shared" si="48"/>
        <v>500</v>
      </c>
      <c r="Q225" s="188"/>
    </row>
    <row r="226" spans="1:17" ht="13.5" hidden="1" customHeight="1" x14ac:dyDescent="0.2">
      <c r="A226" s="60"/>
      <c r="B226" s="8" t="s">
        <v>295</v>
      </c>
      <c r="C226" s="12">
        <v>300</v>
      </c>
      <c r="D226" s="301"/>
      <c r="E226" s="12">
        <v>50</v>
      </c>
      <c r="F226" s="301"/>
      <c r="G226" s="10"/>
      <c r="H226" s="10"/>
      <c r="I226" s="10"/>
      <c r="J226" s="10"/>
      <c r="K226" s="10"/>
      <c r="L226" s="10"/>
      <c r="M226" s="10"/>
      <c r="N226" s="10"/>
      <c r="O226" s="10"/>
      <c r="P226" s="10">
        <f t="shared" si="48"/>
        <v>350</v>
      </c>
      <c r="Q226" s="188"/>
    </row>
    <row r="227" spans="1:17" ht="13.5" hidden="1" customHeight="1" x14ac:dyDescent="0.2">
      <c r="A227" s="77" t="s">
        <v>277</v>
      </c>
      <c r="B227" s="125" t="s">
        <v>28</v>
      </c>
      <c r="C227" s="175">
        <f t="shared" ref="C227:O227" si="51">SUM(C174+C184+C187+C216+C219)</f>
        <v>21338</v>
      </c>
      <c r="D227" s="175">
        <f t="shared" si="51"/>
        <v>3374</v>
      </c>
      <c r="E227" s="175">
        <f t="shared" si="51"/>
        <v>2251</v>
      </c>
      <c r="F227" s="175">
        <f t="shared" si="51"/>
        <v>122</v>
      </c>
      <c r="G227" s="175">
        <f t="shared" si="51"/>
        <v>2236</v>
      </c>
      <c r="H227" s="175">
        <f t="shared" si="51"/>
        <v>4081</v>
      </c>
      <c r="I227" s="175">
        <f t="shared" si="51"/>
        <v>550</v>
      </c>
      <c r="J227" s="175">
        <f t="shared" si="51"/>
        <v>2473</v>
      </c>
      <c r="K227" s="175">
        <f t="shared" si="51"/>
        <v>2377</v>
      </c>
      <c r="L227" s="175">
        <f t="shared" si="51"/>
        <v>249</v>
      </c>
      <c r="M227" s="175">
        <f t="shared" si="51"/>
        <v>41592</v>
      </c>
      <c r="N227" s="175"/>
      <c r="O227" s="175">
        <f t="shared" si="51"/>
        <v>0</v>
      </c>
      <c r="P227" s="175">
        <f t="shared" si="48"/>
        <v>80643</v>
      </c>
      <c r="Q227" s="188"/>
    </row>
    <row r="228" spans="1:17" ht="13.5" hidden="1" customHeight="1" x14ac:dyDescent="0.2">
      <c r="A228" s="180" t="s">
        <v>276</v>
      </c>
      <c r="B228" s="125" t="s">
        <v>394</v>
      </c>
      <c r="C228" s="175">
        <v>100</v>
      </c>
      <c r="D228" s="175"/>
      <c r="E228" s="175"/>
      <c r="F228" s="175"/>
      <c r="G228" s="175"/>
      <c r="H228" s="175"/>
      <c r="I228" s="175">
        <v>3513</v>
      </c>
      <c r="J228" s="175"/>
      <c r="K228" s="175"/>
      <c r="L228" s="175"/>
      <c r="M228" s="175"/>
      <c r="N228" s="175"/>
      <c r="O228" s="175"/>
      <c r="P228" s="175">
        <f t="shared" si="48"/>
        <v>3613</v>
      </c>
      <c r="Q228" s="188"/>
    </row>
    <row r="229" spans="1:17" ht="13.5" hidden="1" customHeight="1" x14ac:dyDescent="0.2">
      <c r="A229" s="180" t="s">
        <v>300</v>
      </c>
      <c r="B229" s="125" t="s">
        <v>35</v>
      </c>
      <c r="C229" s="175"/>
      <c r="D229" s="175"/>
      <c r="E229" s="175"/>
      <c r="F229" s="175"/>
      <c r="G229" s="175"/>
      <c r="H229" s="175"/>
      <c r="I229" s="175"/>
      <c r="J229" s="175"/>
      <c r="K229" s="175"/>
      <c r="L229" s="175"/>
      <c r="M229" s="175"/>
      <c r="N229" s="175"/>
      <c r="O229" s="175"/>
      <c r="P229" s="175">
        <f t="shared" ref="P229:P230" si="52">SUM(C229:O229)</f>
        <v>0</v>
      </c>
      <c r="Q229" s="188"/>
    </row>
    <row r="230" spans="1:17" ht="13.5" hidden="1" customHeight="1" thickBot="1" x14ac:dyDescent="0.25">
      <c r="A230" s="180" t="s">
        <v>301</v>
      </c>
      <c r="B230" s="179" t="s">
        <v>302</v>
      </c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75">
        <f t="shared" si="52"/>
        <v>0</v>
      </c>
      <c r="Q230" s="188"/>
    </row>
    <row r="231" spans="1:17" ht="22.5" hidden="1" customHeight="1" thickBot="1" x14ac:dyDescent="0.4">
      <c r="A231" s="177"/>
      <c r="B231" s="230" t="s">
        <v>7</v>
      </c>
      <c r="C231" s="182">
        <f t="shared" ref="C231:P231" si="53">SUM(C170+C173+C227+C228+C229+C230)</f>
        <v>30879</v>
      </c>
      <c r="D231" s="182">
        <f t="shared" si="53"/>
        <v>14088</v>
      </c>
      <c r="E231" s="182">
        <f t="shared" si="53"/>
        <v>6172</v>
      </c>
      <c r="F231" s="182">
        <f t="shared" si="53"/>
        <v>122</v>
      </c>
      <c r="G231" s="182">
        <f t="shared" si="53"/>
        <v>2236</v>
      </c>
      <c r="H231" s="182">
        <f t="shared" si="53"/>
        <v>4081</v>
      </c>
      <c r="I231" s="182">
        <f t="shared" si="53"/>
        <v>4063</v>
      </c>
      <c r="J231" s="182">
        <f t="shared" si="53"/>
        <v>3019</v>
      </c>
      <c r="K231" s="182">
        <f t="shared" si="53"/>
        <v>2377</v>
      </c>
      <c r="L231" s="182">
        <f t="shared" si="53"/>
        <v>555</v>
      </c>
      <c r="M231" s="182">
        <f t="shared" si="53"/>
        <v>47881</v>
      </c>
      <c r="N231" s="182"/>
      <c r="O231" s="182">
        <f t="shared" si="53"/>
        <v>0</v>
      </c>
      <c r="P231" s="226">
        <f t="shared" si="53"/>
        <v>115473</v>
      </c>
      <c r="Q231" s="188"/>
    </row>
    <row r="232" spans="1:17" hidden="1" x14ac:dyDescent="0.2">
      <c r="A232" s="60"/>
      <c r="B232" s="228" t="s">
        <v>43</v>
      </c>
      <c r="C232" s="229"/>
      <c r="D232" s="181">
        <v>3</v>
      </c>
      <c r="E232" s="181">
        <v>1</v>
      </c>
      <c r="F232" s="181"/>
      <c r="G232" s="78"/>
      <c r="H232" s="78"/>
      <c r="I232" s="78"/>
      <c r="J232" s="78"/>
      <c r="K232" s="78"/>
      <c r="L232" s="78"/>
      <c r="M232" s="78"/>
      <c r="N232" s="78"/>
      <c r="O232" s="78"/>
      <c r="P232" s="78">
        <f>SUM(C232:O232)</f>
        <v>4</v>
      </c>
      <c r="Q232" s="2"/>
    </row>
    <row r="233" spans="1:17" hidden="1" x14ac:dyDescent="0.2">
      <c r="B233" s="227" t="s">
        <v>384</v>
      </c>
      <c r="C233" s="2"/>
      <c r="D233" s="27"/>
      <c r="E233" s="27"/>
      <c r="F233" s="27"/>
      <c r="G233" s="2"/>
      <c r="H233" s="2"/>
      <c r="I233" s="2"/>
      <c r="J233" s="2"/>
      <c r="K233" s="2"/>
      <c r="L233" s="2"/>
      <c r="M233" s="2"/>
      <c r="N233" s="2"/>
      <c r="O233" s="2">
        <v>0</v>
      </c>
      <c r="P233" s="7">
        <f>SUM(O233)</f>
        <v>0</v>
      </c>
      <c r="Q233" s="2"/>
    </row>
    <row r="234" spans="1:17" ht="13.5" hidden="1" thickBot="1" x14ac:dyDescent="0.25">
      <c r="B234" s="227"/>
      <c r="C234" s="7">
        <f t="shared" ref="C234:O234" si="54">(C23+C29+C30+C31+C32+C33+C34+C35+C36+C38+C39+C41+C42+C43+C44+C45+C46+C51+C52+C55+C59+C60+C63+C69+C70)*0.27</f>
        <v>1615.14</v>
      </c>
      <c r="D234" s="7">
        <f t="shared" si="54"/>
        <v>2053.08</v>
      </c>
      <c r="E234" s="7">
        <f t="shared" si="54"/>
        <v>399.6</v>
      </c>
      <c r="F234" s="7">
        <f t="shared" si="54"/>
        <v>91.800000000000011</v>
      </c>
      <c r="G234" s="7">
        <f t="shared" si="54"/>
        <v>1003.0500000000001</v>
      </c>
      <c r="H234" s="7">
        <f t="shared" si="54"/>
        <v>1296</v>
      </c>
      <c r="I234" s="7">
        <f t="shared" si="54"/>
        <v>0</v>
      </c>
      <c r="J234" s="7">
        <f t="shared" si="54"/>
        <v>623.70000000000005</v>
      </c>
      <c r="K234" s="7">
        <f t="shared" si="54"/>
        <v>461.70000000000005</v>
      </c>
      <c r="L234" s="7">
        <f t="shared" si="54"/>
        <v>35.1</v>
      </c>
      <c r="M234" s="7">
        <f t="shared" si="54"/>
        <v>0</v>
      </c>
      <c r="N234" s="7">
        <f t="shared" si="54"/>
        <v>0</v>
      </c>
      <c r="O234" s="7">
        <f t="shared" si="54"/>
        <v>0</v>
      </c>
      <c r="P234" s="7"/>
      <c r="Q234" s="2"/>
    </row>
    <row r="235" spans="1:17" ht="28.5" hidden="1" customHeight="1" thickBot="1" x14ac:dyDescent="0.25">
      <c r="A235" s="484" t="s">
        <v>106</v>
      </c>
      <c r="B235" s="479" t="s">
        <v>26</v>
      </c>
      <c r="C235" s="481" t="s">
        <v>518</v>
      </c>
      <c r="D235" s="482"/>
      <c r="E235" s="482"/>
      <c r="F235" s="482"/>
      <c r="G235" s="482"/>
      <c r="H235" s="482"/>
      <c r="I235" s="482"/>
      <c r="J235" s="482"/>
      <c r="K235" s="482"/>
      <c r="L235" s="482"/>
      <c r="M235" s="482"/>
      <c r="N235" s="482"/>
      <c r="O235" s="482"/>
      <c r="P235" s="483"/>
    </row>
    <row r="236" spans="1:17" ht="77.25" hidden="1" customHeight="1" thickBot="1" x14ac:dyDescent="0.25">
      <c r="A236" s="485"/>
      <c r="B236" s="480"/>
      <c r="C236" s="178" t="s">
        <v>296</v>
      </c>
      <c r="D236" s="176" t="s">
        <v>379</v>
      </c>
      <c r="E236" s="176" t="s">
        <v>338</v>
      </c>
      <c r="F236" s="176" t="s">
        <v>373</v>
      </c>
      <c r="G236" s="176" t="s">
        <v>103</v>
      </c>
      <c r="H236" s="176" t="s">
        <v>496</v>
      </c>
      <c r="I236" s="178" t="s">
        <v>378</v>
      </c>
      <c r="J236" s="178" t="s">
        <v>345</v>
      </c>
      <c r="K236" s="178" t="s">
        <v>374</v>
      </c>
      <c r="L236" s="178" t="s">
        <v>304</v>
      </c>
      <c r="M236" s="178" t="s">
        <v>563</v>
      </c>
      <c r="N236" s="178"/>
      <c r="O236" s="178" t="s">
        <v>337</v>
      </c>
      <c r="P236" s="212" t="s">
        <v>40</v>
      </c>
    </row>
    <row r="237" spans="1:17" ht="13.5" hidden="1" customHeight="1" x14ac:dyDescent="0.2">
      <c r="A237" s="183" t="s">
        <v>279</v>
      </c>
      <c r="B237" s="17" t="s">
        <v>280</v>
      </c>
      <c r="C237" s="38">
        <f t="shared" ref="C237:P237" si="55">SUM(C238:C240)</f>
        <v>0</v>
      </c>
      <c r="D237" s="38">
        <f t="shared" si="55"/>
        <v>9095</v>
      </c>
      <c r="E237" s="38">
        <f t="shared" si="55"/>
        <v>3335</v>
      </c>
      <c r="F237" s="38">
        <f t="shared" si="55"/>
        <v>0</v>
      </c>
      <c r="G237" s="38">
        <f t="shared" si="55"/>
        <v>0</v>
      </c>
      <c r="H237" s="38">
        <f t="shared" si="55"/>
        <v>0</v>
      </c>
      <c r="I237" s="38">
        <f t="shared" si="55"/>
        <v>0</v>
      </c>
      <c r="J237" s="38">
        <f t="shared" si="55"/>
        <v>0</v>
      </c>
      <c r="K237" s="38">
        <f t="shared" si="55"/>
        <v>0</v>
      </c>
      <c r="L237" s="38">
        <f t="shared" si="55"/>
        <v>324</v>
      </c>
      <c r="M237" s="38">
        <f t="shared" si="55"/>
        <v>0</v>
      </c>
      <c r="N237" s="38"/>
      <c r="O237" s="38">
        <f t="shared" si="55"/>
        <v>0</v>
      </c>
      <c r="P237" s="38">
        <f t="shared" si="55"/>
        <v>12754</v>
      </c>
      <c r="Q237" s="188"/>
    </row>
    <row r="238" spans="1:17" ht="13.5" hidden="1" customHeight="1" x14ac:dyDescent="0.2">
      <c r="A238" s="183"/>
      <c r="B238" s="49" t="s">
        <v>310</v>
      </c>
      <c r="C238" s="186"/>
      <c r="D238" s="78">
        <f>8891</f>
        <v>8891</v>
      </c>
      <c r="E238" s="78">
        <v>3335</v>
      </c>
      <c r="F238" s="78"/>
      <c r="G238" s="78"/>
      <c r="H238" s="78"/>
      <c r="I238" s="78"/>
      <c r="J238" s="78"/>
      <c r="K238" s="78"/>
      <c r="L238" s="78"/>
      <c r="M238" s="78"/>
      <c r="N238" s="78"/>
      <c r="O238" s="78">
        <v>0</v>
      </c>
      <c r="P238" s="78">
        <f t="shared" ref="P238:P245" si="56">SUM(C238:O238)</f>
        <v>12226</v>
      </c>
      <c r="Q238" s="188"/>
    </row>
    <row r="239" spans="1:17" ht="13.5" hidden="1" customHeight="1" x14ac:dyDescent="0.2">
      <c r="A239" s="183"/>
      <c r="B239" s="49" t="s">
        <v>44</v>
      </c>
      <c r="C239" s="186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>
        <f t="shared" si="56"/>
        <v>0</v>
      </c>
      <c r="Q239" s="188"/>
    </row>
    <row r="240" spans="1:17" ht="12.75" hidden="1" customHeight="1" x14ac:dyDescent="0.2">
      <c r="A240" s="60"/>
      <c r="B240" s="2" t="s">
        <v>506</v>
      </c>
      <c r="C240" s="10"/>
      <c r="D240" s="10">
        <f>4+200</f>
        <v>204</v>
      </c>
      <c r="E240" s="10"/>
      <c r="F240" s="10"/>
      <c r="G240" s="10"/>
      <c r="H240" s="10"/>
      <c r="I240" s="10"/>
      <c r="J240" s="10"/>
      <c r="K240" s="10"/>
      <c r="L240" s="10">
        <v>324</v>
      </c>
      <c r="M240" s="10"/>
      <c r="N240" s="10"/>
      <c r="O240" s="10"/>
      <c r="P240" s="78">
        <f t="shared" si="56"/>
        <v>528</v>
      </c>
      <c r="Q240" s="188"/>
    </row>
    <row r="241" spans="1:17" ht="12.75" hidden="1" customHeight="1" x14ac:dyDescent="0.2">
      <c r="A241" s="77" t="s">
        <v>281</v>
      </c>
      <c r="B241" s="13" t="s">
        <v>309</v>
      </c>
      <c r="C241" s="6">
        <f>SUM(C242:C247)</f>
        <v>6859</v>
      </c>
      <c r="D241" s="6">
        <f>SUM(D242:D247)</f>
        <v>0</v>
      </c>
      <c r="E241" s="6">
        <f>SUM(E242:E247)</f>
        <v>0</v>
      </c>
      <c r="F241" s="6">
        <f>SUM(F242:F247)</f>
        <v>0</v>
      </c>
      <c r="G241" s="6">
        <f t="shared" ref="G241:O241" si="57">SUM(G242:G247)</f>
        <v>0</v>
      </c>
      <c r="H241" s="6">
        <f t="shared" si="57"/>
        <v>0</v>
      </c>
      <c r="I241" s="6">
        <f t="shared" si="57"/>
        <v>0</v>
      </c>
      <c r="J241" s="6">
        <f t="shared" si="57"/>
        <v>275</v>
      </c>
      <c r="K241" s="6">
        <f t="shared" si="57"/>
        <v>0</v>
      </c>
      <c r="L241" s="6">
        <f t="shared" si="57"/>
        <v>0</v>
      </c>
      <c r="M241" s="6">
        <f t="shared" si="57"/>
        <v>5519</v>
      </c>
      <c r="N241" s="6"/>
      <c r="O241" s="6">
        <f t="shared" si="57"/>
        <v>0</v>
      </c>
      <c r="P241" s="225">
        <f t="shared" si="56"/>
        <v>12653</v>
      </c>
      <c r="Q241" s="188"/>
    </row>
    <row r="242" spans="1:17" ht="12.75" hidden="1" customHeight="1" x14ac:dyDescent="0.2">
      <c r="A242" s="77"/>
      <c r="B242" s="8" t="s">
        <v>41</v>
      </c>
      <c r="C242" s="186">
        <v>4787</v>
      </c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10">
        <f t="shared" si="56"/>
        <v>4787</v>
      </c>
      <c r="Q242" s="188"/>
    </row>
    <row r="243" spans="1:17" ht="12.75" hidden="1" customHeight="1" x14ac:dyDescent="0.2">
      <c r="A243" s="77"/>
      <c r="B243" s="152" t="s">
        <v>396</v>
      </c>
      <c r="C243" s="186">
        <v>209</v>
      </c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10">
        <f t="shared" si="56"/>
        <v>209</v>
      </c>
      <c r="Q243" s="188"/>
    </row>
    <row r="244" spans="1:17" ht="12.75" hidden="1" customHeight="1" x14ac:dyDescent="0.2">
      <c r="A244" s="77"/>
      <c r="B244" s="152" t="s">
        <v>308</v>
      </c>
      <c r="C244" s="186">
        <v>718</v>
      </c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10">
        <f t="shared" si="56"/>
        <v>718</v>
      </c>
      <c r="Q244" s="188"/>
    </row>
    <row r="245" spans="1:17" ht="12.75" hidden="1" customHeight="1" x14ac:dyDescent="0.2">
      <c r="A245" s="77"/>
      <c r="B245" s="8" t="s">
        <v>372</v>
      </c>
      <c r="C245" s="10">
        <v>720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>
        <f t="shared" si="56"/>
        <v>720</v>
      </c>
      <c r="Q245" s="188"/>
    </row>
    <row r="246" spans="1:17" ht="12.75" hidden="1" customHeight="1" x14ac:dyDescent="0.2">
      <c r="A246" s="77"/>
      <c r="B246" s="8" t="s">
        <v>493</v>
      </c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>
        <v>5519</v>
      </c>
      <c r="N246" s="10"/>
      <c r="O246" s="10"/>
      <c r="P246" s="10">
        <f>SUM(C246:O246)</f>
        <v>5519</v>
      </c>
      <c r="Q246" s="188"/>
    </row>
    <row r="247" spans="1:17" ht="12.75" hidden="1" customHeight="1" x14ac:dyDescent="0.2">
      <c r="A247" s="77"/>
      <c r="B247" s="8" t="s">
        <v>568</v>
      </c>
      <c r="C247" s="10">
        <v>425</v>
      </c>
      <c r="D247" s="10"/>
      <c r="E247" s="10"/>
      <c r="F247" s="10"/>
      <c r="G247" s="10"/>
      <c r="H247" s="10"/>
      <c r="I247" s="10"/>
      <c r="J247" s="10">
        <v>275</v>
      </c>
      <c r="K247" s="10"/>
      <c r="L247" s="10"/>
      <c r="M247" s="10"/>
      <c r="N247" s="10"/>
      <c r="O247" s="10"/>
      <c r="P247" s="10">
        <f>SUM(C247:O247)</f>
        <v>700</v>
      </c>
      <c r="Q247" s="188"/>
    </row>
    <row r="248" spans="1:17" ht="13.5" hidden="1" customHeight="1" x14ac:dyDescent="0.2">
      <c r="A248" s="77" t="s">
        <v>203</v>
      </c>
      <c r="B248" s="125" t="s">
        <v>278</v>
      </c>
      <c r="C248" s="175">
        <f t="shared" ref="C248:L248" si="58">SUM(C237+C241)</f>
        <v>6859</v>
      </c>
      <c r="D248" s="175">
        <f t="shared" si="58"/>
        <v>9095</v>
      </c>
      <c r="E248" s="175">
        <f t="shared" si="58"/>
        <v>3335</v>
      </c>
      <c r="F248" s="175">
        <f t="shared" si="58"/>
        <v>0</v>
      </c>
      <c r="G248" s="175">
        <f t="shared" si="58"/>
        <v>0</v>
      </c>
      <c r="H248" s="175">
        <f t="shared" si="58"/>
        <v>0</v>
      </c>
      <c r="I248" s="175">
        <f t="shared" si="58"/>
        <v>0</v>
      </c>
      <c r="J248" s="175">
        <f t="shared" si="58"/>
        <v>275</v>
      </c>
      <c r="K248" s="175">
        <f t="shared" si="58"/>
        <v>0</v>
      </c>
      <c r="L248" s="175">
        <f t="shared" si="58"/>
        <v>324</v>
      </c>
      <c r="M248" s="175">
        <f>SUM(M237+M241)</f>
        <v>5519</v>
      </c>
      <c r="N248" s="175"/>
      <c r="O248" s="175">
        <f>SUM(O237+O241)</f>
        <v>0</v>
      </c>
      <c r="P248" s="175">
        <f>SUM(C248:O248)</f>
        <v>25407</v>
      </c>
      <c r="Q248" s="188"/>
    </row>
    <row r="249" spans="1:17" ht="13.5" hidden="1" customHeight="1" x14ac:dyDescent="0.2">
      <c r="A249" s="60"/>
      <c r="B249" s="8" t="s">
        <v>27</v>
      </c>
      <c r="C249" s="10">
        <f>979+128</f>
        <v>1107</v>
      </c>
      <c r="D249" s="10">
        <v>1410</v>
      </c>
      <c r="E249" s="10">
        <v>517</v>
      </c>
      <c r="F249" s="10"/>
      <c r="G249" s="10"/>
      <c r="H249" s="10"/>
      <c r="I249" s="10"/>
      <c r="J249" s="10"/>
      <c r="K249" s="10"/>
      <c r="L249" s="10">
        <v>46</v>
      </c>
      <c r="M249" s="12">
        <f>770</f>
        <v>770</v>
      </c>
      <c r="N249" s="12"/>
      <c r="O249" s="10">
        <v>0</v>
      </c>
      <c r="P249" s="10">
        <f>SUM(C249:O249)</f>
        <v>3850</v>
      </c>
      <c r="Q249" s="188"/>
    </row>
    <row r="250" spans="1:17" hidden="1" x14ac:dyDescent="0.2">
      <c r="A250" s="60"/>
      <c r="B250" s="8" t="s">
        <v>468</v>
      </c>
      <c r="C250" s="10">
        <f>32+124</f>
        <v>156</v>
      </c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>
        <f>SUM(C250:O250)</f>
        <v>156</v>
      </c>
      <c r="Q250" s="188"/>
    </row>
    <row r="251" spans="1:17" ht="13.5" hidden="1" customHeight="1" x14ac:dyDescent="0.2">
      <c r="A251" s="77" t="s">
        <v>204</v>
      </c>
      <c r="B251" s="125" t="s">
        <v>86</v>
      </c>
      <c r="C251" s="175">
        <f>SUM(C249:C250)</f>
        <v>1263</v>
      </c>
      <c r="D251" s="175">
        <f>SUM(D249:D250)</f>
        <v>1410</v>
      </c>
      <c r="E251" s="175">
        <f>SUM(E249:E250)</f>
        <v>517</v>
      </c>
      <c r="F251" s="175">
        <f>SUM(F249:F250)</f>
        <v>0</v>
      </c>
      <c r="G251" s="175">
        <f t="shared" ref="G251:L251" si="59">SUM(G249:G250)</f>
        <v>0</v>
      </c>
      <c r="H251" s="175">
        <f t="shared" si="59"/>
        <v>0</v>
      </c>
      <c r="I251" s="175">
        <f t="shared" si="59"/>
        <v>0</v>
      </c>
      <c r="J251" s="175">
        <f t="shared" si="59"/>
        <v>0</v>
      </c>
      <c r="K251" s="175">
        <f t="shared" si="59"/>
        <v>0</v>
      </c>
      <c r="L251" s="175">
        <f t="shared" si="59"/>
        <v>46</v>
      </c>
      <c r="M251" s="175">
        <f>SUM(M249:M250)</f>
        <v>770</v>
      </c>
      <c r="N251" s="175"/>
      <c r="O251" s="175">
        <f>SUM(O249:O250)</f>
        <v>0</v>
      </c>
      <c r="P251" s="175">
        <f>SUM(P249:P250)</f>
        <v>4006</v>
      </c>
      <c r="Q251" s="188"/>
    </row>
    <row r="252" spans="1:17" ht="13.5" hidden="1" customHeight="1" x14ac:dyDescent="0.2">
      <c r="A252" s="77" t="s">
        <v>244</v>
      </c>
      <c r="B252" s="13" t="s">
        <v>267</v>
      </c>
      <c r="C252" s="6">
        <f>SUM(C253:C262)</f>
        <v>620</v>
      </c>
      <c r="D252" s="6">
        <f>SUM(D253:D262)</f>
        <v>1070</v>
      </c>
      <c r="E252" s="6">
        <f>SUM(E253:E262)</f>
        <v>720</v>
      </c>
      <c r="F252" s="6">
        <f>SUM(F253:F262)</f>
        <v>0</v>
      </c>
      <c r="G252" s="6">
        <f t="shared" ref="G252:M252" si="60">SUM(G253:G262)</f>
        <v>0</v>
      </c>
      <c r="H252" s="6">
        <f t="shared" si="60"/>
        <v>0</v>
      </c>
      <c r="I252" s="6">
        <f t="shared" si="60"/>
        <v>0</v>
      </c>
      <c r="J252" s="6">
        <f t="shared" si="60"/>
        <v>120</v>
      </c>
      <c r="K252" s="6">
        <f t="shared" si="60"/>
        <v>50</v>
      </c>
      <c r="L252" s="6">
        <f t="shared" si="60"/>
        <v>120</v>
      </c>
      <c r="M252" s="6">
        <f t="shared" si="60"/>
        <v>0</v>
      </c>
      <c r="N252" s="6"/>
      <c r="O252" s="6">
        <f>SUM(O253:O262)</f>
        <v>0</v>
      </c>
      <c r="P252" s="6">
        <f>SUM(P253:P262)</f>
        <v>2700</v>
      </c>
      <c r="Q252" s="188"/>
    </row>
    <row r="253" spans="1:17" ht="13.5" hidden="1" customHeight="1" x14ac:dyDescent="0.2">
      <c r="A253" s="60" t="s">
        <v>245</v>
      </c>
      <c r="B253" s="8" t="s">
        <v>343</v>
      </c>
      <c r="C253" s="10">
        <v>50</v>
      </c>
      <c r="D253" s="301"/>
      <c r="E253" s="301"/>
      <c r="F253" s="301"/>
      <c r="G253" s="10"/>
      <c r="H253" s="10"/>
      <c r="I253" s="10"/>
      <c r="J253" s="10"/>
      <c r="K253" s="10"/>
      <c r="L253" s="10">
        <v>50</v>
      </c>
      <c r="M253" s="10"/>
      <c r="N253" s="10"/>
      <c r="O253" s="10"/>
      <c r="P253" s="10">
        <f t="shared" ref="P253:P259" si="61">SUM(C253:O253)</f>
        <v>100</v>
      </c>
      <c r="Q253" s="188"/>
    </row>
    <row r="254" spans="1:17" ht="13.5" hidden="1" customHeight="1" x14ac:dyDescent="0.2">
      <c r="A254" s="60" t="s">
        <v>247</v>
      </c>
      <c r="B254" s="8" t="s">
        <v>268</v>
      </c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>
        <f t="shared" si="61"/>
        <v>0</v>
      </c>
      <c r="Q254" s="188"/>
    </row>
    <row r="255" spans="1:17" ht="13.5" hidden="1" customHeight="1" x14ac:dyDescent="0.2">
      <c r="A255" s="60"/>
      <c r="B255" s="8" t="s">
        <v>289</v>
      </c>
      <c r="C255" s="10">
        <v>100</v>
      </c>
      <c r="D255" s="10"/>
      <c r="E255" s="10">
        <v>5</v>
      </c>
      <c r="F255" s="10"/>
      <c r="G255" s="10"/>
      <c r="H255" s="10"/>
      <c r="I255" s="10"/>
      <c r="J255" s="10"/>
      <c r="K255" s="10"/>
      <c r="L255" s="10">
        <v>20</v>
      </c>
      <c r="M255" s="10"/>
      <c r="N255" s="10"/>
      <c r="O255" s="10"/>
      <c r="P255" s="10">
        <f t="shared" si="61"/>
        <v>125</v>
      </c>
      <c r="Q255" s="188"/>
    </row>
    <row r="256" spans="1:17" ht="13.5" hidden="1" customHeight="1" x14ac:dyDescent="0.2">
      <c r="A256" s="60" t="s">
        <v>246</v>
      </c>
      <c r="B256" s="8" t="s">
        <v>269</v>
      </c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>
        <f t="shared" si="61"/>
        <v>0</v>
      </c>
      <c r="Q256" s="188"/>
    </row>
    <row r="257" spans="1:17" ht="13.5" hidden="1" customHeight="1" x14ac:dyDescent="0.2">
      <c r="A257" s="60"/>
      <c r="B257" s="8" t="s">
        <v>320</v>
      </c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>
        <f t="shared" si="61"/>
        <v>0</v>
      </c>
      <c r="Q257" s="188"/>
    </row>
    <row r="258" spans="1:17" ht="13.5" hidden="1" customHeight="1" x14ac:dyDescent="0.2">
      <c r="A258" s="60"/>
      <c r="B258" s="8" t="s">
        <v>290</v>
      </c>
      <c r="C258" s="10">
        <v>20</v>
      </c>
      <c r="D258" s="10">
        <v>450</v>
      </c>
      <c r="E258" s="10">
        <v>650</v>
      </c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>
        <f t="shared" si="61"/>
        <v>1120</v>
      </c>
      <c r="Q258" s="188"/>
    </row>
    <row r="259" spans="1:17" ht="13.5" hidden="1" customHeight="1" x14ac:dyDescent="0.2">
      <c r="A259" s="60"/>
      <c r="B259" s="8" t="s">
        <v>291</v>
      </c>
      <c r="C259" s="10">
        <v>250</v>
      </c>
      <c r="D259" s="10">
        <v>120</v>
      </c>
      <c r="E259" s="10"/>
      <c r="F259" s="10"/>
      <c r="G259" s="10"/>
      <c r="H259" s="10"/>
      <c r="I259" s="10"/>
      <c r="J259" s="10">
        <v>20</v>
      </c>
      <c r="K259" s="10"/>
      <c r="L259" s="10"/>
      <c r="M259" s="10"/>
      <c r="N259" s="10"/>
      <c r="O259" s="10"/>
      <c r="P259" s="10">
        <f t="shared" si="61"/>
        <v>390</v>
      </c>
      <c r="Q259" s="188"/>
    </row>
    <row r="260" spans="1:17" ht="13.5" hidden="1" customHeight="1" x14ac:dyDescent="0.2">
      <c r="A260" s="60"/>
      <c r="B260" s="8" t="s">
        <v>321</v>
      </c>
      <c r="C260" s="10">
        <v>200</v>
      </c>
      <c r="D260" s="10">
        <f>500-100</f>
        <v>400</v>
      </c>
      <c r="E260" s="10">
        <v>10</v>
      </c>
      <c r="F260" s="10"/>
      <c r="G260" s="10"/>
      <c r="H260" s="10"/>
      <c r="I260" s="10"/>
      <c r="J260" s="10">
        <v>100</v>
      </c>
      <c r="K260" s="10">
        <v>50</v>
      </c>
      <c r="L260" s="10">
        <v>50</v>
      </c>
      <c r="M260" s="10"/>
      <c r="N260" s="10"/>
      <c r="O260" s="10"/>
      <c r="P260" s="10">
        <f>SUM(C260:O260)</f>
        <v>810</v>
      </c>
      <c r="Q260" s="188"/>
    </row>
    <row r="261" spans="1:17" ht="13.5" hidden="1" customHeight="1" x14ac:dyDescent="0.2">
      <c r="A261" s="60"/>
      <c r="B261" s="8" t="s">
        <v>299</v>
      </c>
      <c r="C261" s="10"/>
      <c r="D261" s="10">
        <v>100</v>
      </c>
      <c r="E261" s="10">
        <v>55</v>
      </c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>
        <f>SUM(C261:O261)</f>
        <v>155</v>
      </c>
      <c r="Q261" s="188"/>
    </row>
    <row r="262" spans="1:17" ht="13.5" hidden="1" customHeight="1" x14ac:dyDescent="0.2">
      <c r="A262" s="60"/>
      <c r="B262" s="8" t="s">
        <v>565</v>
      </c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>
        <f>SUM(C262:O262)</f>
        <v>0</v>
      </c>
      <c r="Q262" s="188"/>
    </row>
    <row r="263" spans="1:17" ht="13.5" hidden="1" customHeight="1" x14ac:dyDescent="0.2">
      <c r="A263" s="77" t="s">
        <v>248</v>
      </c>
      <c r="B263" s="13" t="s">
        <v>270</v>
      </c>
      <c r="C263" s="6">
        <f>SUM(C264:C265)</f>
        <v>260</v>
      </c>
      <c r="D263" s="6">
        <f>SUM(D264:D265)</f>
        <v>0</v>
      </c>
      <c r="E263" s="6">
        <f>SUM(E264:E265)</f>
        <v>0</v>
      </c>
      <c r="F263" s="6">
        <f>SUM(F264:F265)</f>
        <v>0</v>
      </c>
      <c r="G263" s="6">
        <f t="shared" ref="G263:O263" si="62">SUM(G264:G265)</f>
        <v>0</v>
      </c>
      <c r="H263" s="6">
        <f t="shared" si="62"/>
        <v>0</v>
      </c>
      <c r="I263" s="6">
        <f t="shared" si="62"/>
        <v>0</v>
      </c>
      <c r="J263" s="6">
        <f t="shared" si="62"/>
        <v>0</v>
      </c>
      <c r="K263" s="6">
        <f t="shared" si="62"/>
        <v>250</v>
      </c>
      <c r="L263" s="6">
        <f t="shared" si="62"/>
        <v>0</v>
      </c>
      <c r="M263" s="6">
        <f t="shared" si="62"/>
        <v>0</v>
      </c>
      <c r="N263" s="6"/>
      <c r="O263" s="6">
        <f t="shared" si="62"/>
        <v>0</v>
      </c>
      <c r="P263" s="6">
        <f>SUM(P264:P265)</f>
        <v>510</v>
      </c>
      <c r="Q263" s="188"/>
    </row>
    <row r="264" spans="1:17" ht="13.5" hidden="1" customHeight="1" x14ac:dyDescent="0.2">
      <c r="A264" s="60" t="s">
        <v>249</v>
      </c>
      <c r="B264" s="8" t="s">
        <v>340</v>
      </c>
      <c r="C264" s="10">
        <v>150</v>
      </c>
      <c r="D264" s="10"/>
      <c r="E264" s="10"/>
      <c r="F264" s="10"/>
      <c r="G264" s="10"/>
      <c r="H264" s="10"/>
      <c r="I264" s="10"/>
      <c r="J264" s="10"/>
      <c r="K264" s="10">
        <v>150</v>
      </c>
      <c r="L264" s="10"/>
      <c r="M264" s="10"/>
      <c r="N264" s="10"/>
      <c r="O264" s="10"/>
      <c r="P264" s="10">
        <f>SUM(C264:O264)</f>
        <v>300</v>
      </c>
      <c r="Q264" s="188"/>
    </row>
    <row r="265" spans="1:17" ht="13.5" hidden="1" customHeight="1" x14ac:dyDescent="0.2">
      <c r="A265" s="60" t="s">
        <v>250</v>
      </c>
      <c r="B265" s="8" t="s">
        <v>292</v>
      </c>
      <c r="C265" s="10">
        <v>110</v>
      </c>
      <c r="D265" s="301"/>
      <c r="E265" s="10"/>
      <c r="F265" s="301"/>
      <c r="G265" s="10"/>
      <c r="H265" s="10"/>
      <c r="I265" s="10"/>
      <c r="J265" s="10"/>
      <c r="K265" s="10">
        <v>100</v>
      </c>
      <c r="L265" s="10"/>
      <c r="M265" s="10"/>
      <c r="N265" s="10"/>
      <c r="O265" s="10"/>
      <c r="P265" s="10">
        <f>SUM(C265:O265)</f>
        <v>210</v>
      </c>
      <c r="Q265" s="188"/>
    </row>
    <row r="266" spans="1:17" ht="13.5" hidden="1" customHeight="1" x14ac:dyDescent="0.2">
      <c r="A266" s="77" t="s">
        <v>251</v>
      </c>
      <c r="B266" s="13" t="s">
        <v>271</v>
      </c>
      <c r="C266" s="6">
        <f t="shared" ref="C266:P266" si="63">SUM(C267:C292)</f>
        <v>4609</v>
      </c>
      <c r="D266" s="6">
        <f t="shared" si="63"/>
        <v>1160</v>
      </c>
      <c r="E266" s="6">
        <f t="shared" si="63"/>
        <v>455</v>
      </c>
      <c r="F266" s="6">
        <f t="shared" si="63"/>
        <v>50</v>
      </c>
      <c r="G266" s="6">
        <f t="shared" si="63"/>
        <v>1800</v>
      </c>
      <c r="H266" s="6">
        <f t="shared" si="63"/>
        <v>3000</v>
      </c>
      <c r="I266" s="6">
        <f t="shared" si="63"/>
        <v>0</v>
      </c>
      <c r="J266" s="6">
        <f t="shared" si="63"/>
        <v>800</v>
      </c>
      <c r="K266" s="6">
        <f t="shared" si="63"/>
        <v>1695</v>
      </c>
      <c r="L266" s="6">
        <f t="shared" si="63"/>
        <v>100</v>
      </c>
      <c r="M266" s="6">
        <f t="shared" si="63"/>
        <v>32750</v>
      </c>
      <c r="N266" s="6"/>
      <c r="O266" s="6">
        <f t="shared" si="63"/>
        <v>0</v>
      </c>
      <c r="P266" s="6">
        <f t="shared" si="63"/>
        <v>46419</v>
      </c>
      <c r="Q266" s="188"/>
    </row>
    <row r="267" spans="1:17" ht="13.5" hidden="1" customHeight="1" x14ac:dyDescent="0.2">
      <c r="A267" s="60" t="s">
        <v>252</v>
      </c>
      <c r="B267" s="8" t="s">
        <v>288</v>
      </c>
      <c r="C267" s="10">
        <v>1000</v>
      </c>
      <c r="D267" s="10">
        <v>150</v>
      </c>
      <c r="E267" s="10"/>
      <c r="F267" s="10">
        <v>50</v>
      </c>
      <c r="G267" s="10">
        <v>750</v>
      </c>
      <c r="H267" s="10"/>
      <c r="I267" s="10"/>
      <c r="J267" s="10"/>
      <c r="K267" s="10">
        <v>1100</v>
      </c>
      <c r="L267" s="10">
        <v>100</v>
      </c>
      <c r="M267" s="10"/>
      <c r="N267" s="10"/>
      <c r="O267" s="10"/>
      <c r="P267" s="10">
        <f t="shared" ref="P267:P283" si="64">SUM(C267:O267)</f>
        <v>3150</v>
      </c>
      <c r="Q267" s="188"/>
    </row>
    <row r="268" spans="1:17" ht="13.5" hidden="1" customHeight="1" x14ac:dyDescent="0.2">
      <c r="A268" s="60" t="s">
        <v>297</v>
      </c>
      <c r="B268" s="8" t="s">
        <v>298</v>
      </c>
      <c r="C268" s="10"/>
      <c r="D268" s="10"/>
      <c r="E268" s="10"/>
      <c r="F268" s="10"/>
      <c r="G268" s="10"/>
      <c r="H268" s="10">
        <f>2475+525</f>
        <v>3000</v>
      </c>
      <c r="I268" s="10"/>
      <c r="J268" s="10"/>
      <c r="K268" s="10"/>
      <c r="L268" s="10"/>
      <c r="M268" s="10"/>
      <c r="N268" s="10"/>
      <c r="O268" s="10"/>
      <c r="P268" s="10">
        <f t="shared" si="64"/>
        <v>3000</v>
      </c>
      <c r="Q268" s="188"/>
    </row>
    <row r="269" spans="1:17" ht="13.5" hidden="1" customHeight="1" x14ac:dyDescent="0.2">
      <c r="A269" s="60" t="s">
        <v>253</v>
      </c>
      <c r="B269" s="8" t="s">
        <v>287</v>
      </c>
      <c r="C269" s="10"/>
      <c r="D269" s="10"/>
      <c r="E269" s="10"/>
      <c r="F269" s="10"/>
      <c r="G269" s="10">
        <v>900</v>
      </c>
      <c r="H269" s="10"/>
      <c r="I269" s="10"/>
      <c r="J269" s="10"/>
      <c r="K269" s="10"/>
      <c r="L269" s="10"/>
      <c r="M269" s="10"/>
      <c r="N269" s="10"/>
      <c r="O269" s="10"/>
      <c r="P269" s="10">
        <f t="shared" si="64"/>
        <v>900</v>
      </c>
      <c r="Q269" s="188"/>
    </row>
    <row r="270" spans="1:17" ht="13.5" hidden="1" customHeight="1" x14ac:dyDescent="0.2">
      <c r="A270" s="60" t="s">
        <v>254</v>
      </c>
      <c r="B270" s="8" t="s">
        <v>286</v>
      </c>
      <c r="C270" s="10">
        <v>100</v>
      </c>
      <c r="D270" s="10">
        <v>500</v>
      </c>
      <c r="E270" s="10">
        <v>50</v>
      </c>
      <c r="F270" s="10"/>
      <c r="G270" s="10">
        <v>150</v>
      </c>
      <c r="H270" s="10"/>
      <c r="I270" s="10"/>
      <c r="J270" s="10"/>
      <c r="K270" s="10">
        <v>100</v>
      </c>
      <c r="L270" s="10"/>
      <c r="M270" s="10"/>
      <c r="N270" s="10"/>
      <c r="O270" s="10"/>
      <c r="P270" s="10">
        <f t="shared" si="64"/>
        <v>900</v>
      </c>
      <c r="Q270" s="188"/>
    </row>
    <row r="271" spans="1:17" ht="13.5" hidden="1" customHeight="1" x14ac:dyDescent="0.2">
      <c r="A271" s="60" t="s">
        <v>255</v>
      </c>
      <c r="B271" s="8" t="s">
        <v>285</v>
      </c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>
        <f t="shared" si="64"/>
        <v>0</v>
      </c>
      <c r="Q271" s="188"/>
    </row>
    <row r="272" spans="1:17" ht="13.5" hidden="1" customHeight="1" x14ac:dyDescent="0.2">
      <c r="A272" s="60" t="s">
        <v>256</v>
      </c>
      <c r="B272" s="8" t="s">
        <v>284</v>
      </c>
      <c r="C272" s="10">
        <v>300</v>
      </c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>
        <f t="shared" si="64"/>
        <v>300</v>
      </c>
      <c r="Q272" s="188"/>
    </row>
    <row r="273" spans="1:17" ht="13.5" hidden="1" customHeight="1" x14ac:dyDescent="0.2">
      <c r="A273" s="60"/>
      <c r="B273" s="8" t="s">
        <v>303</v>
      </c>
      <c r="C273" s="8"/>
      <c r="D273" s="10"/>
      <c r="E273" s="10">
        <v>10</v>
      </c>
      <c r="F273" s="10"/>
      <c r="G273" s="10"/>
      <c r="H273" s="10"/>
      <c r="I273" s="10"/>
      <c r="J273" s="10"/>
      <c r="K273" s="8">
        <v>40</v>
      </c>
      <c r="L273" s="10"/>
      <c r="M273" s="10"/>
      <c r="N273" s="10"/>
      <c r="O273" s="10"/>
      <c r="P273" s="10">
        <f t="shared" si="64"/>
        <v>50</v>
      </c>
      <c r="Q273" s="188"/>
    </row>
    <row r="274" spans="1:17" ht="13.5" hidden="1" customHeight="1" x14ac:dyDescent="0.2">
      <c r="A274" s="60"/>
      <c r="B274" s="8" t="s">
        <v>79</v>
      </c>
      <c r="C274" s="8"/>
      <c r="D274" s="10"/>
      <c r="E274" s="10"/>
      <c r="F274" s="10"/>
      <c r="G274" s="10"/>
      <c r="H274" s="10"/>
      <c r="I274" s="10"/>
      <c r="J274" s="10"/>
      <c r="K274" s="8">
        <v>170</v>
      </c>
      <c r="L274" s="10"/>
      <c r="M274" s="10"/>
      <c r="N274" s="10"/>
      <c r="O274" s="10"/>
      <c r="P274" s="10">
        <f t="shared" si="64"/>
        <v>170</v>
      </c>
      <c r="Q274" s="188"/>
    </row>
    <row r="275" spans="1:17" ht="13.5" hidden="1" customHeight="1" x14ac:dyDescent="0.2">
      <c r="A275" s="60"/>
      <c r="B275" s="8" t="s">
        <v>80</v>
      </c>
      <c r="C275" s="8"/>
      <c r="D275" s="10"/>
      <c r="E275" s="10"/>
      <c r="F275" s="10"/>
      <c r="G275" s="10"/>
      <c r="H275" s="10"/>
      <c r="I275" s="10"/>
      <c r="J275" s="10"/>
      <c r="K275" s="8">
        <v>140</v>
      </c>
      <c r="L275" s="10"/>
      <c r="M275" s="10"/>
      <c r="N275" s="10"/>
      <c r="O275" s="10"/>
      <c r="P275" s="10">
        <f t="shared" si="64"/>
        <v>140</v>
      </c>
      <c r="Q275" s="188"/>
    </row>
    <row r="276" spans="1:17" ht="13.5" hidden="1" customHeight="1" x14ac:dyDescent="0.2">
      <c r="A276" s="60"/>
      <c r="B276" s="8" t="s">
        <v>450</v>
      </c>
      <c r="C276" s="8"/>
      <c r="D276" s="10"/>
      <c r="E276" s="10"/>
      <c r="F276" s="10"/>
      <c r="G276" s="10"/>
      <c r="H276" s="10"/>
      <c r="I276" s="12"/>
      <c r="J276" s="10"/>
      <c r="K276" s="10"/>
      <c r="L276" s="10"/>
      <c r="M276" s="10"/>
      <c r="N276" s="10"/>
      <c r="O276" s="10"/>
      <c r="P276" s="10">
        <f t="shared" si="64"/>
        <v>0</v>
      </c>
      <c r="Q276" s="188"/>
    </row>
    <row r="277" spans="1:17" ht="13.5" hidden="1" customHeight="1" x14ac:dyDescent="0.2">
      <c r="A277" s="60"/>
      <c r="B277" s="8" t="s">
        <v>388</v>
      </c>
      <c r="C277" s="8"/>
      <c r="D277" s="10"/>
      <c r="E277" s="10"/>
      <c r="F277" s="10"/>
      <c r="G277" s="10"/>
      <c r="H277" s="10"/>
      <c r="I277" s="10"/>
      <c r="J277" s="10"/>
      <c r="K277" s="12"/>
      <c r="L277" s="10"/>
      <c r="M277" s="10"/>
      <c r="N277" s="10"/>
      <c r="O277" s="10"/>
      <c r="P277" s="10">
        <f t="shared" si="64"/>
        <v>0</v>
      </c>
      <c r="Q277" s="188"/>
    </row>
    <row r="278" spans="1:17" ht="13.5" hidden="1" customHeight="1" x14ac:dyDescent="0.2">
      <c r="A278" s="60"/>
      <c r="B278" s="8" t="s">
        <v>564</v>
      </c>
      <c r="C278" s="8"/>
      <c r="D278" s="10"/>
      <c r="E278" s="10"/>
      <c r="F278" s="10"/>
      <c r="G278" s="10"/>
      <c r="H278" s="10"/>
      <c r="I278" s="10"/>
      <c r="J278" s="10"/>
      <c r="K278" s="10"/>
      <c r="L278" s="10"/>
      <c r="M278" s="10">
        <v>32750</v>
      </c>
      <c r="N278" s="10"/>
      <c r="O278" s="10"/>
      <c r="P278" s="10">
        <f t="shared" si="64"/>
        <v>32750</v>
      </c>
      <c r="Q278" s="188"/>
    </row>
    <row r="279" spans="1:17" ht="13.5" hidden="1" customHeight="1" x14ac:dyDescent="0.2">
      <c r="A279" s="60"/>
      <c r="B279" s="8"/>
      <c r="C279" s="8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>
        <f t="shared" si="64"/>
        <v>0</v>
      </c>
      <c r="Q279" s="188"/>
    </row>
    <row r="280" spans="1:17" ht="13.5" hidden="1" customHeight="1" x14ac:dyDescent="0.2">
      <c r="A280" s="60"/>
      <c r="B280" s="8"/>
      <c r="C280" s="12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>
        <f t="shared" si="64"/>
        <v>0</v>
      </c>
      <c r="Q280" s="188"/>
    </row>
    <row r="281" spans="1:17" ht="13.5" hidden="1" customHeight="1" x14ac:dyDescent="0.2">
      <c r="A281" s="60"/>
      <c r="B281" s="8"/>
      <c r="C281" s="12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>
        <f t="shared" si="64"/>
        <v>0</v>
      </c>
      <c r="Q281" s="188"/>
    </row>
    <row r="282" spans="1:17" ht="13.5" hidden="1" customHeight="1" x14ac:dyDescent="0.2">
      <c r="A282" s="60"/>
      <c r="B282" s="8" t="s">
        <v>492</v>
      </c>
      <c r="C282" s="12">
        <v>120</v>
      </c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>
        <f t="shared" si="64"/>
        <v>120</v>
      </c>
      <c r="Q282" s="188"/>
    </row>
    <row r="283" spans="1:17" ht="13.5" hidden="1" customHeight="1" x14ac:dyDescent="0.2">
      <c r="A283" s="60"/>
      <c r="B283" s="8" t="s">
        <v>562</v>
      </c>
      <c r="C283" s="12">
        <v>210</v>
      </c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>
        <f t="shared" si="64"/>
        <v>210</v>
      </c>
      <c r="Q283" s="188"/>
    </row>
    <row r="284" spans="1:17" ht="13.5" hidden="1" customHeight="1" x14ac:dyDescent="0.2">
      <c r="A284" s="60"/>
      <c r="B284" s="8" t="s">
        <v>560</v>
      </c>
      <c r="C284" s="12">
        <f>(290+787+252)</f>
        <v>1329</v>
      </c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>
        <f t="shared" ref="P284:P307" si="65">SUM(C284:O284)</f>
        <v>1329</v>
      </c>
      <c r="Q284" s="188"/>
    </row>
    <row r="285" spans="1:17" ht="13.5" hidden="1" customHeight="1" x14ac:dyDescent="0.2">
      <c r="A285" s="60"/>
      <c r="B285" s="8" t="s">
        <v>561</v>
      </c>
      <c r="C285" s="12">
        <v>490</v>
      </c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>
        <f t="shared" si="65"/>
        <v>490</v>
      </c>
      <c r="Q285" s="188"/>
    </row>
    <row r="286" spans="1:17" ht="13.5" hidden="1" customHeight="1" x14ac:dyDescent="0.2">
      <c r="A286" s="60" t="s">
        <v>257</v>
      </c>
      <c r="B286" s="8" t="s">
        <v>283</v>
      </c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>
        <f t="shared" si="65"/>
        <v>0</v>
      </c>
      <c r="Q286" s="188"/>
    </row>
    <row r="287" spans="1:17" ht="13.5" hidden="1" customHeight="1" x14ac:dyDescent="0.2">
      <c r="A287" s="60"/>
      <c r="B287" s="8" t="s">
        <v>341</v>
      </c>
      <c r="C287" s="10">
        <v>60</v>
      </c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>
        <f t="shared" si="65"/>
        <v>60</v>
      </c>
      <c r="Q287" s="188"/>
    </row>
    <row r="288" spans="1:17" ht="13.5" hidden="1" customHeight="1" x14ac:dyDescent="0.2">
      <c r="A288" s="60"/>
      <c r="B288" s="8" t="s">
        <v>397</v>
      </c>
      <c r="C288" s="10">
        <v>450</v>
      </c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>
        <f t="shared" si="65"/>
        <v>450</v>
      </c>
      <c r="Q288" s="188"/>
    </row>
    <row r="289" spans="1:17" hidden="1" x14ac:dyDescent="0.2">
      <c r="A289" s="60"/>
      <c r="B289" s="8" t="s">
        <v>294</v>
      </c>
      <c r="C289" s="10">
        <v>150</v>
      </c>
      <c r="D289" s="10">
        <v>10</v>
      </c>
      <c r="E289" s="10">
        <v>245</v>
      </c>
      <c r="F289" s="10"/>
      <c r="G289" s="10"/>
      <c r="H289" s="10"/>
      <c r="I289" s="10"/>
      <c r="J289" s="10"/>
      <c r="K289" s="10">
        <v>45</v>
      </c>
      <c r="L289" s="10"/>
      <c r="M289" s="10"/>
      <c r="N289" s="10"/>
      <c r="O289" s="10"/>
      <c r="P289" s="10">
        <f t="shared" si="65"/>
        <v>450</v>
      </c>
      <c r="Q289" s="188"/>
    </row>
    <row r="290" spans="1:17" hidden="1" x14ac:dyDescent="0.2">
      <c r="A290" s="60"/>
      <c r="B290" s="8" t="s">
        <v>344</v>
      </c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>
        <f t="shared" si="65"/>
        <v>0</v>
      </c>
      <c r="Q290" s="188"/>
    </row>
    <row r="291" spans="1:17" hidden="1" x14ac:dyDescent="0.2">
      <c r="A291" s="60"/>
      <c r="B291" s="8" t="s">
        <v>566</v>
      </c>
      <c r="C291" s="10">
        <v>400</v>
      </c>
      <c r="D291" s="10">
        <v>500</v>
      </c>
      <c r="E291" s="10">
        <v>150</v>
      </c>
      <c r="F291" s="10"/>
      <c r="G291" s="10"/>
      <c r="H291" s="10"/>
      <c r="I291" s="10"/>
      <c r="J291" s="10">
        <v>800</v>
      </c>
      <c r="K291" s="10">
        <v>100</v>
      </c>
      <c r="L291" s="10"/>
      <c r="M291" s="10"/>
      <c r="N291" s="10"/>
      <c r="O291" s="10"/>
      <c r="P291" s="10">
        <f t="shared" si="65"/>
        <v>1950</v>
      </c>
      <c r="Q291" s="188"/>
    </row>
    <row r="292" spans="1:17" ht="13.5" hidden="1" customHeight="1" x14ac:dyDescent="0.2">
      <c r="A292" s="60"/>
      <c r="B292" s="8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>
        <f t="shared" si="65"/>
        <v>0</v>
      </c>
      <c r="Q292" s="188"/>
    </row>
    <row r="293" spans="1:17" ht="13.5" hidden="1" customHeight="1" x14ac:dyDescent="0.2">
      <c r="A293" s="77" t="s">
        <v>258</v>
      </c>
      <c r="B293" s="13" t="s">
        <v>242</v>
      </c>
      <c r="C293" s="6">
        <f>SUM(C294:C295)</f>
        <v>100</v>
      </c>
      <c r="D293" s="6">
        <f>SUM(D294:D295)</f>
        <v>50</v>
      </c>
      <c r="E293" s="6">
        <f>SUM(E294:E295)</f>
        <v>0</v>
      </c>
      <c r="F293" s="6">
        <f>SUM(F294:F295)</f>
        <v>0</v>
      </c>
      <c r="G293" s="6">
        <f t="shared" ref="G293:L293" si="66">SUM(G294:G295)</f>
        <v>0</v>
      </c>
      <c r="H293" s="6">
        <f t="shared" si="66"/>
        <v>0</v>
      </c>
      <c r="I293" s="6">
        <f t="shared" si="66"/>
        <v>0</v>
      </c>
      <c r="J293" s="6">
        <f t="shared" si="66"/>
        <v>0</v>
      </c>
      <c r="K293" s="6">
        <f t="shared" si="66"/>
        <v>0</v>
      </c>
      <c r="L293" s="6">
        <f t="shared" si="66"/>
        <v>0</v>
      </c>
      <c r="M293" s="6"/>
      <c r="N293" s="6"/>
      <c r="O293" s="6">
        <f>SUM(O294:O295)</f>
        <v>0</v>
      </c>
      <c r="P293" s="6">
        <f t="shared" si="65"/>
        <v>150</v>
      </c>
      <c r="Q293" s="188"/>
    </row>
    <row r="294" spans="1:17" ht="13.5" hidden="1" customHeight="1" x14ac:dyDescent="0.2">
      <c r="A294" s="60" t="s">
        <v>259</v>
      </c>
      <c r="B294" s="8" t="s">
        <v>282</v>
      </c>
      <c r="C294" s="10"/>
      <c r="D294" s="10">
        <v>50</v>
      </c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>
        <f t="shared" si="65"/>
        <v>50</v>
      </c>
      <c r="Q294" s="188"/>
    </row>
    <row r="295" spans="1:17" ht="13.5" hidden="1" customHeight="1" x14ac:dyDescent="0.2">
      <c r="A295" s="60" t="s">
        <v>260</v>
      </c>
      <c r="B295" s="8" t="s">
        <v>293</v>
      </c>
      <c r="C295" s="10">
        <v>100</v>
      </c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>
        <f t="shared" si="65"/>
        <v>100</v>
      </c>
      <c r="Q295" s="188"/>
    </row>
    <row r="296" spans="1:17" ht="13.5" hidden="1" customHeight="1" x14ac:dyDescent="0.2">
      <c r="A296" s="77" t="s">
        <v>261</v>
      </c>
      <c r="B296" s="13" t="s">
        <v>243</v>
      </c>
      <c r="C296" s="6">
        <f>SUM(C297:C303)</f>
        <v>1690</v>
      </c>
      <c r="D296" s="6">
        <f>SUM(D297:D303)</f>
        <v>980</v>
      </c>
      <c r="E296" s="6">
        <f>SUM(E297:E303)</f>
        <v>331</v>
      </c>
      <c r="F296" s="6">
        <f>SUM(F297:F303)</f>
        <v>77</v>
      </c>
      <c r="G296" s="6">
        <f t="shared" ref="G296:O296" si="67">SUM(G297:G303)</f>
        <v>486</v>
      </c>
      <c r="H296" s="6">
        <f t="shared" si="67"/>
        <v>1191</v>
      </c>
      <c r="I296" s="6">
        <f t="shared" si="67"/>
        <v>0</v>
      </c>
      <c r="J296" s="6">
        <f t="shared" si="67"/>
        <v>1085</v>
      </c>
      <c r="K296" s="6">
        <f t="shared" si="67"/>
        <v>432</v>
      </c>
      <c r="L296" s="6">
        <f t="shared" si="67"/>
        <v>59</v>
      </c>
      <c r="M296" s="6">
        <f t="shared" si="67"/>
        <v>8842</v>
      </c>
      <c r="N296" s="6"/>
      <c r="O296" s="6">
        <f t="shared" si="67"/>
        <v>0</v>
      </c>
      <c r="P296" s="6">
        <f t="shared" si="65"/>
        <v>15173</v>
      </c>
      <c r="Q296" s="188"/>
    </row>
    <row r="297" spans="1:17" ht="13.5" hidden="1" customHeight="1" x14ac:dyDescent="0.2">
      <c r="A297" s="60" t="s">
        <v>262</v>
      </c>
      <c r="B297" s="8" t="s">
        <v>272</v>
      </c>
      <c r="C297" s="10">
        <v>1160</v>
      </c>
      <c r="D297" s="10">
        <v>680</v>
      </c>
      <c r="E297" s="10">
        <v>261</v>
      </c>
      <c r="F297" s="10">
        <v>27</v>
      </c>
      <c r="G297" s="10">
        <v>486</v>
      </c>
      <c r="H297" s="10">
        <v>891</v>
      </c>
      <c r="I297" s="10">
        <v>0</v>
      </c>
      <c r="J297" s="10">
        <v>485</v>
      </c>
      <c r="K297" s="10">
        <v>432</v>
      </c>
      <c r="L297" s="10">
        <v>59</v>
      </c>
      <c r="M297" s="10">
        <v>8842</v>
      </c>
      <c r="N297" s="10"/>
      <c r="O297" s="10">
        <v>0</v>
      </c>
      <c r="P297" s="10">
        <f t="shared" si="65"/>
        <v>13323</v>
      </c>
      <c r="Q297" s="188"/>
    </row>
    <row r="298" spans="1:17" ht="13.5" hidden="1" customHeight="1" x14ac:dyDescent="0.2">
      <c r="A298" s="60" t="s">
        <v>263</v>
      </c>
      <c r="B298" s="8" t="s">
        <v>273</v>
      </c>
      <c r="C298" s="10"/>
      <c r="D298" s="301"/>
      <c r="E298" s="301"/>
      <c r="F298" s="301"/>
      <c r="G298" s="10"/>
      <c r="H298" s="10"/>
      <c r="I298" s="10"/>
      <c r="J298" s="10"/>
      <c r="K298" s="10"/>
      <c r="L298" s="10"/>
      <c r="M298" s="10"/>
      <c r="N298" s="10"/>
      <c r="O298" s="10"/>
      <c r="P298" s="10">
        <f t="shared" si="65"/>
        <v>0</v>
      </c>
      <c r="Q298" s="188"/>
    </row>
    <row r="299" spans="1:17" ht="13.5" hidden="1" customHeight="1" x14ac:dyDescent="0.2">
      <c r="A299" s="60" t="s">
        <v>264</v>
      </c>
      <c r="B299" s="8" t="s">
        <v>274</v>
      </c>
      <c r="C299" s="10">
        <v>30</v>
      </c>
      <c r="D299" s="301"/>
      <c r="E299" s="301"/>
      <c r="F299" s="301"/>
      <c r="G299" s="10"/>
      <c r="H299" s="10"/>
      <c r="I299" s="10"/>
      <c r="J299" s="10"/>
      <c r="K299" s="10"/>
      <c r="L299" s="10"/>
      <c r="M299" s="10"/>
      <c r="N299" s="10"/>
      <c r="O299" s="10"/>
      <c r="P299" s="10">
        <f t="shared" si="65"/>
        <v>30</v>
      </c>
      <c r="Q299" s="188"/>
    </row>
    <row r="300" spans="1:17" ht="13.5" hidden="1" customHeight="1" x14ac:dyDescent="0.2">
      <c r="A300" s="60" t="s">
        <v>265</v>
      </c>
      <c r="B300" s="8" t="s">
        <v>275</v>
      </c>
      <c r="C300" s="10"/>
      <c r="D300" s="301"/>
      <c r="E300" s="301"/>
      <c r="F300" s="301"/>
      <c r="G300" s="10"/>
      <c r="H300" s="10"/>
      <c r="I300" s="10"/>
      <c r="J300" s="10"/>
      <c r="K300" s="10"/>
      <c r="L300" s="10"/>
      <c r="M300" s="10"/>
      <c r="N300" s="10"/>
      <c r="O300" s="10"/>
      <c r="P300" s="10">
        <f t="shared" si="65"/>
        <v>0</v>
      </c>
      <c r="Q300" s="188"/>
    </row>
    <row r="301" spans="1:17" ht="13.5" hidden="1" customHeight="1" x14ac:dyDescent="0.2">
      <c r="A301" s="60" t="s">
        <v>266</v>
      </c>
      <c r="B301" s="8" t="s">
        <v>42</v>
      </c>
      <c r="C301" s="10">
        <v>200</v>
      </c>
      <c r="D301" s="10">
        <v>300</v>
      </c>
      <c r="E301" s="10">
        <v>20</v>
      </c>
      <c r="F301" s="10">
        <v>50</v>
      </c>
      <c r="G301" s="10"/>
      <c r="H301" s="10">
        <v>300</v>
      </c>
      <c r="I301" s="10"/>
      <c r="J301" s="10">
        <v>100</v>
      </c>
      <c r="K301" s="10"/>
      <c r="L301" s="10"/>
      <c r="M301" s="10"/>
      <c r="N301" s="10"/>
      <c r="O301" s="10"/>
      <c r="P301" s="10">
        <f t="shared" si="65"/>
        <v>970</v>
      </c>
      <c r="Q301" s="188"/>
    </row>
    <row r="302" spans="1:17" ht="13.5" hidden="1" customHeight="1" x14ac:dyDescent="0.2">
      <c r="A302" s="60"/>
      <c r="B302" s="8" t="s">
        <v>567</v>
      </c>
      <c r="C302" s="10"/>
      <c r="D302" s="10"/>
      <c r="E302" s="10"/>
      <c r="F302" s="10"/>
      <c r="G302" s="10"/>
      <c r="H302" s="10"/>
      <c r="I302" s="10"/>
      <c r="J302" s="10">
        <v>500</v>
      </c>
      <c r="K302" s="10"/>
      <c r="L302" s="10"/>
      <c r="M302" s="10"/>
      <c r="N302" s="10"/>
      <c r="O302" s="10"/>
      <c r="P302" s="10">
        <f t="shared" si="65"/>
        <v>500</v>
      </c>
      <c r="Q302" s="188"/>
    </row>
    <row r="303" spans="1:17" ht="13.5" hidden="1" customHeight="1" x14ac:dyDescent="0.2">
      <c r="A303" s="60"/>
      <c r="B303" s="8" t="s">
        <v>295</v>
      </c>
      <c r="C303" s="12">
        <v>300</v>
      </c>
      <c r="D303" s="301"/>
      <c r="E303" s="12">
        <v>50</v>
      </c>
      <c r="F303" s="301"/>
      <c r="G303" s="10"/>
      <c r="H303" s="10"/>
      <c r="I303" s="10"/>
      <c r="J303" s="10"/>
      <c r="K303" s="10"/>
      <c r="L303" s="10"/>
      <c r="M303" s="10"/>
      <c r="N303" s="10"/>
      <c r="O303" s="10"/>
      <c r="P303" s="10">
        <f t="shared" si="65"/>
        <v>350</v>
      </c>
      <c r="Q303" s="188"/>
    </row>
    <row r="304" spans="1:17" ht="13.5" hidden="1" customHeight="1" x14ac:dyDescent="0.2">
      <c r="A304" s="77" t="s">
        <v>277</v>
      </c>
      <c r="B304" s="125" t="s">
        <v>28</v>
      </c>
      <c r="C304" s="175">
        <f t="shared" ref="C304:O304" si="68">SUM(C252+C263+C266+C293+C296)</f>
        <v>7279</v>
      </c>
      <c r="D304" s="175">
        <f t="shared" si="68"/>
        <v>3260</v>
      </c>
      <c r="E304" s="175">
        <f t="shared" si="68"/>
        <v>1506</v>
      </c>
      <c r="F304" s="175">
        <f t="shared" si="68"/>
        <v>127</v>
      </c>
      <c r="G304" s="175">
        <f t="shared" si="68"/>
        <v>2286</v>
      </c>
      <c r="H304" s="175">
        <f t="shared" si="68"/>
        <v>4191</v>
      </c>
      <c r="I304" s="175">
        <f t="shared" si="68"/>
        <v>0</v>
      </c>
      <c r="J304" s="175">
        <f t="shared" si="68"/>
        <v>2005</v>
      </c>
      <c r="K304" s="175">
        <f t="shared" si="68"/>
        <v>2427</v>
      </c>
      <c r="L304" s="175">
        <f t="shared" si="68"/>
        <v>279</v>
      </c>
      <c r="M304" s="175">
        <f t="shared" si="68"/>
        <v>41592</v>
      </c>
      <c r="N304" s="175"/>
      <c r="O304" s="175">
        <f t="shared" si="68"/>
        <v>0</v>
      </c>
      <c r="P304" s="175">
        <f t="shared" si="65"/>
        <v>64952</v>
      </c>
      <c r="Q304" s="188"/>
    </row>
    <row r="305" spans="1:17" ht="13.5" hidden="1" customHeight="1" x14ac:dyDescent="0.2">
      <c r="A305" s="180" t="s">
        <v>276</v>
      </c>
      <c r="B305" s="125" t="s">
        <v>394</v>
      </c>
      <c r="C305" s="175">
        <v>100</v>
      </c>
      <c r="D305" s="175"/>
      <c r="E305" s="175"/>
      <c r="F305" s="175"/>
      <c r="G305" s="175"/>
      <c r="H305" s="175"/>
      <c r="I305" s="175">
        <v>3513</v>
      </c>
      <c r="J305" s="175"/>
      <c r="K305" s="175"/>
      <c r="L305" s="175"/>
      <c r="M305" s="175"/>
      <c r="N305" s="175"/>
      <c r="O305" s="175"/>
      <c r="P305" s="175">
        <f t="shared" si="65"/>
        <v>3613</v>
      </c>
      <c r="Q305" s="188"/>
    </row>
    <row r="306" spans="1:17" ht="13.5" hidden="1" customHeight="1" x14ac:dyDescent="0.2">
      <c r="A306" s="180" t="s">
        <v>300</v>
      </c>
      <c r="B306" s="125" t="s">
        <v>35</v>
      </c>
      <c r="C306" s="175"/>
      <c r="D306" s="175"/>
      <c r="E306" s="175"/>
      <c r="F306" s="175"/>
      <c r="G306" s="175"/>
      <c r="H306" s="175"/>
      <c r="I306" s="175"/>
      <c r="J306" s="175"/>
      <c r="K306" s="175"/>
      <c r="L306" s="175"/>
      <c r="M306" s="175"/>
      <c r="N306" s="175"/>
      <c r="O306" s="175"/>
      <c r="P306" s="175">
        <f t="shared" si="65"/>
        <v>0</v>
      </c>
      <c r="Q306" s="188"/>
    </row>
    <row r="307" spans="1:17" ht="13.5" hidden="1" customHeight="1" thickBot="1" x14ac:dyDescent="0.25">
      <c r="A307" s="180" t="s">
        <v>301</v>
      </c>
      <c r="B307" s="179" t="s">
        <v>302</v>
      </c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75">
        <f t="shared" si="65"/>
        <v>0</v>
      </c>
      <c r="Q307" s="188"/>
    </row>
    <row r="308" spans="1:17" ht="22.5" hidden="1" customHeight="1" thickBot="1" x14ac:dyDescent="0.4">
      <c r="A308" s="177"/>
      <c r="B308" s="230" t="s">
        <v>7</v>
      </c>
      <c r="C308" s="182">
        <f t="shared" ref="C308:P308" si="69">SUM(C248+C251+C304+C305+C306+C307)</f>
        <v>15501</v>
      </c>
      <c r="D308" s="182">
        <f t="shared" si="69"/>
        <v>13765</v>
      </c>
      <c r="E308" s="182">
        <f t="shared" si="69"/>
        <v>5358</v>
      </c>
      <c r="F308" s="182">
        <f t="shared" si="69"/>
        <v>127</v>
      </c>
      <c r="G308" s="182">
        <f t="shared" si="69"/>
        <v>2286</v>
      </c>
      <c r="H308" s="182">
        <f t="shared" si="69"/>
        <v>4191</v>
      </c>
      <c r="I308" s="182">
        <f t="shared" si="69"/>
        <v>3513</v>
      </c>
      <c r="J308" s="182">
        <f t="shared" si="69"/>
        <v>2280</v>
      </c>
      <c r="K308" s="182">
        <f t="shared" si="69"/>
        <v>2427</v>
      </c>
      <c r="L308" s="182">
        <f t="shared" si="69"/>
        <v>649</v>
      </c>
      <c r="M308" s="182">
        <f t="shared" si="69"/>
        <v>47881</v>
      </c>
      <c r="N308" s="182"/>
      <c r="O308" s="182">
        <f t="shared" si="69"/>
        <v>0</v>
      </c>
      <c r="P308" s="226">
        <f t="shared" si="69"/>
        <v>97978</v>
      </c>
      <c r="Q308" s="188"/>
    </row>
    <row r="309" spans="1:17" hidden="1" x14ac:dyDescent="0.2">
      <c r="A309" s="60"/>
      <c r="B309" s="228" t="s">
        <v>43</v>
      </c>
      <c r="C309" s="229"/>
      <c r="D309" s="181">
        <v>3</v>
      </c>
      <c r="E309" s="181">
        <v>1</v>
      </c>
      <c r="F309" s="181"/>
      <c r="G309" s="78"/>
      <c r="H309" s="78"/>
      <c r="I309" s="78"/>
      <c r="J309" s="78"/>
      <c r="K309" s="78"/>
      <c r="L309" s="78"/>
      <c r="M309" s="78"/>
      <c r="N309" s="78"/>
      <c r="O309" s="78"/>
      <c r="P309" s="78">
        <f>SUM(C309:O309)</f>
        <v>4</v>
      </c>
      <c r="Q309" s="2"/>
    </row>
    <row r="310" spans="1:17" hidden="1" x14ac:dyDescent="0.2">
      <c r="B310" s="227" t="s">
        <v>384</v>
      </c>
      <c r="C310" s="2"/>
      <c r="D310" s="27"/>
      <c r="E310" s="27"/>
      <c r="F310" s="27"/>
      <c r="G310" s="2"/>
      <c r="H310" s="2"/>
      <c r="I310" s="2"/>
      <c r="J310" s="2"/>
      <c r="K310" s="2"/>
      <c r="L310" s="2"/>
      <c r="M310" s="2"/>
      <c r="N310" s="2"/>
      <c r="O310" s="2">
        <v>0</v>
      </c>
      <c r="P310" s="7">
        <f>SUM(O310)</f>
        <v>0</v>
      </c>
      <c r="Q310" s="2"/>
    </row>
    <row r="311" spans="1:17" ht="13.5" hidden="1" thickBot="1" x14ac:dyDescent="0.25"/>
    <row r="312" spans="1:17" ht="28.5" hidden="1" customHeight="1" thickBot="1" x14ac:dyDescent="0.25">
      <c r="A312" s="484" t="s">
        <v>106</v>
      </c>
      <c r="B312" s="479" t="s">
        <v>26</v>
      </c>
      <c r="C312" s="481" t="s">
        <v>519</v>
      </c>
      <c r="D312" s="482"/>
      <c r="E312" s="482"/>
      <c r="F312" s="482"/>
      <c r="G312" s="482"/>
      <c r="H312" s="482"/>
      <c r="I312" s="482"/>
      <c r="J312" s="482"/>
      <c r="K312" s="482"/>
      <c r="L312" s="482"/>
      <c r="M312" s="482"/>
      <c r="N312" s="482"/>
      <c r="O312" s="482"/>
      <c r="P312" s="483"/>
    </row>
    <row r="313" spans="1:17" ht="77.25" hidden="1" customHeight="1" thickBot="1" x14ac:dyDescent="0.25">
      <c r="A313" s="485"/>
      <c r="B313" s="480"/>
      <c r="C313" s="178" t="s">
        <v>296</v>
      </c>
      <c r="D313" s="176" t="s">
        <v>379</v>
      </c>
      <c r="E313" s="176" t="s">
        <v>338</v>
      </c>
      <c r="F313" s="176" t="s">
        <v>373</v>
      </c>
      <c r="G313" s="176" t="s">
        <v>103</v>
      </c>
      <c r="H313" s="176" t="s">
        <v>496</v>
      </c>
      <c r="I313" s="178" t="s">
        <v>378</v>
      </c>
      <c r="J313" s="178" t="s">
        <v>345</v>
      </c>
      <c r="K313" s="178" t="s">
        <v>374</v>
      </c>
      <c r="L313" s="178" t="s">
        <v>304</v>
      </c>
      <c r="M313" s="178" t="s">
        <v>563</v>
      </c>
      <c r="N313" s="178"/>
      <c r="O313" s="178" t="s">
        <v>337</v>
      </c>
      <c r="P313" s="212" t="s">
        <v>40</v>
      </c>
    </row>
    <row r="314" spans="1:17" ht="13.5" hidden="1" customHeight="1" x14ac:dyDescent="0.2">
      <c r="A314" s="183" t="s">
        <v>279</v>
      </c>
      <c r="B314" s="17" t="s">
        <v>280</v>
      </c>
      <c r="C314" s="38">
        <f t="shared" ref="C314:P314" si="70">SUM(C315:C317)</f>
        <v>0</v>
      </c>
      <c r="D314" s="38">
        <f t="shared" si="70"/>
        <v>9095</v>
      </c>
      <c r="E314" s="38">
        <f t="shared" si="70"/>
        <v>3335</v>
      </c>
      <c r="F314" s="38">
        <f t="shared" si="70"/>
        <v>0</v>
      </c>
      <c r="G314" s="38">
        <f t="shared" si="70"/>
        <v>0</v>
      </c>
      <c r="H314" s="38">
        <f t="shared" si="70"/>
        <v>0</v>
      </c>
      <c r="I314" s="38">
        <f t="shared" si="70"/>
        <v>0</v>
      </c>
      <c r="J314" s="38">
        <f t="shared" si="70"/>
        <v>0</v>
      </c>
      <c r="K314" s="38">
        <f t="shared" si="70"/>
        <v>0</v>
      </c>
      <c r="L314" s="38">
        <f t="shared" si="70"/>
        <v>324</v>
      </c>
      <c r="M314" s="38">
        <f t="shared" si="70"/>
        <v>0</v>
      </c>
      <c r="N314" s="38"/>
      <c r="O314" s="38">
        <f t="shared" si="70"/>
        <v>0</v>
      </c>
      <c r="P314" s="38">
        <f t="shared" si="70"/>
        <v>12754</v>
      </c>
      <c r="Q314" s="188"/>
    </row>
    <row r="315" spans="1:17" ht="13.5" hidden="1" customHeight="1" x14ac:dyDescent="0.2">
      <c r="A315" s="183"/>
      <c r="B315" s="49" t="s">
        <v>310</v>
      </c>
      <c r="C315" s="186"/>
      <c r="D315" s="78">
        <f>8891</f>
        <v>8891</v>
      </c>
      <c r="E315" s="78">
        <v>3335</v>
      </c>
      <c r="F315" s="78"/>
      <c r="G315" s="78"/>
      <c r="H315" s="78"/>
      <c r="I315" s="78"/>
      <c r="J315" s="78"/>
      <c r="K315" s="78"/>
      <c r="L315" s="78"/>
      <c r="M315" s="78"/>
      <c r="N315" s="78"/>
      <c r="O315" s="78">
        <v>0</v>
      </c>
      <c r="P315" s="78">
        <f t="shared" ref="P315:P322" si="71">SUM(C315:O315)</f>
        <v>12226</v>
      </c>
      <c r="Q315" s="188"/>
    </row>
    <row r="316" spans="1:17" ht="13.5" hidden="1" customHeight="1" x14ac:dyDescent="0.2">
      <c r="A316" s="183"/>
      <c r="B316" s="49" t="s">
        <v>44</v>
      </c>
      <c r="C316" s="186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>
        <f t="shared" si="71"/>
        <v>0</v>
      </c>
      <c r="Q316" s="188"/>
    </row>
    <row r="317" spans="1:17" ht="12.75" hidden="1" customHeight="1" x14ac:dyDescent="0.2">
      <c r="A317" s="60"/>
      <c r="B317" s="2" t="s">
        <v>506</v>
      </c>
      <c r="C317" s="10"/>
      <c r="D317" s="10">
        <f>4+200</f>
        <v>204</v>
      </c>
      <c r="E317" s="10"/>
      <c r="F317" s="10"/>
      <c r="G317" s="10"/>
      <c r="H317" s="10"/>
      <c r="I317" s="10"/>
      <c r="J317" s="10"/>
      <c r="K317" s="10"/>
      <c r="L317" s="10">
        <v>324</v>
      </c>
      <c r="M317" s="10"/>
      <c r="N317" s="10"/>
      <c r="O317" s="10"/>
      <c r="P317" s="78">
        <f t="shared" si="71"/>
        <v>528</v>
      </c>
      <c r="Q317" s="188"/>
    </row>
    <row r="318" spans="1:17" ht="12.75" hidden="1" customHeight="1" x14ac:dyDescent="0.2">
      <c r="A318" s="77" t="s">
        <v>281</v>
      </c>
      <c r="B318" s="13" t="s">
        <v>309</v>
      </c>
      <c r="C318" s="6">
        <f>SUM(C319:C324)</f>
        <v>6859</v>
      </c>
      <c r="D318" s="6">
        <f>SUM(D319:D324)</f>
        <v>0</v>
      </c>
      <c r="E318" s="6">
        <f>SUM(E319:E324)</f>
        <v>0</v>
      </c>
      <c r="F318" s="6">
        <f>SUM(F319:F324)</f>
        <v>0</v>
      </c>
      <c r="G318" s="6">
        <f t="shared" ref="G318:O318" si="72">SUM(G319:G324)</f>
        <v>0</v>
      </c>
      <c r="H318" s="6">
        <f t="shared" si="72"/>
        <v>0</v>
      </c>
      <c r="I318" s="6">
        <f t="shared" si="72"/>
        <v>0</v>
      </c>
      <c r="J318" s="6">
        <f t="shared" si="72"/>
        <v>275</v>
      </c>
      <c r="K318" s="6">
        <f t="shared" si="72"/>
        <v>0</v>
      </c>
      <c r="L318" s="6">
        <f t="shared" si="72"/>
        <v>0</v>
      </c>
      <c r="M318" s="6">
        <f t="shared" si="72"/>
        <v>5519</v>
      </c>
      <c r="N318" s="6"/>
      <c r="O318" s="6">
        <f t="shared" si="72"/>
        <v>0</v>
      </c>
      <c r="P318" s="225">
        <f t="shared" si="71"/>
        <v>12653</v>
      </c>
      <c r="Q318" s="188"/>
    </row>
    <row r="319" spans="1:17" ht="12.75" hidden="1" customHeight="1" x14ac:dyDescent="0.2">
      <c r="A319" s="77"/>
      <c r="B319" s="8" t="s">
        <v>41</v>
      </c>
      <c r="C319" s="186">
        <v>4787</v>
      </c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10">
        <f t="shared" si="71"/>
        <v>4787</v>
      </c>
      <c r="Q319" s="188"/>
    </row>
    <row r="320" spans="1:17" ht="12.75" hidden="1" customHeight="1" x14ac:dyDescent="0.2">
      <c r="A320" s="77"/>
      <c r="B320" s="152" t="s">
        <v>396</v>
      </c>
      <c r="C320" s="186">
        <v>209</v>
      </c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10">
        <f t="shared" si="71"/>
        <v>209</v>
      </c>
      <c r="Q320" s="188"/>
    </row>
    <row r="321" spans="1:17" ht="12.75" hidden="1" customHeight="1" x14ac:dyDescent="0.2">
      <c r="A321" s="77"/>
      <c r="B321" s="152" t="s">
        <v>308</v>
      </c>
      <c r="C321" s="186">
        <v>718</v>
      </c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10">
        <f t="shared" si="71"/>
        <v>718</v>
      </c>
      <c r="Q321" s="188"/>
    </row>
    <row r="322" spans="1:17" ht="12.75" hidden="1" customHeight="1" x14ac:dyDescent="0.2">
      <c r="A322" s="77"/>
      <c r="B322" s="8" t="s">
        <v>372</v>
      </c>
      <c r="C322" s="10">
        <v>720</v>
      </c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>
        <f t="shared" si="71"/>
        <v>720</v>
      </c>
      <c r="Q322" s="188"/>
    </row>
    <row r="323" spans="1:17" ht="12.75" hidden="1" customHeight="1" x14ac:dyDescent="0.2">
      <c r="A323" s="77"/>
      <c r="B323" s="8" t="s">
        <v>493</v>
      </c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>
        <v>5519</v>
      </c>
      <c r="N323" s="10"/>
      <c r="O323" s="10"/>
      <c r="P323" s="10">
        <f>SUM(C323:O323)</f>
        <v>5519</v>
      </c>
      <c r="Q323" s="188"/>
    </row>
    <row r="324" spans="1:17" ht="12.75" hidden="1" customHeight="1" x14ac:dyDescent="0.2">
      <c r="A324" s="77"/>
      <c r="B324" s="8" t="s">
        <v>568</v>
      </c>
      <c r="C324" s="10">
        <v>425</v>
      </c>
      <c r="D324" s="10"/>
      <c r="E324" s="10"/>
      <c r="F324" s="10"/>
      <c r="G324" s="10"/>
      <c r="H324" s="10"/>
      <c r="I324" s="10"/>
      <c r="J324" s="10">
        <v>275</v>
      </c>
      <c r="K324" s="10"/>
      <c r="L324" s="10"/>
      <c r="M324" s="10"/>
      <c r="N324" s="10"/>
      <c r="O324" s="10"/>
      <c r="P324" s="10">
        <f>SUM(C324:O324)</f>
        <v>700</v>
      </c>
      <c r="Q324" s="188"/>
    </row>
    <row r="325" spans="1:17" ht="13.5" hidden="1" customHeight="1" x14ac:dyDescent="0.2">
      <c r="A325" s="77" t="s">
        <v>203</v>
      </c>
      <c r="B325" s="125" t="s">
        <v>278</v>
      </c>
      <c r="C325" s="175">
        <f t="shared" ref="C325:L325" si="73">SUM(C314+C318)</f>
        <v>6859</v>
      </c>
      <c r="D325" s="175">
        <f t="shared" si="73"/>
        <v>9095</v>
      </c>
      <c r="E325" s="175">
        <f t="shared" si="73"/>
        <v>3335</v>
      </c>
      <c r="F325" s="175">
        <f t="shared" si="73"/>
        <v>0</v>
      </c>
      <c r="G325" s="175">
        <f t="shared" si="73"/>
        <v>0</v>
      </c>
      <c r="H325" s="175">
        <f t="shared" si="73"/>
        <v>0</v>
      </c>
      <c r="I325" s="175">
        <f t="shared" si="73"/>
        <v>0</v>
      </c>
      <c r="J325" s="175">
        <f t="shared" si="73"/>
        <v>275</v>
      </c>
      <c r="K325" s="175">
        <f t="shared" si="73"/>
        <v>0</v>
      </c>
      <c r="L325" s="175">
        <f t="shared" si="73"/>
        <v>324</v>
      </c>
      <c r="M325" s="175">
        <f>SUM(M314+M318)</f>
        <v>5519</v>
      </c>
      <c r="N325" s="175"/>
      <c r="O325" s="175">
        <f>SUM(O314+O318)</f>
        <v>0</v>
      </c>
      <c r="P325" s="175">
        <f>SUM(C325:O325)</f>
        <v>25407</v>
      </c>
      <c r="Q325" s="188"/>
    </row>
    <row r="326" spans="1:17" ht="13.5" hidden="1" customHeight="1" x14ac:dyDescent="0.2">
      <c r="A326" s="60"/>
      <c r="B326" s="8" t="s">
        <v>27</v>
      </c>
      <c r="C326" s="10">
        <f>979+128</f>
        <v>1107</v>
      </c>
      <c r="D326" s="10">
        <v>1410</v>
      </c>
      <c r="E326" s="10">
        <v>517</v>
      </c>
      <c r="F326" s="10"/>
      <c r="G326" s="10"/>
      <c r="H326" s="10"/>
      <c r="I326" s="10"/>
      <c r="J326" s="10"/>
      <c r="K326" s="10"/>
      <c r="L326" s="10">
        <v>46</v>
      </c>
      <c r="M326" s="12">
        <f>770</f>
        <v>770</v>
      </c>
      <c r="N326" s="12"/>
      <c r="O326" s="10">
        <v>0</v>
      </c>
      <c r="P326" s="10">
        <f>SUM(C326:O326)</f>
        <v>3850</v>
      </c>
      <c r="Q326" s="188"/>
    </row>
    <row r="327" spans="1:17" hidden="1" x14ac:dyDescent="0.2">
      <c r="A327" s="60"/>
      <c r="B327" s="8" t="s">
        <v>468</v>
      </c>
      <c r="C327" s="10">
        <f>32+124</f>
        <v>156</v>
      </c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>
        <f>SUM(C327:O327)</f>
        <v>156</v>
      </c>
      <c r="Q327" s="188"/>
    </row>
    <row r="328" spans="1:17" ht="13.5" hidden="1" customHeight="1" x14ac:dyDescent="0.2">
      <c r="A328" s="77" t="s">
        <v>204</v>
      </c>
      <c r="B328" s="125" t="s">
        <v>86</v>
      </c>
      <c r="C328" s="175">
        <f>SUM(C326:C327)</f>
        <v>1263</v>
      </c>
      <c r="D328" s="175">
        <f>SUM(D326:D327)</f>
        <v>1410</v>
      </c>
      <c r="E328" s="175">
        <f>SUM(E326:E327)</f>
        <v>517</v>
      </c>
      <c r="F328" s="175">
        <f>SUM(F326:F327)</f>
        <v>0</v>
      </c>
      <c r="G328" s="175">
        <f t="shared" ref="G328:L328" si="74">SUM(G326:G327)</f>
        <v>0</v>
      </c>
      <c r="H328" s="175">
        <f t="shared" si="74"/>
        <v>0</v>
      </c>
      <c r="I328" s="175">
        <f t="shared" si="74"/>
        <v>0</v>
      </c>
      <c r="J328" s="175">
        <f t="shared" si="74"/>
        <v>0</v>
      </c>
      <c r="K328" s="175">
        <f t="shared" si="74"/>
        <v>0</v>
      </c>
      <c r="L328" s="175">
        <f t="shared" si="74"/>
        <v>46</v>
      </c>
      <c r="M328" s="175">
        <f>SUM(M326:M327)</f>
        <v>770</v>
      </c>
      <c r="N328" s="175"/>
      <c r="O328" s="175">
        <f>SUM(O326:O327)</f>
        <v>0</v>
      </c>
      <c r="P328" s="175">
        <f>SUM(P326:P327)</f>
        <v>4006</v>
      </c>
      <c r="Q328" s="188"/>
    </row>
    <row r="329" spans="1:17" ht="13.5" hidden="1" customHeight="1" x14ac:dyDescent="0.2">
      <c r="A329" s="77" t="s">
        <v>244</v>
      </c>
      <c r="B329" s="13" t="s">
        <v>267</v>
      </c>
      <c r="C329" s="6">
        <f>SUM(C330:C339)</f>
        <v>620</v>
      </c>
      <c r="D329" s="6">
        <f>SUM(D330:D339)</f>
        <v>1070</v>
      </c>
      <c r="E329" s="6">
        <f>SUM(E330:E339)</f>
        <v>720</v>
      </c>
      <c r="F329" s="6">
        <f>SUM(F330:F339)</f>
        <v>0</v>
      </c>
      <c r="G329" s="6">
        <f t="shared" ref="G329:M329" si="75">SUM(G330:G339)</f>
        <v>0</v>
      </c>
      <c r="H329" s="6">
        <f t="shared" si="75"/>
        <v>0</v>
      </c>
      <c r="I329" s="6">
        <f t="shared" si="75"/>
        <v>0</v>
      </c>
      <c r="J329" s="6">
        <f t="shared" si="75"/>
        <v>120</v>
      </c>
      <c r="K329" s="6">
        <f t="shared" si="75"/>
        <v>50</v>
      </c>
      <c r="L329" s="6">
        <f t="shared" si="75"/>
        <v>120</v>
      </c>
      <c r="M329" s="6">
        <f t="shared" si="75"/>
        <v>0</v>
      </c>
      <c r="N329" s="6"/>
      <c r="O329" s="6">
        <f>SUM(O330:O339)</f>
        <v>0</v>
      </c>
      <c r="P329" s="6">
        <f>SUM(P330:P339)</f>
        <v>2700</v>
      </c>
      <c r="Q329" s="188"/>
    </row>
    <row r="330" spans="1:17" ht="13.5" hidden="1" customHeight="1" x14ac:dyDescent="0.2">
      <c r="A330" s="60" t="s">
        <v>245</v>
      </c>
      <c r="B330" s="8" t="s">
        <v>343</v>
      </c>
      <c r="C330" s="10">
        <v>50</v>
      </c>
      <c r="D330" s="301"/>
      <c r="E330" s="301"/>
      <c r="F330" s="301"/>
      <c r="G330" s="10"/>
      <c r="H330" s="10"/>
      <c r="I330" s="10"/>
      <c r="J330" s="10"/>
      <c r="K330" s="10"/>
      <c r="L330" s="10">
        <v>50</v>
      </c>
      <c r="M330" s="10"/>
      <c r="N330" s="10"/>
      <c r="O330" s="10"/>
      <c r="P330" s="10">
        <f t="shared" ref="P330:P336" si="76">SUM(C330:O330)</f>
        <v>100</v>
      </c>
      <c r="Q330" s="188"/>
    </row>
    <row r="331" spans="1:17" ht="13.5" hidden="1" customHeight="1" x14ac:dyDescent="0.2">
      <c r="A331" s="60" t="s">
        <v>247</v>
      </c>
      <c r="B331" s="8" t="s">
        <v>268</v>
      </c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>
        <f t="shared" si="76"/>
        <v>0</v>
      </c>
      <c r="Q331" s="188"/>
    </row>
    <row r="332" spans="1:17" ht="13.5" hidden="1" customHeight="1" x14ac:dyDescent="0.2">
      <c r="A332" s="60"/>
      <c r="B332" s="8" t="s">
        <v>289</v>
      </c>
      <c r="C332" s="10">
        <v>100</v>
      </c>
      <c r="D332" s="10"/>
      <c r="E332" s="10">
        <v>5</v>
      </c>
      <c r="F332" s="10"/>
      <c r="G332" s="10"/>
      <c r="H332" s="10"/>
      <c r="I332" s="10"/>
      <c r="J332" s="10"/>
      <c r="K332" s="10"/>
      <c r="L332" s="10">
        <v>20</v>
      </c>
      <c r="M332" s="10"/>
      <c r="N332" s="10"/>
      <c r="O332" s="10"/>
      <c r="P332" s="10">
        <f t="shared" si="76"/>
        <v>125</v>
      </c>
      <c r="Q332" s="188"/>
    </row>
    <row r="333" spans="1:17" ht="13.5" hidden="1" customHeight="1" x14ac:dyDescent="0.2">
      <c r="A333" s="60" t="s">
        <v>246</v>
      </c>
      <c r="B333" s="8" t="s">
        <v>269</v>
      </c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>
        <f t="shared" si="76"/>
        <v>0</v>
      </c>
      <c r="Q333" s="188"/>
    </row>
    <row r="334" spans="1:17" ht="13.5" hidden="1" customHeight="1" x14ac:dyDescent="0.2">
      <c r="A334" s="60"/>
      <c r="B334" s="8" t="s">
        <v>320</v>
      </c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>
        <f t="shared" si="76"/>
        <v>0</v>
      </c>
      <c r="Q334" s="188"/>
    </row>
    <row r="335" spans="1:17" ht="13.5" hidden="1" customHeight="1" x14ac:dyDescent="0.2">
      <c r="A335" s="60"/>
      <c r="B335" s="8" t="s">
        <v>290</v>
      </c>
      <c r="C335" s="10">
        <v>20</v>
      </c>
      <c r="D335" s="10">
        <v>450</v>
      </c>
      <c r="E335" s="10">
        <v>650</v>
      </c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>
        <f t="shared" si="76"/>
        <v>1120</v>
      </c>
      <c r="Q335" s="188"/>
    </row>
    <row r="336" spans="1:17" ht="13.5" hidden="1" customHeight="1" x14ac:dyDescent="0.2">
      <c r="A336" s="60"/>
      <c r="B336" s="8" t="s">
        <v>291</v>
      </c>
      <c r="C336" s="10">
        <v>250</v>
      </c>
      <c r="D336" s="10">
        <v>120</v>
      </c>
      <c r="E336" s="10"/>
      <c r="F336" s="10"/>
      <c r="G336" s="10"/>
      <c r="H336" s="10"/>
      <c r="I336" s="10"/>
      <c r="J336" s="10">
        <v>20</v>
      </c>
      <c r="K336" s="10"/>
      <c r="L336" s="10"/>
      <c r="M336" s="10"/>
      <c r="N336" s="10"/>
      <c r="O336" s="10"/>
      <c r="P336" s="10">
        <f t="shared" si="76"/>
        <v>390</v>
      </c>
      <c r="Q336" s="188"/>
    </row>
    <row r="337" spans="1:17" ht="13.5" hidden="1" customHeight="1" x14ac:dyDescent="0.2">
      <c r="A337" s="60"/>
      <c r="B337" s="8" t="s">
        <v>321</v>
      </c>
      <c r="C337" s="10">
        <v>200</v>
      </c>
      <c r="D337" s="10">
        <f>500-100</f>
        <v>400</v>
      </c>
      <c r="E337" s="10">
        <v>10</v>
      </c>
      <c r="F337" s="10"/>
      <c r="G337" s="10"/>
      <c r="H337" s="10"/>
      <c r="I337" s="10"/>
      <c r="J337" s="10">
        <v>100</v>
      </c>
      <c r="K337" s="10">
        <v>50</v>
      </c>
      <c r="L337" s="10">
        <v>50</v>
      </c>
      <c r="M337" s="10"/>
      <c r="N337" s="10"/>
      <c r="O337" s="10"/>
      <c r="P337" s="10">
        <f>SUM(C337:O337)</f>
        <v>810</v>
      </c>
      <c r="Q337" s="188"/>
    </row>
    <row r="338" spans="1:17" ht="13.5" hidden="1" customHeight="1" x14ac:dyDescent="0.2">
      <c r="A338" s="60"/>
      <c r="B338" s="8" t="s">
        <v>299</v>
      </c>
      <c r="C338" s="10"/>
      <c r="D338" s="10">
        <v>100</v>
      </c>
      <c r="E338" s="10">
        <v>55</v>
      </c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>
        <f>SUM(C338:O338)</f>
        <v>155</v>
      </c>
      <c r="Q338" s="188"/>
    </row>
    <row r="339" spans="1:17" ht="13.5" hidden="1" customHeight="1" x14ac:dyDescent="0.2">
      <c r="A339" s="60"/>
      <c r="B339" s="8" t="s">
        <v>565</v>
      </c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>
        <f>SUM(C339:O339)</f>
        <v>0</v>
      </c>
      <c r="Q339" s="188"/>
    </row>
    <row r="340" spans="1:17" ht="13.5" hidden="1" customHeight="1" x14ac:dyDescent="0.2">
      <c r="A340" s="77" t="s">
        <v>248</v>
      </c>
      <c r="B340" s="13" t="s">
        <v>270</v>
      </c>
      <c r="C340" s="6">
        <f>SUM(C341:C342)</f>
        <v>260</v>
      </c>
      <c r="D340" s="6">
        <f>SUM(D341:D342)</f>
        <v>0</v>
      </c>
      <c r="E340" s="6">
        <f>SUM(E341:E342)</f>
        <v>0</v>
      </c>
      <c r="F340" s="6">
        <f>SUM(F341:F342)</f>
        <v>0</v>
      </c>
      <c r="G340" s="6">
        <f t="shared" ref="G340:O340" si="77">SUM(G341:G342)</f>
        <v>0</v>
      </c>
      <c r="H340" s="6">
        <f t="shared" si="77"/>
        <v>0</v>
      </c>
      <c r="I340" s="6">
        <f t="shared" si="77"/>
        <v>0</v>
      </c>
      <c r="J340" s="6">
        <f t="shared" si="77"/>
        <v>0</v>
      </c>
      <c r="K340" s="6">
        <f t="shared" si="77"/>
        <v>250</v>
      </c>
      <c r="L340" s="6">
        <f t="shared" si="77"/>
        <v>0</v>
      </c>
      <c r="M340" s="6">
        <f t="shared" si="77"/>
        <v>0</v>
      </c>
      <c r="N340" s="6"/>
      <c r="O340" s="6">
        <f t="shared" si="77"/>
        <v>0</v>
      </c>
      <c r="P340" s="6">
        <f>SUM(P341:P342)</f>
        <v>510</v>
      </c>
      <c r="Q340" s="188"/>
    </row>
    <row r="341" spans="1:17" ht="13.5" hidden="1" customHeight="1" x14ac:dyDescent="0.2">
      <c r="A341" s="60" t="s">
        <v>249</v>
      </c>
      <c r="B341" s="8" t="s">
        <v>340</v>
      </c>
      <c r="C341" s="10">
        <v>150</v>
      </c>
      <c r="D341" s="10"/>
      <c r="E341" s="10"/>
      <c r="F341" s="10"/>
      <c r="G341" s="10"/>
      <c r="H341" s="10"/>
      <c r="I341" s="10"/>
      <c r="J341" s="10"/>
      <c r="K341" s="10">
        <v>150</v>
      </c>
      <c r="L341" s="10"/>
      <c r="M341" s="10"/>
      <c r="N341" s="10"/>
      <c r="O341" s="10"/>
      <c r="P341" s="10">
        <f>SUM(C341:O341)</f>
        <v>300</v>
      </c>
      <c r="Q341" s="188"/>
    </row>
    <row r="342" spans="1:17" ht="13.5" hidden="1" customHeight="1" x14ac:dyDescent="0.2">
      <c r="A342" s="60" t="s">
        <v>250</v>
      </c>
      <c r="B342" s="8" t="s">
        <v>292</v>
      </c>
      <c r="C342" s="10">
        <v>110</v>
      </c>
      <c r="D342" s="301"/>
      <c r="E342" s="10"/>
      <c r="F342" s="301"/>
      <c r="G342" s="10"/>
      <c r="H342" s="10"/>
      <c r="I342" s="10"/>
      <c r="J342" s="10"/>
      <c r="K342" s="10">
        <v>100</v>
      </c>
      <c r="L342" s="10"/>
      <c r="M342" s="10"/>
      <c r="N342" s="10"/>
      <c r="O342" s="10"/>
      <c r="P342" s="10">
        <f>SUM(C342:O342)</f>
        <v>210</v>
      </c>
      <c r="Q342" s="188"/>
    </row>
    <row r="343" spans="1:17" ht="13.5" hidden="1" customHeight="1" x14ac:dyDescent="0.2">
      <c r="A343" s="77" t="s">
        <v>251</v>
      </c>
      <c r="B343" s="13" t="s">
        <v>271</v>
      </c>
      <c r="C343" s="6">
        <f t="shared" ref="C343:P343" si="78">SUM(C344:C369)</f>
        <v>4609</v>
      </c>
      <c r="D343" s="6">
        <f t="shared" si="78"/>
        <v>1160</v>
      </c>
      <c r="E343" s="6">
        <f t="shared" si="78"/>
        <v>455</v>
      </c>
      <c r="F343" s="6">
        <f t="shared" si="78"/>
        <v>50</v>
      </c>
      <c r="G343" s="6">
        <f t="shared" si="78"/>
        <v>1800</v>
      </c>
      <c r="H343" s="6">
        <f t="shared" si="78"/>
        <v>3000</v>
      </c>
      <c r="I343" s="6">
        <f t="shared" si="78"/>
        <v>0</v>
      </c>
      <c r="J343" s="6">
        <f t="shared" si="78"/>
        <v>800</v>
      </c>
      <c r="K343" s="6">
        <f t="shared" si="78"/>
        <v>1695</v>
      </c>
      <c r="L343" s="6">
        <f t="shared" si="78"/>
        <v>100</v>
      </c>
      <c r="M343" s="6">
        <f t="shared" si="78"/>
        <v>32750</v>
      </c>
      <c r="N343" s="6"/>
      <c r="O343" s="6">
        <f t="shared" si="78"/>
        <v>0</v>
      </c>
      <c r="P343" s="6">
        <f t="shared" si="78"/>
        <v>46419</v>
      </c>
      <c r="Q343" s="188"/>
    </row>
    <row r="344" spans="1:17" ht="13.5" hidden="1" customHeight="1" x14ac:dyDescent="0.2">
      <c r="A344" s="60" t="s">
        <v>252</v>
      </c>
      <c r="B344" s="8" t="s">
        <v>288</v>
      </c>
      <c r="C344" s="10">
        <v>1000</v>
      </c>
      <c r="D344" s="10">
        <v>150</v>
      </c>
      <c r="E344" s="10"/>
      <c r="F344" s="10">
        <v>50</v>
      </c>
      <c r="G344" s="10">
        <v>750</v>
      </c>
      <c r="H344" s="10"/>
      <c r="I344" s="10"/>
      <c r="J344" s="10"/>
      <c r="K344" s="10">
        <v>1100</v>
      </c>
      <c r="L344" s="10">
        <v>100</v>
      </c>
      <c r="M344" s="10"/>
      <c r="N344" s="10"/>
      <c r="O344" s="10"/>
      <c r="P344" s="10">
        <f t="shared" ref="P344:P360" si="79">SUM(C344:O344)</f>
        <v>3150</v>
      </c>
      <c r="Q344" s="188"/>
    </row>
    <row r="345" spans="1:17" ht="13.5" hidden="1" customHeight="1" x14ac:dyDescent="0.2">
      <c r="A345" s="60" t="s">
        <v>297</v>
      </c>
      <c r="B345" s="8" t="s">
        <v>298</v>
      </c>
      <c r="C345" s="10"/>
      <c r="D345" s="10"/>
      <c r="E345" s="10"/>
      <c r="F345" s="10"/>
      <c r="G345" s="10"/>
      <c r="H345" s="10">
        <f>2475+525</f>
        <v>3000</v>
      </c>
      <c r="I345" s="10"/>
      <c r="J345" s="10"/>
      <c r="K345" s="10"/>
      <c r="L345" s="10"/>
      <c r="M345" s="10"/>
      <c r="N345" s="10"/>
      <c r="O345" s="10"/>
      <c r="P345" s="10">
        <f t="shared" si="79"/>
        <v>3000</v>
      </c>
      <c r="Q345" s="188"/>
    </row>
    <row r="346" spans="1:17" ht="13.5" hidden="1" customHeight="1" x14ac:dyDescent="0.2">
      <c r="A346" s="60" t="s">
        <v>253</v>
      </c>
      <c r="B346" s="8" t="s">
        <v>287</v>
      </c>
      <c r="C346" s="10"/>
      <c r="D346" s="10"/>
      <c r="E346" s="10"/>
      <c r="F346" s="10"/>
      <c r="G346" s="10">
        <v>900</v>
      </c>
      <c r="H346" s="10"/>
      <c r="I346" s="10"/>
      <c r="J346" s="10"/>
      <c r="K346" s="10"/>
      <c r="L346" s="10"/>
      <c r="M346" s="10"/>
      <c r="N346" s="10"/>
      <c r="O346" s="10"/>
      <c r="P346" s="10">
        <f t="shared" si="79"/>
        <v>900</v>
      </c>
      <c r="Q346" s="188"/>
    </row>
    <row r="347" spans="1:17" ht="13.5" hidden="1" customHeight="1" x14ac:dyDescent="0.2">
      <c r="A347" s="60" t="s">
        <v>254</v>
      </c>
      <c r="B347" s="8" t="s">
        <v>286</v>
      </c>
      <c r="C347" s="10">
        <v>100</v>
      </c>
      <c r="D347" s="10">
        <v>500</v>
      </c>
      <c r="E347" s="10">
        <v>50</v>
      </c>
      <c r="F347" s="10"/>
      <c r="G347" s="10">
        <v>150</v>
      </c>
      <c r="H347" s="10"/>
      <c r="I347" s="10"/>
      <c r="J347" s="10"/>
      <c r="K347" s="10">
        <v>100</v>
      </c>
      <c r="L347" s="10"/>
      <c r="M347" s="10"/>
      <c r="N347" s="10"/>
      <c r="O347" s="10"/>
      <c r="P347" s="10">
        <f t="shared" si="79"/>
        <v>900</v>
      </c>
      <c r="Q347" s="188"/>
    </row>
    <row r="348" spans="1:17" ht="13.5" hidden="1" customHeight="1" x14ac:dyDescent="0.2">
      <c r="A348" s="60" t="s">
        <v>255</v>
      </c>
      <c r="B348" s="8" t="s">
        <v>285</v>
      </c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>
        <f t="shared" si="79"/>
        <v>0</v>
      </c>
      <c r="Q348" s="188"/>
    </row>
    <row r="349" spans="1:17" ht="13.5" hidden="1" customHeight="1" x14ac:dyDescent="0.2">
      <c r="A349" s="60" t="s">
        <v>256</v>
      </c>
      <c r="B349" s="8" t="s">
        <v>284</v>
      </c>
      <c r="C349" s="10">
        <v>300</v>
      </c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>
        <f t="shared" si="79"/>
        <v>300</v>
      </c>
      <c r="Q349" s="188"/>
    </row>
    <row r="350" spans="1:17" ht="13.5" hidden="1" customHeight="1" x14ac:dyDescent="0.2">
      <c r="A350" s="60"/>
      <c r="B350" s="8" t="s">
        <v>303</v>
      </c>
      <c r="C350" s="8"/>
      <c r="D350" s="10"/>
      <c r="E350" s="10">
        <v>10</v>
      </c>
      <c r="F350" s="10"/>
      <c r="G350" s="10"/>
      <c r="H350" s="10"/>
      <c r="I350" s="10"/>
      <c r="J350" s="10"/>
      <c r="K350" s="8">
        <v>40</v>
      </c>
      <c r="L350" s="10"/>
      <c r="M350" s="10"/>
      <c r="N350" s="10"/>
      <c r="O350" s="10"/>
      <c r="P350" s="10">
        <f t="shared" si="79"/>
        <v>50</v>
      </c>
      <c r="Q350" s="188"/>
    </row>
    <row r="351" spans="1:17" ht="13.5" hidden="1" customHeight="1" x14ac:dyDescent="0.2">
      <c r="A351" s="60"/>
      <c r="B351" s="8" t="s">
        <v>79</v>
      </c>
      <c r="C351" s="8"/>
      <c r="D351" s="10"/>
      <c r="E351" s="10"/>
      <c r="F351" s="10"/>
      <c r="G351" s="10"/>
      <c r="H351" s="10"/>
      <c r="I351" s="10"/>
      <c r="J351" s="10"/>
      <c r="K351" s="8">
        <v>170</v>
      </c>
      <c r="L351" s="10"/>
      <c r="M351" s="10"/>
      <c r="N351" s="10"/>
      <c r="O351" s="10"/>
      <c r="P351" s="10">
        <f t="shared" si="79"/>
        <v>170</v>
      </c>
      <c r="Q351" s="188"/>
    </row>
    <row r="352" spans="1:17" ht="13.5" hidden="1" customHeight="1" x14ac:dyDescent="0.2">
      <c r="A352" s="60"/>
      <c r="B352" s="8" t="s">
        <v>80</v>
      </c>
      <c r="C352" s="8"/>
      <c r="D352" s="10"/>
      <c r="E352" s="10"/>
      <c r="F352" s="10"/>
      <c r="G352" s="10"/>
      <c r="H352" s="10"/>
      <c r="I352" s="10"/>
      <c r="J352" s="10"/>
      <c r="K352" s="8">
        <v>140</v>
      </c>
      <c r="L352" s="10"/>
      <c r="M352" s="10"/>
      <c r="N352" s="10"/>
      <c r="O352" s="10"/>
      <c r="P352" s="10">
        <f t="shared" si="79"/>
        <v>140</v>
      </c>
      <c r="Q352" s="188"/>
    </row>
    <row r="353" spans="1:17" ht="13.5" hidden="1" customHeight="1" x14ac:dyDescent="0.2">
      <c r="A353" s="60"/>
      <c r="B353" s="8" t="s">
        <v>450</v>
      </c>
      <c r="C353" s="8"/>
      <c r="D353" s="10"/>
      <c r="E353" s="10"/>
      <c r="F353" s="10"/>
      <c r="G353" s="10"/>
      <c r="H353" s="10"/>
      <c r="I353" s="12"/>
      <c r="J353" s="10"/>
      <c r="K353" s="10"/>
      <c r="L353" s="10"/>
      <c r="M353" s="10"/>
      <c r="N353" s="10"/>
      <c r="O353" s="10"/>
      <c r="P353" s="10">
        <f t="shared" si="79"/>
        <v>0</v>
      </c>
      <c r="Q353" s="188"/>
    </row>
    <row r="354" spans="1:17" ht="13.5" hidden="1" customHeight="1" x14ac:dyDescent="0.2">
      <c r="A354" s="60"/>
      <c r="B354" s="8" t="s">
        <v>388</v>
      </c>
      <c r="C354" s="8"/>
      <c r="D354" s="10"/>
      <c r="E354" s="10"/>
      <c r="F354" s="10"/>
      <c r="G354" s="10"/>
      <c r="H354" s="10"/>
      <c r="I354" s="10"/>
      <c r="J354" s="10"/>
      <c r="K354" s="12"/>
      <c r="L354" s="10"/>
      <c r="M354" s="10"/>
      <c r="N354" s="10"/>
      <c r="O354" s="10"/>
      <c r="P354" s="10">
        <f t="shared" si="79"/>
        <v>0</v>
      </c>
      <c r="Q354" s="188"/>
    </row>
    <row r="355" spans="1:17" ht="13.5" hidden="1" customHeight="1" x14ac:dyDescent="0.2">
      <c r="A355" s="60"/>
      <c r="B355" s="8" t="s">
        <v>564</v>
      </c>
      <c r="C355" s="8"/>
      <c r="D355" s="10"/>
      <c r="E355" s="10"/>
      <c r="F355" s="10"/>
      <c r="G355" s="10"/>
      <c r="H355" s="10"/>
      <c r="I355" s="10"/>
      <c r="J355" s="10"/>
      <c r="K355" s="10"/>
      <c r="L355" s="10"/>
      <c r="M355" s="10">
        <v>32750</v>
      </c>
      <c r="N355" s="10"/>
      <c r="O355" s="10"/>
      <c r="P355" s="10">
        <f t="shared" si="79"/>
        <v>32750</v>
      </c>
      <c r="Q355" s="188"/>
    </row>
    <row r="356" spans="1:17" ht="13.5" hidden="1" customHeight="1" x14ac:dyDescent="0.2">
      <c r="A356" s="60"/>
      <c r="B356" s="8"/>
      <c r="C356" s="8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>
        <f t="shared" si="79"/>
        <v>0</v>
      </c>
      <c r="Q356" s="188"/>
    </row>
    <row r="357" spans="1:17" ht="13.5" hidden="1" customHeight="1" x14ac:dyDescent="0.2">
      <c r="A357" s="60"/>
      <c r="B357" s="8"/>
      <c r="C357" s="12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>
        <f t="shared" si="79"/>
        <v>0</v>
      </c>
      <c r="Q357" s="188"/>
    </row>
    <row r="358" spans="1:17" ht="13.5" hidden="1" customHeight="1" x14ac:dyDescent="0.2">
      <c r="A358" s="60"/>
      <c r="B358" s="8"/>
      <c r="C358" s="12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>
        <f t="shared" si="79"/>
        <v>0</v>
      </c>
      <c r="Q358" s="188"/>
    </row>
    <row r="359" spans="1:17" ht="13.5" hidden="1" customHeight="1" x14ac:dyDescent="0.2">
      <c r="A359" s="60"/>
      <c r="B359" s="8" t="s">
        <v>492</v>
      </c>
      <c r="C359" s="12">
        <v>120</v>
      </c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>
        <f t="shared" si="79"/>
        <v>120</v>
      </c>
      <c r="Q359" s="188"/>
    </row>
    <row r="360" spans="1:17" ht="13.5" hidden="1" customHeight="1" x14ac:dyDescent="0.2">
      <c r="A360" s="60"/>
      <c r="B360" s="8" t="s">
        <v>562</v>
      </c>
      <c r="C360" s="12">
        <v>210</v>
      </c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>
        <f t="shared" si="79"/>
        <v>210</v>
      </c>
      <c r="Q360" s="188"/>
    </row>
    <row r="361" spans="1:17" ht="13.5" hidden="1" customHeight="1" x14ac:dyDescent="0.2">
      <c r="A361" s="60"/>
      <c r="B361" s="8" t="s">
        <v>560</v>
      </c>
      <c r="C361" s="12">
        <f>(290+787+252)</f>
        <v>1329</v>
      </c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>
        <f t="shared" ref="P361:P384" si="80">SUM(C361:O361)</f>
        <v>1329</v>
      </c>
      <c r="Q361" s="188"/>
    </row>
    <row r="362" spans="1:17" ht="13.5" hidden="1" customHeight="1" x14ac:dyDescent="0.2">
      <c r="A362" s="60"/>
      <c r="B362" s="8" t="s">
        <v>561</v>
      </c>
      <c r="C362" s="12">
        <v>490</v>
      </c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>
        <f t="shared" si="80"/>
        <v>490</v>
      </c>
      <c r="Q362" s="188"/>
    </row>
    <row r="363" spans="1:17" ht="13.5" hidden="1" customHeight="1" x14ac:dyDescent="0.2">
      <c r="A363" s="60" t="s">
        <v>257</v>
      </c>
      <c r="B363" s="8" t="s">
        <v>283</v>
      </c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>
        <f t="shared" si="80"/>
        <v>0</v>
      </c>
      <c r="Q363" s="188"/>
    </row>
    <row r="364" spans="1:17" ht="13.5" hidden="1" customHeight="1" x14ac:dyDescent="0.2">
      <c r="A364" s="60"/>
      <c r="B364" s="8" t="s">
        <v>341</v>
      </c>
      <c r="C364" s="10">
        <v>60</v>
      </c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>
        <f t="shared" si="80"/>
        <v>60</v>
      </c>
      <c r="Q364" s="188"/>
    </row>
    <row r="365" spans="1:17" ht="13.5" hidden="1" customHeight="1" x14ac:dyDescent="0.2">
      <c r="A365" s="60"/>
      <c r="B365" s="8" t="s">
        <v>397</v>
      </c>
      <c r="C365" s="10">
        <v>450</v>
      </c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>
        <f t="shared" si="80"/>
        <v>450</v>
      </c>
      <c r="Q365" s="188"/>
    </row>
    <row r="366" spans="1:17" hidden="1" x14ac:dyDescent="0.2">
      <c r="A366" s="60"/>
      <c r="B366" s="8" t="s">
        <v>294</v>
      </c>
      <c r="C366" s="10">
        <v>150</v>
      </c>
      <c r="D366" s="10">
        <v>10</v>
      </c>
      <c r="E366" s="10">
        <v>245</v>
      </c>
      <c r="F366" s="10"/>
      <c r="G366" s="10"/>
      <c r="H366" s="10"/>
      <c r="I366" s="10"/>
      <c r="J366" s="10"/>
      <c r="K366" s="10">
        <v>45</v>
      </c>
      <c r="L366" s="10"/>
      <c r="M366" s="10"/>
      <c r="N366" s="10"/>
      <c r="O366" s="10"/>
      <c r="P366" s="10">
        <f t="shared" si="80"/>
        <v>450</v>
      </c>
      <c r="Q366" s="188"/>
    </row>
    <row r="367" spans="1:17" hidden="1" x14ac:dyDescent="0.2">
      <c r="A367" s="60"/>
      <c r="B367" s="8" t="s">
        <v>344</v>
      </c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>
        <f t="shared" si="80"/>
        <v>0</v>
      </c>
      <c r="Q367" s="188"/>
    </row>
    <row r="368" spans="1:17" hidden="1" x14ac:dyDescent="0.2">
      <c r="A368" s="60"/>
      <c r="B368" s="8" t="s">
        <v>566</v>
      </c>
      <c r="C368" s="10">
        <v>400</v>
      </c>
      <c r="D368" s="10">
        <v>500</v>
      </c>
      <c r="E368" s="10">
        <v>150</v>
      </c>
      <c r="F368" s="10"/>
      <c r="G368" s="10"/>
      <c r="H368" s="10"/>
      <c r="I368" s="10"/>
      <c r="J368" s="10">
        <v>800</v>
      </c>
      <c r="K368" s="10">
        <v>100</v>
      </c>
      <c r="L368" s="10"/>
      <c r="M368" s="10"/>
      <c r="N368" s="10"/>
      <c r="O368" s="10"/>
      <c r="P368" s="10">
        <f t="shared" si="80"/>
        <v>1950</v>
      </c>
      <c r="Q368" s="188"/>
    </row>
    <row r="369" spans="1:17" ht="13.5" hidden="1" customHeight="1" x14ac:dyDescent="0.2">
      <c r="A369" s="60"/>
      <c r="B369" s="8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>
        <f t="shared" si="80"/>
        <v>0</v>
      </c>
      <c r="Q369" s="188"/>
    </row>
    <row r="370" spans="1:17" ht="13.5" hidden="1" customHeight="1" x14ac:dyDescent="0.2">
      <c r="A370" s="77" t="s">
        <v>258</v>
      </c>
      <c r="B370" s="13" t="s">
        <v>242</v>
      </c>
      <c r="C370" s="6">
        <f>SUM(C371:C372)</f>
        <v>100</v>
      </c>
      <c r="D370" s="6">
        <f>SUM(D371:D372)</f>
        <v>50</v>
      </c>
      <c r="E370" s="6">
        <f>SUM(E371:E372)</f>
        <v>0</v>
      </c>
      <c r="F370" s="6">
        <f>SUM(F371:F372)</f>
        <v>0</v>
      </c>
      <c r="G370" s="6">
        <f t="shared" ref="G370:L370" si="81">SUM(G371:G372)</f>
        <v>0</v>
      </c>
      <c r="H370" s="6">
        <f t="shared" si="81"/>
        <v>0</v>
      </c>
      <c r="I370" s="6">
        <f t="shared" si="81"/>
        <v>0</v>
      </c>
      <c r="J370" s="6">
        <f t="shared" si="81"/>
        <v>0</v>
      </c>
      <c r="K370" s="6">
        <f t="shared" si="81"/>
        <v>0</v>
      </c>
      <c r="L370" s="6">
        <f t="shared" si="81"/>
        <v>0</v>
      </c>
      <c r="M370" s="6"/>
      <c r="N370" s="6"/>
      <c r="O370" s="6">
        <f>SUM(O371:O372)</f>
        <v>0</v>
      </c>
      <c r="P370" s="6">
        <f t="shared" si="80"/>
        <v>150</v>
      </c>
      <c r="Q370" s="188"/>
    </row>
    <row r="371" spans="1:17" ht="13.5" hidden="1" customHeight="1" x14ac:dyDescent="0.2">
      <c r="A371" s="60" t="s">
        <v>259</v>
      </c>
      <c r="B371" s="8" t="s">
        <v>282</v>
      </c>
      <c r="C371" s="10"/>
      <c r="D371" s="10">
        <v>50</v>
      </c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>
        <f t="shared" si="80"/>
        <v>50</v>
      </c>
      <c r="Q371" s="188"/>
    </row>
    <row r="372" spans="1:17" ht="13.5" hidden="1" customHeight="1" x14ac:dyDescent="0.2">
      <c r="A372" s="60" t="s">
        <v>260</v>
      </c>
      <c r="B372" s="8" t="s">
        <v>293</v>
      </c>
      <c r="C372" s="10">
        <v>100</v>
      </c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>
        <f t="shared" si="80"/>
        <v>100</v>
      </c>
      <c r="Q372" s="188"/>
    </row>
    <row r="373" spans="1:17" ht="13.5" hidden="1" customHeight="1" x14ac:dyDescent="0.2">
      <c r="A373" s="77" t="s">
        <v>261</v>
      </c>
      <c r="B373" s="13" t="s">
        <v>243</v>
      </c>
      <c r="C373" s="6">
        <f>SUM(C374:C380)</f>
        <v>1690</v>
      </c>
      <c r="D373" s="6">
        <f>SUM(D374:D380)</f>
        <v>980</v>
      </c>
      <c r="E373" s="6">
        <f>SUM(E374:E380)</f>
        <v>331</v>
      </c>
      <c r="F373" s="6">
        <f>SUM(F374:F380)</f>
        <v>77</v>
      </c>
      <c r="G373" s="6">
        <f t="shared" ref="G373:O373" si="82">SUM(G374:G380)</f>
        <v>486</v>
      </c>
      <c r="H373" s="6">
        <f t="shared" si="82"/>
        <v>1191</v>
      </c>
      <c r="I373" s="6">
        <f t="shared" si="82"/>
        <v>0</v>
      </c>
      <c r="J373" s="6">
        <f t="shared" si="82"/>
        <v>1085</v>
      </c>
      <c r="K373" s="6">
        <f t="shared" si="82"/>
        <v>432</v>
      </c>
      <c r="L373" s="6">
        <f t="shared" si="82"/>
        <v>59</v>
      </c>
      <c r="M373" s="6">
        <f t="shared" si="82"/>
        <v>8842</v>
      </c>
      <c r="N373" s="6"/>
      <c r="O373" s="6">
        <f t="shared" si="82"/>
        <v>0</v>
      </c>
      <c r="P373" s="6">
        <f t="shared" si="80"/>
        <v>15173</v>
      </c>
      <c r="Q373" s="188"/>
    </row>
    <row r="374" spans="1:17" ht="13.5" hidden="1" customHeight="1" x14ac:dyDescent="0.2">
      <c r="A374" s="60" t="s">
        <v>262</v>
      </c>
      <c r="B374" s="8" t="s">
        <v>272</v>
      </c>
      <c r="C374" s="10">
        <v>1160</v>
      </c>
      <c r="D374" s="10">
        <v>680</v>
      </c>
      <c r="E374" s="10">
        <v>261</v>
      </c>
      <c r="F374" s="10">
        <v>27</v>
      </c>
      <c r="G374" s="10">
        <v>486</v>
      </c>
      <c r="H374" s="10">
        <v>891</v>
      </c>
      <c r="I374" s="10">
        <v>0</v>
      </c>
      <c r="J374" s="10">
        <v>485</v>
      </c>
      <c r="K374" s="10">
        <v>432</v>
      </c>
      <c r="L374" s="10">
        <v>59</v>
      </c>
      <c r="M374" s="10">
        <v>8842</v>
      </c>
      <c r="N374" s="10"/>
      <c r="O374" s="10">
        <v>0</v>
      </c>
      <c r="P374" s="10">
        <f t="shared" si="80"/>
        <v>13323</v>
      </c>
      <c r="Q374" s="188"/>
    </row>
    <row r="375" spans="1:17" ht="13.5" hidden="1" customHeight="1" x14ac:dyDescent="0.2">
      <c r="A375" s="60" t="s">
        <v>263</v>
      </c>
      <c r="B375" s="8" t="s">
        <v>273</v>
      </c>
      <c r="C375" s="10"/>
      <c r="D375" s="301"/>
      <c r="E375" s="301"/>
      <c r="F375" s="301"/>
      <c r="G375" s="10"/>
      <c r="H375" s="10"/>
      <c r="I375" s="10"/>
      <c r="J375" s="10"/>
      <c r="K375" s="10"/>
      <c r="L375" s="10"/>
      <c r="M375" s="10"/>
      <c r="N375" s="10"/>
      <c r="O375" s="10"/>
      <c r="P375" s="10">
        <f t="shared" si="80"/>
        <v>0</v>
      </c>
      <c r="Q375" s="188"/>
    </row>
    <row r="376" spans="1:17" ht="13.5" hidden="1" customHeight="1" x14ac:dyDescent="0.2">
      <c r="A376" s="60" t="s">
        <v>264</v>
      </c>
      <c r="B376" s="8" t="s">
        <v>274</v>
      </c>
      <c r="C376" s="10">
        <v>30</v>
      </c>
      <c r="D376" s="301"/>
      <c r="E376" s="301"/>
      <c r="F376" s="301"/>
      <c r="G376" s="10"/>
      <c r="H376" s="10"/>
      <c r="I376" s="10"/>
      <c r="J376" s="10"/>
      <c r="K376" s="10"/>
      <c r="L376" s="10"/>
      <c r="M376" s="10"/>
      <c r="N376" s="10"/>
      <c r="O376" s="10"/>
      <c r="P376" s="10">
        <f t="shared" si="80"/>
        <v>30</v>
      </c>
      <c r="Q376" s="188"/>
    </row>
    <row r="377" spans="1:17" ht="13.5" hidden="1" customHeight="1" x14ac:dyDescent="0.2">
      <c r="A377" s="60" t="s">
        <v>265</v>
      </c>
      <c r="B377" s="8" t="s">
        <v>275</v>
      </c>
      <c r="C377" s="10"/>
      <c r="D377" s="301"/>
      <c r="E377" s="301"/>
      <c r="F377" s="301"/>
      <c r="G377" s="10"/>
      <c r="H377" s="10"/>
      <c r="I377" s="10"/>
      <c r="J377" s="10"/>
      <c r="K377" s="10"/>
      <c r="L377" s="10"/>
      <c r="M377" s="10"/>
      <c r="N377" s="10"/>
      <c r="O377" s="10"/>
      <c r="P377" s="10">
        <f t="shared" si="80"/>
        <v>0</v>
      </c>
      <c r="Q377" s="188"/>
    </row>
    <row r="378" spans="1:17" ht="13.5" hidden="1" customHeight="1" x14ac:dyDescent="0.2">
      <c r="A378" s="60" t="s">
        <v>266</v>
      </c>
      <c r="B378" s="8" t="s">
        <v>42</v>
      </c>
      <c r="C378" s="10">
        <v>200</v>
      </c>
      <c r="D378" s="10">
        <v>300</v>
      </c>
      <c r="E378" s="10">
        <v>20</v>
      </c>
      <c r="F378" s="10">
        <v>50</v>
      </c>
      <c r="G378" s="10"/>
      <c r="H378" s="10">
        <v>300</v>
      </c>
      <c r="I378" s="10"/>
      <c r="J378" s="10">
        <v>100</v>
      </c>
      <c r="K378" s="10"/>
      <c r="L378" s="10"/>
      <c r="M378" s="10"/>
      <c r="N378" s="10"/>
      <c r="O378" s="10"/>
      <c r="P378" s="10">
        <f t="shared" si="80"/>
        <v>970</v>
      </c>
      <c r="Q378" s="188"/>
    </row>
    <row r="379" spans="1:17" ht="13.5" hidden="1" customHeight="1" x14ac:dyDescent="0.2">
      <c r="A379" s="60"/>
      <c r="B379" s="8" t="s">
        <v>567</v>
      </c>
      <c r="C379" s="10"/>
      <c r="D379" s="10"/>
      <c r="E379" s="10"/>
      <c r="F379" s="10"/>
      <c r="G379" s="10"/>
      <c r="H379" s="10"/>
      <c r="I379" s="10"/>
      <c r="J379" s="10">
        <v>500</v>
      </c>
      <c r="K379" s="10"/>
      <c r="L379" s="10"/>
      <c r="M379" s="10"/>
      <c r="N379" s="10"/>
      <c r="O379" s="10"/>
      <c r="P379" s="10">
        <f t="shared" si="80"/>
        <v>500</v>
      </c>
      <c r="Q379" s="188"/>
    </row>
    <row r="380" spans="1:17" ht="13.5" hidden="1" customHeight="1" x14ac:dyDescent="0.2">
      <c r="A380" s="60"/>
      <c r="B380" s="8" t="s">
        <v>295</v>
      </c>
      <c r="C380" s="12">
        <v>300</v>
      </c>
      <c r="D380" s="301"/>
      <c r="E380" s="12">
        <v>50</v>
      </c>
      <c r="F380" s="301"/>
      <c r="G380" s="10"/>
      <c r="H380" s="10"/>
      <c r="I380" s="10"/>
      <c r="J380" s="10"/>
      <c r="K380" s="10"/>
      <c r="L380" s="10"/>
      <c r="M380" s="10"/>
      <c r="N380" s="10"/>
      <c r="O380" s="10"/>
      <c r="P380" s="10">
        <f t="shared" si="80"/>
        <v>350</v>
      </c>
      <c r="Q380" s="188"/>
    </row>
    <row r="381" spans="1:17" ht="13.5" hidden="1" customHeight="1" x14ac:dyDescent="0.2">
      <c r="A381" s="77" t="s">
        <v>277</v>
      </c>
      <c r="B381" s="125" t="s">
        <v>28</v>
      </c>
      <c r="C381" s="175">
        <f t="shared" ref="C381:O381" si="83">SUM(C329+C340+C343+C370+C373)</f>
        <v>7279</v>
      </c>
      <c r="D381" s="175">
        <f t="shared" si="83"/>
        <v>3260</v>
      </c>
      <c r="E381" s="175">
        <f t="shared" si="83"/>
        <v>1506</v>
      </c>
      <c r="F381" s="175">
        <f t="shared" si="83"/>
        <v>127</v>
      </c>
      <c r="G381" s="175">
        <f t="shared" si="83"/>
        <v>2286</v>
      </c>
      <c r="H381" s="175">
        <f t="shared" si="83"/>
        <v>4191</v>
      </c>
      <c r="I381" s="175">
        <f t="shared" si="83"/>
        <v>0</v>
      </c>
      <c r="J381" s="175">
        <f t="shared" si="83"/>
        <v>2005</v>
      </c>
      <c r="K381" s="175">
        <f t="shared" si="83"/>
        <v>2427</v>
      </c>
      <c r="L381" s="175">
        <f t="shared" si="83"/>
        <v>279</v>
      </c>
      <c r="M381" s="175">
        <f t="shared" si="83"/>
        <v>41592</v>
      </c>
      <c r="N381" s="175"/>
      <c r="O381" s="175">
        <f t="shared" si="83"/>
        <v>0</v>
      </c>
      <c r="P381" s="175">
        <f t="shared" si="80"/>
        <v>64952</v>
      </c>
      <c r="Q381" s="188"/>
    </row>
    <row r="382" spans="1:17" ht="13.5" hidden="1" customHeight="1" x14ac:dyDescent="0.2">
      <c r="A382" s="180" t="s">
        <v>276</v>
      </c>
      <c r="B382" s="125" t="s">
        <v>394</v>
      </c>
      <c r="C382" s="175">
        <v>100</v>
      </c>
      <c r="D382" s="175"/>
      <c r="E382" s="175"/>
      <c r="F382" s="175"/>
      <c r="G382" s="175"/>
      <c r="H382" s="175"/>
      <c r="I382" s="175">
        <v>3513</v>
      </c>
      <c r="J382" s="175"/>
      <c r="K382" s="175"/>
      <c r="L382" s="175"/>
      <c r="M382" s="175"/>
      <c r="N382" s="175"/>
      <c r="O382" s="175"/>
      <c r="P382" s="175">
        <f t="shared" si="80"/>
        <v>3613</v>
      </c>
      <c r="Q382" s="188"/>
    </row>
    <row r="383" spans="1:17" ht="13.5" hidden="1" customHeight="1" x14ac:dyDescent="0.2">
      <c r="A383" s="180" t="s">
        <v>300</v>
      </c>
      <c r="B383" s="125" t="s">
        <v>35</v>
      </c>
      <c r="C383" s="175"/>
      <c r="D383" s="175"/>
      <c r="E383" s="175"/>
      <c r="F383" s="175"/>
      <c r="G383" s="175"/>
      <c r="H383" s="175"/>
      <c r="I383" s="175"/>
      <c r="J383" s="175"/>
      <c r="K383" s="175"/>
      <c r="L383" s="175"/>
      <c r="M383" s="175"/>
      <c r="N383" s="175"/>
      <c r="O383" s="175"/>
      <c r="P383" s="175">
        <f t="shared" si="80"/>
        <v>0</v>
      </c>
      <c r="Q383" s="188"/>
    </row>
    <row r="384" spans="1:17" ht="13.5" hidden="1" customHeight="1" thickBot="1" x14ac:dyDescent="0.25">
      <c r="A384" s="180" t="s">
        <v>301</v>
      </c>
      <c r="B384" s="179" t="s">
        <v>302</v>
      </c>
      <c r="C384" s="126"/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75">
        <f t="shared" si="80"/>
        <v>0</v>
      </c>
      <c r="Q384" s="188"/>
    </row>
    <row r="385" spans="1:17" ht="22.5" hidden="1" customHeight="1" thickBot="1" x14ac:dyDescent="0.4">
      <c r="A385" s="177"/>
      <c r="B385" s="230" t="s">
        <v>7</v>
      </c>
      <c r="C385" s="182">
        <f t="shared" ref="C385:P385" si="84">SUM(C325+C328+C381+C382+C383+C384)</f>
        <v>15501</v>
      </c>
      <c r="D385" s="182">
        <f t="shared" si="84"/>
        <v>13765</v>
      </c>
      <c r="E385" s="182">
        <f t="shared" si="84"/>
        <v>5358</v>
      </c>
      <c r="F385" s="182">
        <f t="shared" si="84"/>
        <v>127</v>
      </c>
      <c r="G385" s="182">
        <f t="shared" si="84"/>
        <v>2286</v>
      </c>
      <c r="H385" s="182">
        <f t="shared" si="84"/>
        <v>4191</v>
      </c>
      <c r="I385" s="182">
        <f t="shared" si="84"/>
        <v>3513</v>
      </c>
      <c r="J385" s="182">
        <f t="shared" si="84"/>
        <v>2280</v>
      </c>
      <c r="K385" s="182">
        <f t="shared" si="84"/>
        <v>2427</v>
      </c>
      <c r="L385" s="182">
        <f t="shared" si="84"/>
        <v>649</v>
      </c>
      <c r="M385" s="182">
        <f t="shared" si="84"/>
        <v>47881</v>
      </c>
      <c r="N385" s="182"/>
      <c r="O385" s="182">
        <f t="shared" si="84"/>
        <v>0</v>
      </c>
      <c r="P385" s="226">
        <f t="shared" si="84"/>
        <v>97978</v>
      </c>
      <c r="Q385" s="188"/>
    </row>
    <row r="386" spans="1:17" hidden="1" x14ac:dyDescent="0.2">
      <c r="A386" s="60"/>
      <c r="B386" s="228" t="s">
        <v>43</v>
      </c>
      <c r="C386" s="229"/>
      <c r="D386" s="181">
        <v>3</v>
      </c>
      <c r="E386" s="181">
        <v>1</v>
      </c>
      <c r="F386" s="181"/>
      <c r="G386" s="78"/>
      <c r="H386" s="78"/>
      <c r="I386" s="78"/>
      <c r="J386" s="78"/>
      <c r="K386" s="78"/>
      <c r="L386" s="78"/>
      <c r="M386" s="78"/>
      <c r="N386" s="78"/>
      <c r="O386" s="78"/>
      <c r="P386" s="78">
        <f>SUM(C386:O386)</f>
        <v>4</v>
      </c>
      <c r="Q386" s="2"/>
    </row>
    <row r="387" spans="1:17" hidden="1" x14ac:dyDescent="0.2">
      <c r="B387" s="227" t="s">
        <v>384</v>
      </c>
      <c r="C387" s="2"/>
      <c r="D387" s="27"/>
      <c r="E387" s="27"/>
      <c r="F387" s="27"/>
      <c r="G387" s="2"/>
      <c r="H387" s="2"/>
      <c r="I387" s="2"/>
      <c r="J387" s="2"/>
      <c r="K387" s="2"/>
      <c r="L387" s="2"/>
      <c r="M387" s="2"/>
      <c r="N387" s="2"/>
      <c r="O387" s="2">
        <v>0</v>
      </c>
      <c r="P387" s="7">
        <f>SUM(O387)</f>
        <v>0</v>
      </c>
      <c r="Q387" s="2"/>
    </row>
    <row r="388" spans="1:17" hidden="1" x14ac:dyDescent="0.2"/>
    <row r="390" spans="1:17" hidden="1" x14ac:dyDescent="0.2">
      <c r="C390" s="76">
        <f>(C23+C29+C30+C31+C32+C33+C34+C35+C36+C38+C39+C41+C42+C43+C44+C46+C48+C50+C51+C52+C53+C55+C59+C60+C63+(C69-200)+C70)*0.27</f>
        <v>1391.8500000000001</v>
      </c>
      <c r="D390" s="76">
        <f>(D23+D29+D30+D31+D32+D33+D34+D35+D36+D38+D39+D41+D42+D43+D44+D45+D46+D48+D50+D51+D52+D53+D55+D59+D60+D63+(D69)+D70)*0.27</f>
        <v>2220.48</v>
      </c>
      <c r="E390" s="76">
        <f t="shared" ref="E390:L390" si="85">(E23+E29+E30+E31+E32+E33+E34+E35+E36+E38+E39+E41+E42+E43+E44+E45+E46+E48+E50+E51+E52+E53+E55+E59+E60+E63+(E69)+E70)*0.27</f>
        <v>399.6</v>
      </c>
      <c r="F390" s="76">
        <f t="shared" si="85"/>
        <v>91.800000000000011</v>
      </c>
      <c r="G390" s="76">
        <f t="shared" si="85"/>
        <v>1003.0500000000001</v>
      </c>
      <c r="H390" s="76">
        <f t="shared" si="85"/>
        <v>1296</v>
      </c>
      <c r="I390" s="76">
        <f t="shared" si="85"/>
        <v>0</v>
      </c>
      <c r="J390" s="76">
        <f>(J23+J29+J30+J31+J32+J33+J34+J35+J36+J38+J39+J41+J42+J43+J44+J45+J46+J48+J50+J51+J52+J53+J55+(J59-300)+J60+J63+(J69)+J70)*0.27</f>
        <v>542.70000000000005</v>
      </c>
      <c r="K390" s="76">
        <f t="shared" si="85"/>
        <v>616.14</v>
      </c>
      <c r="L390" s="76">
        <f t="shared" si="85"/>
        <v>35.1</v>
      </c>
      <c r="M390" s="76">
        <f t="shared" ref="M390:N390" si="86">(M23+M29+M30+M31+M32+M33+M34+M35+M36+M38+M39+M41+M42+M43+M44+M45+M46+M50+M51+M52+M55+M59+M60+M63+M69+M70)*0.27</f>
        <v>0</v>
      </c>
      <c r="N390" s="76">
        <f t="shared" si="86"/>
        <v>0</v>
      </c>
    </row>
  </sheetData>
  <mergeCells count="17">
    <mergeCell ref="A4:P4"/>
    <mergeCell ref="A81:A82"/>
    <mergeCell ref="B81:B82"/>
    <mergeCell ref="C81:P81"/>
    <mergeCell ref="B7:B8"/>
    <mergeCell ref="A7:A8"/>
    <mergeCell ref="C7:P7"/>
    <mergeCell ref="A5:P5"/>
    <mergeCell ref="B156:B157"/>
    <mergeCell ref="C156:P156"/>
    <mergeCell ref="A312:A313"/>
    <mergeCell ref="B312:B313"/>
    <mergeCell ref="C312:P312"/>
    <mergeCell ref="A235:A236"/>
    <mergeCell ref="B235:B236"/>
    <mergeCell ref="C235:P235"/>
    <mergeCell ref="A156:A157"/>
  </mergeCells>
  <pageMargins left="0.43307086614173229" right="0.15748031496062992" top="0.39370078740157483" bottom="0.15748031496062992" header="0.23622047244094491" footer="0.15748031496062992"/>
  <pageSetup paperSize="9" scale="80" orientation="landscape" r:id="rId1"/>
  <headerFooter alignWithMargins="0"/>
  <rowBreaks count="1" manualBreakCount="1">
    <brk id="44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71"/>
  <sheetViews>
    <sheetView zoomScaleNormal="100" workbookViewId="0">
      <selection activeCell="G9" sqref="G9"/>
    </sheetView>
  </sheetViews>
  <sheetFormatPr defaultRowHeight="12.75" x14ac:dyDescent="0.2"/>
  <cols>
    <col min="1" max="1" width="38.7109375" customWidth="1"/>
    <col min="2" max="2" width="12.7109375" customWidth="1"/>
    <col min="3" max="3" width="12.7109375" style="105" hidden="1" customWidth="1"/>
    <col min="4" max="8" width="12.7109375" customWidth="1"/>
    <col min="9" max="9" width="16" hidden="1" customWidth="1"/>
    <col min="10" max="11" width="12.7109375" hidden="1" customWidth="1"/>
    <col min="12" max="12" width="10.28515625" customWidth="1"/>
  </cols>
  <sheetData>
    <row r="1" spans="1:26" ht="13.5" customHeight="1" x14ac:dyDescent="0.2">
      <c r="A1" s="3"/>
      <c r="B1" s="3"/>
      <c r="C1" s="3"/>
      <c r="D1" s="3"/>
      <c r="E1" s="3"/>
      <c r="G1" s="189" t="s">
        <v>489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 x14ac:dyDescent="0.2">
      <c r="A2" s="3"/>
      <c r="B2" s="3"/>
      <c r="C2" s="3"/>
      <c r="D2" s="3"/>
      <c r="E2" s="3"/>
      <c r="G2" s="221" t="str">
        <f>'1.Bev-kiad.'!C2</f>
        <v>a 2/2025.(III.6.) önkormányzati rendelethez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 x14ac:dyDescent="0.2">
      <c r="A3" s="89"/>
      <c r="B3" s="3"/>
      <c r="C3" s="90"/>
      <c r="D3" s="3"/>
      <c r="E3" s="3"/>
      <c r="H3" s="3"/>
      <c r="I3" s="3"/>
      <c r="J3" s="3"/>
      <c r="K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 x14ac:dyDescent="0.2">
      <c r="A4" s="89"/>
      <c r="B4" s="3"/>
      <c r="C4" s="90"/>
      <c r="D4" s="3"/>
      <c r="E4" s="3"/>
      <c r="G4" s="221"/>
      <c r="H4" s="3"/>
      <c r="I4" s="3"/>
      <c r="J4" s="3"/>
      <c r="K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x14ac:dyDescent="0.2">
      <c r="A5" s="487" t="s">
        <v>369</v>
      </c>
      <c r="B5" s="487"/>
      <c r="C5" s="487"/>
      <c r="D5" s="487"/>
      <c r="E5" s="487"/>
      <c r="F5" s="487"/>
      <c r="G5" s="487"/>
      <c r="H5" s="52"/>
      <c r="I5" s="52"/>
      <c r="J5" s="52"/>
      <c r="K5" s="52"/>
      <c r="L5" s="3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3.5" customHeight="1" x14ac:dyDescent="0.2">
      <c r="A6" s="488" t="s">
        <v>593</v>
      </c>
      <c r="B6" s="489"/>
      <c r="C6" s="489"/>
      <c r="D6" s="489"/>
      <c r="E6" s="489"/>
      <c r="F6" s="489"/>
      <c r="G6" s="489"/>
      <c r="H6" s="52"/>
      <c r="I6" s="52"/>
      <c r="J6" s="52"/>
      <c r="K6" s="3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6" ht="13.5" customHeight="1" thickBot="1" x14ac:dyDescent="0.25">
      <c r="A7" s="3"/>
      <c r="B7" s="3"/>
      <c r="C7" s="90"/>
      <c r="G7" s="189" t="s">
        <v>25</v>
      </c>
      <c r="H7" s="52"/>
      <c r="I7" s="52"/>
      <c r="J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6" ht="44.25" customHeight="1" thickBot="1" x14ac:dyDescent="0.25">
      <c r="A8" s="92" t="s">
        <v>323</v>
      </c>
      <c r="B8" s="93" t="s">
        <v>49</v>
      </c>
      <c r="C8" s="222" t="s">
        <v>625</v>
      </c>
      <c r="D8" s="222">
        <v>2025</v>
      </c>
      <c r="E8" s="222">
        <v>2026</v>
      </c>
      <c r="F8" s="222">
        <v>2027</v>
      </c>
      <c r="G8" s="223">
        <v>2028</v>
      </c>
    </row>
    <row r="9" spans="1:26" ht="13.5" customHeight="1" x14ac:dyDescent="0.2">
      <c r="A9" s="94" t="s">
        <v>50</v>
      </c>
      <c r="B9" s="95"/>
      <c r="C9" s="95"/>
      <c r="D9" s="154"/>
      <c r="E9" s="95"/>
      <c r="F9" s="95"/>
      <c r="G9" s="95"/>
    </row>
    <row r="10" spans="1:26" ht="13.5" customHeight="1" x14ac:dyDescent="0.2">
      <c r="A10" s="61" t="s">
        <v>52</v>
      </c>
      <c r="B10" s="95"/>
      <c r="C10" s="95"/>
      <c r="D10" s="154"/>
      <c r="E10" s="95"/>
      <c r="F10" s="95"/>
      <c r="G10" s="95"/>
    </row>
    <row r="11" spans="1:26" ht="13.5" customHeight="1" x14ac:dyDescent="0.2">
      <c r="A11" s="61" t="s">
        <v>51</v>
      </c>
      <c r="B11" s="96"/>
      <c r="C11" s="96"/>
      <c r="D11" s="155"/>
      <c r="E11" s="24"/>
      <c r="F11" s="24"/>
      <c r="G11" s="24"/>
    </row>
    <row r="12" spans="1:26" ht="13.5" customHeight="1" x14ac:dyDescent="0.2">
      <c r="A12" s="61" t="s">
        <v>52</v>
      </c>
      <c r="B12" s="60"/>
      <c r="C12" s="60"/>
      <c r="D12" s="156"/>
      <c r="E12" s="60"/>
      <c r="F12" s="60"/>
      <c r="G12" s="24"/>
      <c r="I12" s="387">
        <f>270000000-225680*14-233997-2821178-12960350-2698750-241425845-94274-2700000-225680</f>
        <v>3680406</v>
      </c>
      <c r="J12">
        <f>(335000-225680)*15+335000*2*0.9*0.155+335000*13*0.9*0.13</f>
        <v>2242800</v>
      </c>
      <c r="K12" t="s">
        <v>642</v>
      </c>
    </row>
    <row r="13" spans="1:26" ht="13.5" customHeight="1" x14ac:dyDescent="0.2">
      <c r="A13" s="24" t="s">
        <v>53</v>
      </c>
      <c r="B13" s="25"/>
      <c r="C13" s="25"/>
      <c r="D13" s="155"/>
      <c r="E13" s="24"/>
      <c r="F13" s="24"/>
      <c r="G13" s="24"/>
      <c r="J13">
        <f>(335000-225680)*15</f>
        <v>1639800</v>
      </c>
    </row>
    <row r="14" spans="1:26" ht="13.5" customHeight="1" thickBot="1" x14ac:dyDescent="0.25">
      <c r="A14" s="97" t="s">
        <v>52</v>
      </c>
      <c r="B14" s="25"/>
      <c r="C14" s="25"/>
      <c r="D14" s="155"/>
      <c r="E14" s="24"/>
      <c r="F14" s="24"/>
      <c r="G14" s="24"/>
      <c r="J14">
        <f>3681-1290</f>
        <v>2391</v>
      </c>
    </row>
    <row r="15" spans="1:26" ht="13.5" customHeight="1" thickBot="1" x14ac:dyDescent="0.25">
      <c r="A15" s="98" t="s">
        <v>40</v>
      </c>
      <c r="B15" s="99">
        <f t="shared" ref="B15:G15" si="0">SUM(B11:B14)</f>
        <v>0</v>
      </c>
      <c r="C15" s="99">
        <f t="shared" si="0"/>
        <v>0</v>
      </c>
      <c r="D15" s="157">
        <f t="shared" si="0"/>
        <v>0</v>
      </c>
      <c r="E15" s="99">
        <f t="shared" si="0"/>
        <v>0</v>
      </c>
      <c r="F15" s="99">
        <f t="shared" si="0"/>
        <v>0</v>
      </c>
      <c r="G15" s="100">
        <f t="shared" si="0"/>
        <v>0</v>
      </c>
    </row>
    <row r="16" spans="1:26" ht="13.5" customHeight="1" x14ac:dyDescent="0.2">
      <c r="A16" s="3"/>
      <c r="B16" s="3"/>
      <c r="C16" s="3"/>
      <c r="D16" s="52"/>
      <c r="E16" s="52"/>
      <c r="F16" s="52"/>
      <c r="G16" s="52"/>
      <c r="H16" s="52"/>
      <c r="I16" s="52"/>
      <c r="J16" s="52"/>
      <c r="K16" s="52"/>
    </row>
    <row r="17" spans="1:7" ht="12.95" customHeight="1" x14ac:dyDescent="0.2">
      <c r="A17" s="52"/>
      <c r="B17" s="52"/>
      <c r="C17" s="52"/>
      <c r="D17" s="52"/>
      <c r="E17" s="52"/>
      <c r="F17" s="52"/>
      <c r="G17" s="52"/>
    </row>
    <row r="18" spans="1:7" ht="12.95" customHeight="1" x14ac:dyDescent="0.2">
      <c r="B18" s="76"/>
      <c r="C18" s="104"/>
    </row>
    <row r="19" spans="1:7" ht="12.95" customHeight="1" x14ac:dyDescent="0.2">
      <c r="B19" s="76"/>
      <c r="C19" s="104"/>
    </row>
    <row r="20" spans="1:7" ht="12.95" customHeight="1" x14ac:dyDescent="0.2">
      <c r="B20" s="76"/>
      <c r="C20" s="104"/>
    </row>
    <row r="21" spans="1:7" ht="12.95" customHeight="1" x14ac:dyDescent="0.2">
      <c r="B21" s="76"/>
      <c r="C21" s="104"/>
    </row>
    <row r="22" spans="1:7" ht="12.95" customHeight="1" x14ac:dyDescent="0.2">
      <c r="B22" s="76"/>
      <c r="C22" s="104"/>
    </row>
    <row r="23" spans="1:7" ht="12.95" customHeight="1" x14ac:dyDescent="0.2">
      <c r="B23" s="76"/>
      <c r="C23" s="104"/>
    </row>
    <row r="24" spans="1:7" ht="12.95" customHeight="1" x14ac:dyDescent="0.2">
      <c r="B24" s="76"/>
      <c r="C24" s="104"/>
    </row>
    <row r="25" spans="1:7" ht="12.95" customHeight="1" x14ac:dyDescent="0.2">
      <c r="B25" s="76"/>
      <c r="C25" s="104"/>
    </row>
    <row r="26" spans="1:7" ht="12.95" customHeight="1" x14ac:dyDescent="0.2">
      <c r="B26" s="76"/>
      <c r="C26" s="104"/>
    </row>
    <row r="27" spans="1:7" ht="12.95" customHeight="1" x14ac:dyDescent="0.2">
      <c r="B27" s="76"/>
      <c r="C27" s="104"/>
    </row>
    <row r="28" spans="1:7" ht="12.95" customHeight="1" x14ac:dyDescent="0.2">
      <c r="B28" s="76"/>
      <c r="C28" s="104"/>
    </row>
    <row r="29" spans="1:7" ht="12.95" customHeight="1" x14ac:dyDescent="0.2">
      <c r="B29" s="76"/>
      <c r="C29" s="104"/>
    </row>
    <row r="30" spans="1:7" ht="12.95" customHeight="1" x14ac:dyDescent="0.2">
      <c r="B30" s="76"/>
      <c r="C30" s="104"/>
    </row>
    <row r="31" spans="1:7" ht="12.95" customHeight="1" x14ac:dyDescent="0.2">
      <c r="B31" s="76"/>
      <c r="C31" s="104"/>
    </row>
    <row r="32" spans="1:7" ht="12.95" customHeight="1" x14ac:dyDescent="0.2">
      <c r="B32" s="76"/>
      <c r="C32" s="104"/>
    </row>
    <row r="33" spans="2:3" ht="12.95" customHeight="1" x14ac:dyDescent="0.2">
      <c r="B33" s="76"/>
      <c r="C33" s="104"/>
    </row>
    <row r="34" spans="2:3" ht="12.95" customHeight="1" x14ac:dyDescent="0.2">
      <c r="B34" s="76"/>
      <c r="C34" s="104"/>
    </row>
    <row r="35" spans="2:3" ht="12.95" customHeight="1" x14ac:dyDescent="0.2">
      <c r="B35" s="76"/>
      <c r="C35" s="104"/>
    </row>
    <row r="36" spans="2:3" ht="12.95" customHeight="1" x14ac:dyDescent="0.2">
      <c r="B36" s="76"/>
      <c r="C36" s="104"/>
    </row>
    <row r="37" spans="2:3" ht="12.95" customHeight="1" x14ac:dyDescent="0.2">
      <c r="B37" s="76"/>
      <c r="C37" s="104"/>
    </row>
    <row r="38" spans="2:3" ht="12.95" customHeight="1" x14ac:dyDescent="0.2">
      <c r="B38" s="76"/>
      <c r="C38" s="104"/>
    </row>
    <row r="39" spans="2:3" ht="12.95" customHeight="1" x14ac:dyDescent="0.2">
      <c r="B39" s="76"/>
      <c r="C39" s="104"/>
    </row>
    <row r="40" spans="2:3" ht="12.95" customHeight="1" x14ac:dyDescent="0.2">
      <c r="B40" s="76"/>
      <c r="C40" s="104"/>
    </row>
    <row r="41" spans="2:3" ht="12.95" customHeight="1" x14ac:dyDescent="0.2">
      <c r="B41" s="76"/>
      <c r="C41" s="104"/>
    </row>
    <row r="42" spans="2:3" ht="12.95" customHeight="1" x14ac:dyDescent="0.2">
      <c r="B42" s="76"/>
      <c r="C42" s="104"/>
    </row>
    <row r="43" spans="2:3" ht="12.95" customHeight="1" x14ac:dyDescent="0.2">
      <c r="B43" s="76"/>
      <c r="C43" s="104"/>
    </row>
    <row r="44" spans="2:3" ht="12.95" customHeight="1" x14ac:dyDescent="0.2">
      <c r="B44" s="76"/>
      <c r="C44" s="104"/>
    </row>
    <row r="45" spans="2:3" ht="12.95" customHeight="1" x14ac:dyDescent="0.2">
      <c r="B45" s="76"/>
      <c r="C45" s="104"/>
    </row>
    <row r="46" spans="2:3" ht="12.95" customHeight="1" x14ac:dyDescent="0.2">
      <c r="B46" s="76"/>
      <c r="C46" s="104"/>
    </row>
    <row r="47" spans="2:3" ht="12.95" customHeight="1" x14ac:dyDescent="0.2">
      <c r="B47" s="76"/>
      <c r="C47" s="104"/>
    </row>
    <row r="48" spans="2:3" ht="12.95" customHeight="1" x14ac:dyDescent="0.2">
      <c r="B48" s="76"/>
      <c r="C48" s="104"/>
    </row>
    <row r="49" spans="2:3" ht="12.95" customHeight="1" x14ac:dyDescent="0.2">
      <c r="B49" s="76"/>
      <c r="C49" s="104"/>
    </row>
    <row r="50" spans="2:3" ht="12.95" customHeight="1" x14ac:dyDescent="0.2">
      <c r="B50" s="76"/>
      <c r="C50" s="104"/>
    </row>
    <row r="51" spans="2:3" ht="12.95" customHeight="1" x14ac:dyDescent="0.2">
      <c r="B51" s="76"/>
      <c r="C51" s="104"/>
    </row>
    <row r="52" spans="2:3" ht="12.95" customHeight="1" x14ac:dyDescent="0.2">
      <c r="B52" s="76"/>
      <c r="C52" s="104"/>
    </row>
    <row r="53" spans="2:3" ht="12.95" customHeight="1" x14ac:dyDescent="0.2">
      <c r="B53" s="76"/>
      <c r="C53" s="104"/>
    </row>
    <row r="54" spans="2:3" x14ac:dyDescent="0.2">
      <c r="B54" s="76"/>
      <c r="C54" s="104"/>
    </row>
    <row r="55" spans="2:3" x14ac:dyDescent="0.2">
      <c r="B55" s="76"/>
      <c r="C55" s="104"/>
    </row>
    <row r="56" spans="2:3" x14ac:dyDescent="0.2">
      <c r="B56" s="76"/>
      <c r="C56" s="104"/>
    </row>
    <row r="57" spans="2:3" x14ac:dyDescent="0.2">
      <c r="B57" s="76"/>
      <c r="C57" s="104"/>
    </row>
    <row r="58" spans="2:3" x14ac:dyDescent="0.2">
      <c r="B58" s="76"/>
      <c r="C58" s="104"/>
    </row>
    <row r="59" spans="2:3" x14ac:dyDescent="0.2">
      <c r="B59" s="76"/>
      <c r="C59" s="104"/>
    </row>
    <row r="60" spans="2:3" x14ac:dyDescent="0.2">
      <c r="B60" s="76"/>
      <c r="C60" s="104"/>
    </row>
    <row r="61" spans="2:3" x14ac:dyDescent="0.2">
      <c r="B61" s="76"/>
      <c r="C61" s="104"/>
    </row>
    <row r="62" spans="2:3" x14ac:dyDescent="0.2">
      <c r="B62" s="76"/>
      <c r="C62" s="104"/>
    </row>
    <row r="63" spans="2:3" x14ac:dyDescent="0.2">
      <c r="B63" s="76"/>
      <c r="C63" s="104"/>
    </row>
    <row r="64" spans="2:3" x14ac:dyDescent="0.2">
      <c r="B64" s="76"/>
      <c r="C64" s="104"/>
    </row>
    <row r="65" spans="2:3" x14ac:dyDescent="0.2">
      <c r="B65" s="76"/>
      <c r="C65" s="104"/>
    </row>
    <row r="66" spans="2:3" x14ac:dyDescent="0.2">
      <c r="B66" s="76"/>
      <c r="C66" s="104"/>
    </row>
    <row r="67" spans="2:3" x14ac:dyDescent="0.2">
      <c r="B67" s="76"/>
      <c r="C67" s="104"/>
    </row>
    <row r="68" spans="2:3" x14ac:dyDescent="0.2">
      <c r="B68" s="76"/>
      <c r="C68" s="104"/>
    </row>
    <row r="69" spans="2:3" x14ac:dyDescent="0.2">
      <c r="B69" s="76"/>
      <c r="C69" s="104"/>
    </row>
    <row r="70" spans="2:3" x14ac:dyDescent="0.2">
      <c r="B70" s="76"/>
      <c r="C70" s="104"/>
    </row>
    <row r="71" spans="2:3" x14ac:dyDescent="0.2">
      <c r="B71" s="76"/>
      <c r="C71" s="104"/>
    </row>
  </sheetData>
  <mergeCells count="2">
    <mergeCell ref="A5:G5"/>
    <mergeCell ref="A6:G6"/>
  </mergeCells>
  <pageMargins left="0.64" right="0.2" top="0.31" bottom="1" header="0.19" footer="0.5"/>
  <pageSetup paperSize="9" scale="10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16</vt:i4>
      </vt:variant>
    </vt:vector>
  </HeadingPairs>
  <TitlesOfParts>
    <vt:vector size="32" baseType="lpstr">
      <vt:lpstr>Összesítő</vt:lpstr>
      <vt:lpstr>1.Bev-kiad.</vt:lpstr>
      <vt:lpstr>2.működés</vt:lpstr>
      <vt:lpstr>3.felh</vt:lpstr>
      <vt:lpstr>4. Átadott p.eszk.</vt:lpstr>
      <vt:lpstr>5.Bev.össz.</vt:lpstr>
      <vt:lpstr>6.Kiad.össz.</vt:lpstr>
      <vt:lpstr>7.Önk.</vt:lpstr>
      <vt:lpstr>8.Többéves</vt:lpstr>
      <vt:lpstr>9.Adósság</vt:lpstr>
      <vt:lpstr>10.Likviditás</vt:lpstr>
      <vt:lpstr>11.Eu projekt</vt:lpstr>
      <vt:lpstr>12.Gördülő</vt:lpstr>
      <vt:lpstr>13.Mérlegszerű kimutatás</vt:lpstr>
      <vt:lpstr>14.Tartalék</vt:lpstr>
      <vt:lpstr>TKT ktgfelosztás tájékoztatásul</vt:lpstr>
      <vt:lpstr>'2.működés'!Nyomtatási_cím</vt:lpstr>
      <vt:lpstr>'5.Bev.össz.'!Nyomtatási_cím</vt:lpstr>
      <vt:lpstr>'6.Kiad.össz.'!Nyomtatási_cím</vt:lpstr>
      <vt:lpstr>'1.Bev-kiad.'!Nyomtatási_terület</vt:lpstr>
      <vt:lpstr>'10.Likviditás'!Nyomtatási_terület</vt:lpstr>
      <vt:lpstr>'11.Eu projekt'!Nyomtatási_terület</vt:lpstr>
      <vt:lpstr>'12.Gördülő'!Nyomtatási_terület</vt:lpstr>
      <vt:lpstr>'2.működés'!Nyomtatási_terület</vt:lpstr>
      <vt:lpstr>'3.felh'!Nyomtatási_terület</vt:lpstr>
      <vt:lpstr>'4. Átadott p.eszk.'!Nyomtatási_terület</vt:lpstr>
      <vt:lpstr>'5.Bev.össz.'!Nyomtatási_terület</vt:lpstr>
      <vt:lpstr>'6.Kiad.össz.'!Nyomtatási_terület</vt:lpstr>
      <vt:lpstr>'7.Önk.'!Nyomtatási_terület</vt:lpstr>
      <vt:lpstr>'8.Többéves'!Nyomtatási_terület</vt:lpstr>
      <vt:lpstr>'9.Adósság'!Nyomtatási_terület</vt:lpstr>
      <vt:lpstr>'TKT ktgfelosztás tájékoztatásul'!Nyomtatási_terület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MagorineA</cp:lastModifiedBy>
  <cp:lastPrinted>2025-02-26T12:08:54Z</cp:lastPrinted>
  <dcterms:created xsi:type="dcterms:W3CDTF">2009-11-11T14:39:35Z</dcterms:created>
  <dcterms:modified xsi:type="dcterms:W3CDTF">2025-02-26T12:09:17Z</dcterms:modified>
</cp:coreProperties>
</file>