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D:\2023\2023_BALATONFÖLDVÁR\2022_beszámoló_Bf\Besz előtti ei mód_Bf\"/>
    </mc:Choice>
  </mc:AlternateContent>
  <xr:revisionPtr revIDLastSave="0" documentId="13_ncr:1_{1C179D49-1AE7-4501-A958-4B8D61B5CF3C}" xr6:coauthVersionLast="47" xr6:coauthVersionMax="47" xr10:uidLastSave="{00000000-0000-0000-0000-000000000000}"/>
  <bookViews>
    <workbookView xWindow="-120" yWindow="-120" windowWidth="29040" windowHeight="15840" tabRatio="843" activeTab="7" xr2:uid="{00000000-000D-0000-FFFF-FFFF00000000}"/>
  </bookViews>
  <sheets>
    <sheet name="Összesítő" sheetId="96" r:id="rId1"/>
    <sheet name="1.Bev-kiad." sheetId="36" r:id="rId2"/>
    <sheet name="2.működés" sheetId="57" r:id="rId3"/>
    <sheet name="3.felh" sheetId="58" r:id="rId4"/>
    <sheet name="4. Átadott p.eszk." sheetId="39" r:id="rId5"/>
    <sheet name="5.Bev.össz" sheetId="99" r:id="rId6"/>
    <sheet name="6.Kiad.össz. " sheetId="80" r:id="rId7"/>
    <sheet name="7.finanszírozás." sheetId="81" r:id="rId8"/>
    <sheet name="8.Önk." sheetId="82" r:id="rId9"/>
    <sheet name="zöld város" sheetId="100" state="hidden" r:id="rId10"/>
    <sheet name="9.Hivatal" sheetId="83" r:id="rId11"/>
    <sheet name="10.Többéves, adósság" sheetId="52" r:id="rId12"/>
    <sheet name="12. Maradványkimutatás" sheetId="88" state="hidden" r:id="rId13"/>
    <sheet name="13.Mérleg" sheetId="94" state="hidden" r:id="rId14"/>
    <sheet name="14. Eredménykimutatás" sheetId="90" state="hidden" r:id="rId15"/>
    <sheet name="15. Vagyonkimutatás" sheetId="91" state="hidden" r:id="rId16"/>
    <sheet name="16. Előirányzat felh.terv" sheetId="92" state="hidden" r:id="rId17"/>
    <sheet name="17. Részesedések" sheetId="93" state="hidden" r:id="rId18"/>
    <sheet name="11.Likviditás" sheetId="53" r:id="rId19"/>
    <sheet name="12. gördülő tervezés" sheetId="97" state="hidden" r:id="rId20"/>
    <sheet name="12. Eu projekt" sheetId="56" state="hidden" r:id="rId21"/>
    <sheet name="14.mérlegszerű kimutatás" sheetId="102" state="hidden" r:id="rId22"/>
    <sheet name="Társulási fel. tájékoztatásul" sheetId="101" state="hidden" r:id="rId23"/>
    <sheet name="beruházások" sheetId="98" state="hidden" r:id="rId24"/>
    <sheet name="13.2.EU projekt részletesen" sheetId="95" state="hidden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1" hidden="1">'1.Bev-kiad.'!$B$1:$B$64</definedName>
    <definedName name="_xlnm._FilterDatabase" localSheetId="19" hidden="1">'12. gördülő tervezés'!$B$1:$B$64</definedName>
    <definedName name="_xlnm._FilterDatabase" localSheetId="2" hidden="1">'2.működés'!$B$1:$B$112</definedName>
    <definedName name="_xlnm._FilterDatabase" localSheetId="3" hidden="1">'3.felh'!$B$1:$B$43</definedName>
    <definedName name="_xlnm._FilterDatabase" localSheetId="23" hidden="1">beruházások!$B$1:$B$39</definedName>
    <definedName name="adfadf">'[1]4.1. táj.'!#REF!</definedName>
    <definedName name="beruh" localSheetId="20">'[1]4.1. táj.'!#REF!</definedName>
    <definedName name="beruh" localSheetId="19">'[1]4.1. táj.'!#REF!</definedName>
    <definedName name="beruh" localSheetId="2">'[1]4.1. táj.'!#REF!</definedName>
    <definedName name="beruh" localSheetId="3">'[1]4.1. táj.'!#REF!</definedName>
    <definedName name="beruh" localSheetId="6">'[1]4.1. táj.'!#REF!</definedName>
    <definedName name="beruh" localSheetId="7">'[1]4.1. táj.'!#REF!</definedName>
    <definedName name="beruh" localSheetId="8">'[1]4.1. táj.'!#REF!</definedName>
    <definedName name="beruh" localSheetId="10">'[1]4.1. táj.'!#REF!</definedName>
    <definedName name="beruh" localSheetId="23">'[1]4.1. táj.'!#REF!</definedName>
    <definedName name="beruh">'[1]4.1. táj.'!#REF!</definedName>
    <definedName name="intézmények" localSheetId="20">'[2]4.1. táj.'!#REF!</definedName>
    <definedName name="intézmények" localSheetId="19">'[2]4.1. táj.'!#REF!</definedName>
    <definedName name="intézmények" localSheetId="2">'[2]4.1. táj.'!#REF!</definedName>
    <definedName name="intézmények" localSheetId="3">'[2]4.1. táj.'!#REF!</definedName>
    <definedName name="intézmények" localSheetId="6">'[2]4.1. táj.'!#REF!</definedName>
    <definedName name="intézmények" localSheetId="7">'[2]4.1. táj.'!#REF!</definedName>
    <definedName name="intézmények" localSheetId="8">'[2]4.1. táj.'!#REF!</definedName>
    <definedName name="intézmények" localSheetId="10">'[2]4.1. táj.'!#REF!</definedName>
    <definedName name="intézmények" localSheetId="23">'[2]4.1. táj.'!#REF!</definedName>
    <definedName name="intézmények">'[2]4.1. táj.'!#REF!</definedName>
    <definedName name="_xlnm.Print_Titles" localSheetId="2">'2.működés'!$7:$7</definedName>
    <definedName name="_xlnm.Print_Titles" localSheetId="6">'6.Kiad.össz. '!$A:$A</definedName>
    <definedName name="_xlnm.Print_Titles" localSheetId="7">'7.finanszírozás.'!$7:$8</definedName>
    <definedName name="_xlnm.Print_Titles" localSheetId="8">'8.Önk.'!$A:$B,'8.Önk.'!$5:$10</definedName>
    <definedName name="_xlnm.Print_Titles" localSheetId="10">'9.Hivatal'!$8:$9</definedName>
    <definedName name="_xlnm.Print_Titles" localSheetId="0">Összesítő!$5:$7</definedName>
    <definedName name="_xlnm.Print_Area" localSheetId="1">'1.Bev-kiad.'!$A$1:$F$90</definedName>
    <definedName name="_xlnm.Print_Area" localSheetId="11">'10.Többéves, adósság'!$A$1:$O$30</definedName>
    <definedName name="_xlnm.Print_Area" localSheetId="18">'11.Likviditás'!$A$1:$N$31</definedName>
    <definedName name="_xlnm.Print_Area" localSheetId="20">'12. Eu projekt'!$A$1:$O$15</definedName>
    <definedName name="_xlnm.Print_Area" localSheetId="19">'12. gördülő tervezés'!$A$1:$G$85</definedName>
    <definedName name="_xlnm.Print_Area" localSheetId="12">'12. Maradványkimutatás'!$A$1:$E$15</definedName>
    <definedName name="_xlnm.Print_Area" localSheetId="15">'15. Vagyonkimutatás'!$A$1:$E$133</definedName>
    <definedName name="_xlnm.Print_Area" localSheetId="2">'2.működés'!$A$1:$O$137</definedName>
    <definedName name="_xlnm.Print_Area" localSheetId="3">'3.felh'!$A$1:$G$89</definedName>
    <definedName name="_xlnm.Print_Area" localSheetId="4">'4. Átadott p.eszk.'!$A$1:$E$83</definedName>
    <definedName name="_xlnm.Print_Area" localSheetId="6">'6.Kiad.össz. '!$A$1:$P$50</definedName>
    <definedName name="_xlnm.Print_Area" localSheetId="7">'7.finanszírozás.'!$A$1:$F$153</definedName>
    <definedName name="_xlnm.Print_Area" localSheetId="8">'8.Önk.'!$A$1:$BD$144</definedName>
    <definedName name="_xlnm.Print_Area" localSheetId="10">'9.Hivatal'!$A$1:$V$101</definedName>
    <definedName name="_xlnm.Print_Area" localSheetId="23">beruházások!$A$1:$H$109</definedName>
    <definedName name="_xlnm.Print_Area" localSheetId="0">Összesítő!$A$1:$F$182</definedName>
    <definedName name="_xlnm.Print_Area" localSheetId="22">'Társulási fel. tájékoztatásul'!$A$1:$S$38</definedName>
    <definedName name="qewrqewr" localSheetId="19">'[1]4.1. táj.'!#REF!</definedName>
    <definedName name="qewrqewr" localSheetId="6">'[1]4.1. táj.'!#REF!</definedName>
    <definedName name="qewrqewr" localSheetId="7">'[1]4.1. táj.'!#REF!</definedName>
    <definedName name="qewrqewr" localSheetId="8">'[1]4.1. táj.'!#REF!</definedName>
    <definedName name="qewrqewr" localSheetId="10">'[1]4.1. táj.'!#REF!</definedName>
    <definedName name="qewrqewr" localSheetId="23">'[1]4.1. táj.'!#REF!</definedName>
    <definedName name="qewrqewr">'[1]4.1. táj.'!#REF!</definedName>
    <definedName name="Z_ABF21C5C_6078_4D03_96DF_78390D4F8F84_.wvu.Cols" localSheetId="4" hidden="1">'4. Átadott p.eszk.'!#REF!,'4. Átadott p.eszk.'!$HS:$IV</definedName>
    <definedName name="Z_ABF21C5C_6078_4D03_96DF_78390D4F8F84_.wvu.FilterData" localSheetId="1" hidden="1">'1.Bev-kiad.'!$B$1:$B$64</definedName>
    <definedName name="Z_ABF21C5C_6078_4D03_96DF_78390D4F8F84_.wvu.FilterData" localSheetId="19" hidden="1">'12. gördülő tervezés'!$B$1:$B$64</definedName>
    <definedName name="Z_ABF21C5C_6078_4D03_96DF_78390D4F8F84_.wvu.FilterData" localSheetId="2" hidden="1">'2.működés'!$B$1:$B$112</definedName>
    <definedName name="Z_ABF21C5C_6078_4D03_96DF_78390D4F8F84_.wvu.FilterData" localSheetId="3" hidden="1">'3.felh'!$B$1:$B$43</definedName>
    <definedName name="Z_ABF21C5C_6078_4D03_96DF_78390D4F8F84_.wvu.FilterData" localSheetId="23" hidden="1">beruházások!$B$1:$B$39</definedName>
    <definedName name="Z_ABF21C5C_6078_4D03_96DF_78390D4F8F84_.wvu.PrintArea" localSheetId="1" hidden="1">'1.Bev-kiad.'!$B$1:$B$84</definedName>
    <definedName name="Z_ABF21C5C_6078_4D03_96DF_78390D4F8F84_.wvu.PrintArea" localSheetId="19" hidden="1">'12. gördülő tervezés'!$B$1:$B$83</definedName>
    <definedName name="Z_ABF21C5C_6078_4D03_96DF_78390D4F8F84_.wvu.PrintArea" localSheetId="2" hidden="1">'2.működés'!$B$1:$B$132</definedName>
    <definedName name="Z_ABF21C5C_6078_4D03_96DF_78390D4F8F84_.wvu.PrintArea" localSheetId="3" hidden="1">'3.felh'!$B$1:$B$78</definedName>
    <definedName name="Z_ABF21C5C_6078_4D03_96DF_78390D4F8F84_.wvu.PrintArea" localSheetId="4" hidden="1">'4. Átadott p.eszk.'!$A$1:$A$73</definedName>
    <definedName name="Z_ABF21C5C_6078_4D03_96DF_78390D4F8F84_.wvu.PrintArea" localSheetId="8" hidden="1">'8.Önk.'!$B$1:$B$7</definedName>
    <definedName name="Z_ABF21C5C_6078_4D03_96DF_78390D4F8F84_.wvu.PrintArea" localSheetId="10" hidden="1">'9.Hivatal'!$B$1:$B$6</definedName>
    <definedName name="Z_ABF21C5C_6078_4D03_96DF_78390D4F8F84_.wvu.PrintArea" localSheetId="23" hidden="1">beruházások!$B$1:$B$93</definedName>
    <definedName name="Z_ABF21C5C_6078_4D03_96DF_78390D4F8F84_.wvu.Rows" localSheetId="1" hidden="1">'1.Bev-kiad.'!#REF!</definedName>
    <definedName name="Z_ABF21C5C_6078_4D03_96DF_78390D4F8F84_.wvu.Rows" localSheetId="19" hidden="1">'12. gördülő tervezés'!#REF!</definedName>
    <definedName name="Z_ABF21C5C_6078_4D03_96DF_78390D4F8F84_.wvu.Rows" localSheetId="2" hidden="1">'2.működés'!#REF!</definedName>
    <definedName name="Z_ABF21C5C_6078_4D03_96DF_78390D4F8F84_.wvu.Rows" localSheetId="3" hidden="1">'3.felh'!#REF!</definedName>
    <definedName name="Z_ABF21C5C_6078_4D03_96DF_78390D4F8F84_.wvu.Rows" localSheetId="4" hidden="1">'4. Átadott p.eszk.'!#REF!,'4. Átadott p.eszk.'!#REF!,'4. Átadott p.eszk.'!#REF!,'4. Átadott p.eszk.'!#REF!,'4. Átadott p.eszk.'!#REF!</definedName>
    <definedName name="Z_ABF21C5C_6078_4D03_96DF_78390D4F8F84_.wvu.Rows" localSheetId="8" hidden="1">'8.Önk.'!#REF!,'8.Önk.'!#REF!</definedName>
    <definedName name="Z_ABF21C5C_6078_4D03_96DF_78390D4F8F84_.wvu.Rows" localSheetId="10" hidden="1">'9.Hivatal'!#REF!,'9.Hivatal'!#REF!</definedName>
    <definedName name="Z_ABF21C5C_6078_4D03_96DF_78390D4F8F84_.wvu.Rows" localSheetId="23" hidden="1">beruházások!#REF!</definedName>
  </definedNames>
  <calcPr calcId="181029"/>
  <customWorkbookViews>
    <customWorkbookView name="Belovics Emilné - Egyéni látvány" guid="{ABF21C5C-6078-4D03-96DF-78390D4F8F84}" mergeInterval="0" personalView="1" maximized="1" windowWidth="1020" windowHeight="625" activeSheetId="1" showStatusbar="0"/>
  </customWorkbookViews>
</workbook>
</file>

<file path=xl/calcChain.xml><?xml version="1.0" encoding="utf-8"?>
<calcChain xmlns="http://schemas.openxmlformats.org/spreadsheetml/2006/main">
  <c r="C150" i="81" l="1"/>
  <c r="C122" i="81"/>
  <c r="N17" i="53"/>
  <c r="G27" i="52"/>
  <c r="F38" i="81" l="1"/>
  <c r="F43" i="81"/>
  <c r="B42" i="81"/>
  <c r="M18" i="80" l="1"/>
  <c r="L18" i="80"/>
  <c r="K18" i="80"/>
  <c r="F24" i="80"/>
  <c r="F125" i="57"/>
  <c r="D154" i="96"/>
  <c r="D51" i="96"/>
  <c r="F93" i="57"/>
  <c r="B40" i="99"/>
  <c r="C40" i="99"/>
  <c r="E40" i="99"/>
  <c r="D146" i="96" l="1"/>
  <c r="D175" i="96"/>
  <c r="D178" i="96"/>
  <c r="AJ97" i="82"/>
  <c r="U94" i="82"/>
  <c r="F94" i="82"/>
  <c r="F90" i="82"/>
  <c r="AJ88" i="82"/>
  <c r="Z88" i="82"/>
  <c r="U88" i="82"/>
  <c r="P88" i="82"/>
  <c r="K88" i="82"/>
  <c r="F88" i="82"/>
  <c r="F86" i="82"/>
  <c r="Z86" i="82"/>
  <c r="Z85" i="82"/>
  <c r="K85" i="82"/>
  <c r="AY79" i="82"/>
  <c r="F82" i="82"/>
  <c r="U81" i="82"/>
  <c r="P82" i="82"/>
  <c r="K80" i="82"/>
  <c r="F81" i="82"/>
  <c r="F78" i="82"/>
  <c r="F77" i="82"/>
  <c r="F75" i="82"/>
  <c r="F73" i="82"/>
  <c r="Z66" i="82"/>
  <c r="Z49" i="82"/>
  <c r="Z50" i="82"/>
  <c r="U49" i="82"/>
  <c r="F49" i="82"/>
  <c r="AY49" i="82"/>
  <c r="F48" i="82"/>
  <c r="P48" i="82"/>
  <c r="D156" i="96" l="1"/>
  <c r="Z46" i="82"/>
  <c r="P46" i="82"/>
  <c r="F46" i="82"/>
  <c r="AY43" i="82"/>
  <c r="Z43" i="82"/>
  <c r="F43" i="82"/>
  <c r="AE40" i="82"/>
  <c r="Z38" i="82"/>
  <c r="Z35" i="82"/>
  <c r="U39" i="82"/>
  <c r="U35" i="82"/>
  <c r="K40" i="82"/>
  <c r="K35" i="82"/>
  <c r="F40" i="82"/>
  <c r="F38" i="82"/>
  <c r="F37" i="82"/>
  <c r="F36" i="82"/>
  <c r="F35" i="82"/>
  <c r="F34" i="82"/>
  <c r="Z29" i="82"/>
  <c r="Z31" i="82"/>
  <c r="AE31" i="82"/>
  <c r="F26" i="82"/>
  <c r="AY25" i="82"/>
  <c r="Z12" i="82"/>
  <c r="F31" i="82"/>
  <c r="D91" i="96"/>
  <c r="F24" i="82"/>
  <c r="K23" i="82"/>
  <c r="F19" i="82"/>
  <c r="AE12" i="82"/>
  <c r="J93" i="57"/>
  <c r="F88" i="57"/>
  <c r="F45" i="96"/>
  <c r="F40" i="96"/>
  <c r="F41" i="96"/>
  <c r="F28" i="96"/>
  <c r="E30" i="96" l="1"/>
  <c r="F73" i="83"/>
  <c r="F68" i="83"/>
  <c r="F66" i="83"/>
  <c r="F65" i="83"/>
  <c r="K60" i="83"/>
  <c r="F64" i="83"/>
  <c r="F34" i="83"/>
  <c r="F37" i="83"/>
  <c r="F35" i="83"/>
  <c r="E75" i="96" l="1"/>
  <c r="P11" i="83"/>
  <c r="F11" i="83"/>
  <c r="F58" i="57"/>
  <c r="F85" i="57" l="1"/>
  <c r="F81" i="57"/>
  <c r="F78" i="57"/>
  <c r="F76" i="57"/>
  <c r="K60" i="57"/>
  <c r="K63" i="57"/>
  <c r="I68" i="57"/>
  <c r="F68" i="57"/>
  <c r="I65" i="57"/>
  <c r="K65" i="57" s="1"/>
  <c r="F26" i="83" l="1"/>
  <c r="E95" i="96"/>
  <c r="F29" i="83"/>
  <c r="F78" i="83"/>
  <c r="F65" i="57" l="1"/>
  <c r="U97" i="83"/>
  <c r="F81" i="58"/>
  <c r="H89" i="57"/>
  <c r="H90" i="57"/>
  <c r="H91" i="57"/>
  <c r="H95" i="57"/>
  <c r="H96" i="57"/>
  <c r="H97" i="57"/>
  <c r="H99" i="57"/>
  <c r="H83" i="57"/>
  <c r="G50" i="39"/>
  <c r="G51" i="39"/>
  <c r="G52" i="39"/>
  <c r="G53" i="39"/>
  <c r="G55" i="39"/>
  <c r="G56" i="39"/>
  <c r="F98" i="57" l="1"/>
  <c r="H98" i="57" s="1"/>
  <c r="I9" i="36"/>
  <c r="H10" i="36"/>
  <c r="H11" i="36"/>
  <c r="H12" i="36"/>
  <c r="H13" i="36"/>
  <c r="H14" i="36"/>
  <c r="H15" i="36"/>
  <c r="H17" i="36"/>
  <c r="H18" i="36"/>
  <c r="H19" i="36"/>
  <c r="H20" i="36"/>
  <c r="H21" i="36"/>
  <c r="H23" i="36"/>
  <c r="H24" i="36"/>
  <c r="H25" i="36"/>
  <c r="H26" i="36"/>
  <c r="H27" i="36"/>
  <c r="H28" i="36"/>
  <c r="H30" i="36"/>
  <c r="H31" i="36"/>
  <c r="H32" i="36"/>
  <c r="H33" i="36"/>
  <c r="H34" i="36"/>
  <c r="H35" i="36"/>
  <c r="H36" i="36"/>
  <c r="H37" i="36"/>
  <c r="H38" i="36"/>
  <c r="H39" i="36"/>
  <c r="H41" i="36"/>
  <c r="H42" i="36"/>
  <c r="H43" i="36"/>
  <c r="H44" i="36"/>
  <c r="H45" i="36"/>
  <c r="H47" i="36"/>
  <c r="H48" i="36"/>
  <c r="H49" i="36"/>
  <c r="H51" i="36"/>
  <c r="H52" i="36"/>
  <c r="H53" i="36"/>
  <c r="H61" i="36"/>
  <c r="F65" i="82" l="1"/>
  <c r="F64" i="82"/>
  <c r="H113" i="82"/>
  <c r="M113" i="82" s="1"/>
  <c r="F53" i="58"/>
  <c r="E62" i="39"/>
  <c r="AY86" i="82"/>
  <c r="AY82" i="82"/>
  <c r="Z51" i="82"/>
  <c r="F44" i="82"/>
  <c r="U46" i="82"/>
  <c r="K31" i="82"/>
  <c r="F29" i="82"/>
  <c r="AE29" i="82"/>
  <c r="AY29" i="82"/>
  <c r="K29" i="82"/>
  <c r="F27" i="82"/>
  <c r="BA15" i="82"/>
  <c r="BB15" i="82"/>
  <c r="BC15" i="82"/>
  <c r="BD15" i="82"/>
  <c r="AY17" i="82"/>
  <c r="K13" i="82"/>
  <c r="K12" i="82"/>
  <c r="BF15" i="82" l="1"/>
  <c r="I64" i="57"/>
  <c r="K64" i="57" s="1"/>
  <c r="I62" i="57"/>
  <c r="K62" i="57" s="1"/>
  <c r="F23" i="57"/>
  <c r="I33" i="57"/>
  <c r="K33" i="57" s="1"/>
  <c r="F12" i="83" l="1"/>
  <c r="X87" i="83"/>
  <c r="X94" i="83"/>
  <c r="X95" i="83"/>
  <c r="X97" i="83"/>
  <c r="X102" i="83"/>
  <c r="F39" i="83"/>
  <c r="U40" i="83"/>
  <c r="X40" i="83" s="1"/>
  <c r="T40" i="83"/>
  <c r="S40" i="83"/>
  <c r="R40" i="83"/>
  <c r="P29" i="83"/>
  <c r="F21" i="83"/>
  <c r="F80" i="96"/>
  <c r="F144" i="96"/>
  <c r="F113" i="96"/>
  <c r="F96" i="96"/>
  <c r="E31" i="96"/>
  <c r="F62" i="57"/>
  <c r="G16" i="39" l="1"/>
  <c r="E17" i="39"/>
  <c r="G17" i="39" s="1"/>
  <c r="F33" i="57" l="1"/>
  <c r="D59" i="57"/>
  <c r="F64" i="57"/>
  <c r="I58" i="57"/>
  <c r="I56" i="57"/>
  <c r="F56" i="57"/>
  <c r="F37" i="57"/>
  <c r="I37" i="57"/>
  <c r="I59" i="57" l="1"/>
  <c r="F31" i="57"/>
  <c r="F29" i="57"/>
  <c r="J31" i="57"/>
  <c r="J29" i="57"/>
  <c r="J23" i="57"/>
  <c r="I73" i="57" l="1"/>
  <c r="K59" i="57"/>
  <c r="U92" i="83"/>
  <c r="U96" i="83"/>
  <c r="U98" i="83"/>
  <c r="U12" i="83"/>
  <c r="U13" i="83"/>
  <c r="U14" i="83"/>
  <c r="U16" i="83"/>
  <c r="U18" i="83"/>
  <c r="U20" i="83"/>
  <c r="U21" i="83"/>
  <c r="U23" i="83"/>
  <c r="U24" i="83"/>
  <c r="U26" i="83"/>
  <c r="U33" i="83"/>
  <c r="U34" i="83"/>
  <c r="U35" i="83"/>
  <c r="U39" i="83"/>
  <c r="U41" i="83"/>
  <c r="U43" i="83"/>
  <c r="U44" i="83"/>
  <c r="U48" i="83"/>
  <c r="U49" i="83"/>
  <c r="U52" i="83"/>
  <c r="U53" i="83"/>
  <c r="U54" i="83"/>
  <c r="U55" i="83"/>
  <c r="U57" i="83"/>
  <c r="U58" i="83"/>
  <c r="U59" i="83"/>
  <c r="U61" i="83"/>
  <c r="U63" i="83"/>
  <c r="U65" i="83"/>
  <c r="U66" i="83"/>
  <c r="U67" i="83"/>
  <c r="U68" i="83"/>
  <c r="U69" i="83"/>
  <c r="U70" i="83"/>
  <c r="U71" i="83"/>
  <c r="U73" i="83"/>
  <c r="U74" i="83"/>
  <c r="U75" i="83"/>
  <c r="U76" i="83"/>
  <c r="U77" i="83"/>
  <c r="U78" i="83"/>
  <c r="U80" i="83"/>
  <c r="U83" i="83"/>
  <c r="U84" i="83"/>
  <c r="U90" i="83"/>
  <c r="Q86" i="83"/>
  <c r="Q81" i="83"/>
  <c r="Q72" i="83" s="1"/>
  <c r="Q69" i="83"/>
  <c r="Q67" i="83"/>
  <c r="Q62" i="83"/>
  <c r="Q47" i="83"/>
  <c r="Q42" i="83" s="1"/>
  <c r="Q38" i="83"/>
  <c r="Q37" i="83"/>
  <c r="Q35" i="83"/>
  <c r="Q31" i="83"/>
  <c r="Q29" i="83"/>
  <c r="Q22" i="83"/>
  <c r="Q17" i="83"/>
  <c r="Q16" i="83"/>
  <c r="Q15" i="83"/>
  <c r="Q11" i="83"/>
  <c r="P86" i="83"/>
  <c r="P81" i="83"/>
  <c r="P69" i="83"/>
  <c r="P67" i="83"/>
  <c r="P62" i="83"/>
  <c r="P47" i="83"/>
  <c r="P42" i="83"/>
  <c r="P38" i="83"/>
  <c r="U38" i="83" s="1"/>
  <c r="P37" i="83"/>
  <c r="P35" i="83"/>
  <c r="P31" i="83"/>
  <c r="P22" i="83"/>
  <c r="P17" i="83"/>
  <c r="P16" i="83"/>
  <c r="P15" i="83"/>
  <c r="U15" i="83" s="1"/>
  <c r="P28" i="83"/>
  <c r="L86" i="83"/>
  <c r="L72" i="83"/>
  <c r="L69" i="83"/>
  <c r="L65" i="83"/>
  <c r="L64" i="83"/>
  <c r="L62" i="83"/>
  <c r="L60" i="83"/>
  <c r="L42" i="83"/>
  <c r="L32" i="83"/>
  <c r="L29" i="83"/>
  <c r="L31" i="83" s="1"/>
  <c r="L27" i="83"/>
  <c r="L22" i="83"/>
  <c r="L17" i="83"/>
  <c r="L16" i="83"/>
  <c r="L11" i="83"/>
  <c r="K86" i="83"/>
  <c r="K72" i="83"/>
  <c r="K69" i="83"/>
  <c r="K65" i="83"/>
  <c r="K64" i="83"/>
  <c r="K62" i="83"/>
  <c r="K42" i="83"/>
  <c r="K32" i="83"/>
  <c r="K29" i="83"/>
  <c r="K31" i="83" s="1"/>
  <c r="K27" i="83"/>
  <c r="U27" i="83" s="1"/>
  <c r="K22" i="83"/>
  <c r="K17" i="83"/>
  <c r="K16" i="83"/>
  <c r="K11" i="83"/>
  <c r="F88" i="83"/>
  <c r="U88" i="83" s="1"/>
  <c r="F86" i="83"/>
  <c r="F79" i="83"/>
  <c r="U79" i="83" s="1"/>
  <c r="F72" i="83"/>
  <c r="F69" i="83"/>
  <c r="F62" i="83"/>
  <c r="U62" i="83" s="1"/>
  <c r="F61" i="83"/>
  <c r="F60" i="83"/>
  <c r="U60" i="83" s="1"/>
  <c r="F57" i="83"/>
  <c r="F56" i="83"/>
  <c r="F55" i="83"/>
  <c r="F51" i="83"/>
  <c r="U51" i="83" s="1"/>
  <c r="F47" i="83"/>
  <c r="U47" i="83" s="1"/>
  <c r="F46" i="83"/>
  <c r="U46" i="83" s="1"/>
  <c r="F45" i="83"/>
  <c r="U45" i="83" s="1"/>
  <c r="F44" i="83"/>
  <c r="F36" i="83"/>
  <c r="U36" i="83" s="1"/>
  <c r="F33" i="83"/>
  <c r="F30" i="83"/>
  <c r="U30" i="83" s="1"/>
  <c r="F25" i="83"/>
  <c r="U25" i="83" s="1"/>
  <c r="F24" i="83"/>
  <c r="F22" i="83"/>
  <c r="U22" i="83" s="1"/>
  <c r="F20" i="83"/>
  <c r="F19" i="83"/>
  <c r="U19" i="83" s="1"/>
  <c r="F18" i="83"/>
  <c r="F17" i="83"/>
  <c r="F16" i="83"/>
  <c r="BD46" i="82"/>
  <c r="BD48" i="82"/>
  <c r="BD49" i="82"/>
  <c r="BD50" i="82"/>
  <c r="BD52" i="82"/>
  <c r="BD53" i="82"/>
  <c r="BD58" i="82"/>
  <c r="BD60" i="82"/>
  <c r="BD61" i="82"/>
  <c r="BD63" i="82"/>
  <c r="BD64" i="82"/>
  <c r="BD65" i="82"/>
  <c r="BD66" i="82"/>
  <c r="BD67" i="82"/>
  <c r="BD68" i="82"/>
  <c r="BD69" i="82"/>
  <c r="BD70" i="82"/>
  <c r="AY94" i="82"/>
  <c r="AY91" i="82"/>
  <c r="AY88" i="82"/>
  <c r="AY84" i="82"/>
  <c r="AY45" i="82"/>
  <c r="AY42" i="82"/>
  <c r="AY34" i="82"/>
  <c r="AY33" i="82" s="1"/>
  <c r="AY32" i="82"/>
  <c r="AY18" i="82"/>
  <c r="AY12" i="82"/>
  <c r="AY11" i="82" s="1"/>
  <c r="AT94" i="82"/>
  <c r="AT88" i="82"/>
  <c r="AT87" i="82" s="1"/>
  <c r="AT84" i="82"/>
  <c r="AT45" i="82"/>
  <c r="AT44" i="82"/>
  <c r="AT42" i="82" s="1"/>
  <c r="AT39" i="82"/>
  <c r="AT33" i="82" s="1"/>
  <c r="AT32" i="82"/>
  <c r="AT18" i="82"/>
  <c r="AT11" i="82"/>
  <c r="AT28" i="82" s="1"/>
  <c r="AO87" i="82"/>
  <c r="AO84" i="82"/>
  <c r="AO45" i="82"/>
  <c r="AO42" i="82"/>
  <c r="AO33" i="82"/>
  <c r="AO32" i="82"/>
  <c r="AO18" i="82"/>
  <c r="AO11" i="82"/>
  <c r="AO28" i="82" s="1"/>
  <c r="AJ87" i="82"/>
  <c r="AJ84" i="82"/>
  <c r="AJ82" i="82"/>
  <c r="AJ45" i="82" s="1"/>
  <c r="AJ42" i="82"/>
  <c r="AJ33" i="82"/>
  <c r="AJ32" i="82"/>
  <c r="AJ18" i="82"/>
  <c r="AJ11" i="82"/>
  <c r="AF88" i="82"/>
  <c r="AF87" i="82" s="1"/>
  <c r="AF84" i="82"/>
  <c r="AF47" i="82"/>
  <c r="AF45" i="82" s="1"/>
  <c r="AF42" i="82"/>
  <c r="AF33" i="82"/>
  <c r="AF29" i="82"/>
  <c r="AF32" i="82" s="1"/>
  <c r="AF23" i="82"/>
  <c r="AF18" i="82"/>
  <c r="AF11" i="82"/>
  <c r="AE88" i="82"/>
  <c r="AE87" i="82" s="1"/>
  <c r="AE84" i="82"/>
  <c r="AE47" i="82"/>
  <c r="AE42" i="82"/>
  <c r="AE33" i="82"/>
  <c r="AE32" i="82"/>
  <c r="AE23" i="82"/>
  <c r="AE18" i="82"/>
  <c r="AE11" i="82"/>
  <c r="Z84" i="82"/>
  <c r="Z82" i="82"/>
  <c r="Z80" i="82"/>
  <c r="Z76" i="82"/>
  <c r="Z44" i="82"/>
  <c r="Z42" i="82"/>
  <c r="Z39" i="82"/>
  <c r="Z33" i="82"/>
  <c r="Z32" i="82"/>
  <c r="Z18" i="82"/>
  <c r="Z17" i="82"/>
  <c r="U87" i="82"/>
  <c r="U84" i="82"/>
  <c r="U62" i="82"/>
  <c r="BD62" i="82" s="1"/>
  <c r="U60" i="82"/>
  <c r="U59" i="82"/>
  <c r="BD59" i="82" s="1"/>
  <c r="U57" i="82"/>
  <c r="BD57" i="82" s="1"/>
  <c r="U52" i="82"/>
  <c r="U45" i="82" s="1"/>
  <c r="U44" i="82"/>
  <c r="U42" i="82" s="1"/>
  <c r="U34" i="82"/>
  <c r="U33" i="82" s="1"/>
  <c r="U32" i="82"/>
  <c r="U18" i="82"/>
  <c r="U11" i="82"/>
  <c r="P87" i="82"/>
  <c r="P84" i="82"/>
  <c r="P45" i="82"/>
  <c r="P42" i="82"/>
  <c r="P33" i="82"/>
  <c r="P32" i="82"/>
  <c r="P18" i="82"/>
  <c r="P28" i="82" s="1"/>
  <c r="P11" i="82"/>
  <c r="K87" i="82"/>
  <c r="K84" i="82"/>
  <c r="K76" i="82"/>
  <c r="K45" i="82" s="1"/>
  <c r="K42" i="82"/>
  <c r="K39" i="82"/>
  <c r="K36" i="82"/>
  <c r="BD36" i="82" s="1"/>
  <c r="K32" i="82"/>
  <c r="K18" i="82"/>
  <c r="K17" i="82"/>
  <c r="K11" i="82" s="1"/>
  <c r="F97" i="82"/>
  <c r="F93" i="82"/>
  <c r="F89" i="82"/>
  <c r="F87" i="82"/>
  <c r="F84" i="82"/>
  <c r="F83" i="82"/>
  <c r="F80" i="82"/>
  <c r="F76" i="82"/>
  <c r="F71" i="82"/>
  <c r="F68" i="82"/>
  <c r="F66" i="82"/>
  <c r="F56" i="82"/>
  <c r="BD56" i="82" s="1"/>
  <c r="F55" i="82"/>
  <c r="BD55" i="82" s="1"/>
  <c r="F54" i="82"/>
  <c r="BD54" i="82" s="1"/>
  <c r="F51" i="82"/>
  <c r="BD51" i="82" s="1"/>
  <c r="F45" i="82"/>
  <c r="F42" i="82"/>
  <c r="F39" i="82"/>
  <c r="F33" i="82" s="1"/>
  <c r="F32" i="82"/>
  <c r="F25" i="82"/>
  <c r="F23" i="82"/>
  <c r="F22" i="82"/>
  <c r="F20" i="82"/>
  <c r="F11" i="82"/>
  <c r="F68" i="36"/>
  <c r="E70" i="39"/>
  <c r="E68" i="39" s="1"/>
  <c r="E63" i="39"/>
  <c r="E54" i="39"/>
  <c r="E46" i="39"/>
  <c r="E45" i="39" s="1"/>
  <c r="E36" i="39"/>
  <c r="E35" i="39"/>
  <c r="E34" i="39"/>
  <c r="E19" i="39" s="1"/>
  <c r="E15" i="39"/>
  <c r="E12" i="39"/>
  <c r="G84" i="58"/>
  <c r="G83" i="58"/>
  <c r="G81" i="58"/>
  <c r="G78" i="58" s="1"/>
  <c r="G75" i="58"/>
  <c r="G72" i="58"/>
  <c r="G70" i="58"/>
  <c r="G67" i="58"/>
  <c r="G63" i="58"/>
  <c r="G57" i="58"/>
  <c r="G52" i="58"/>
  <c r="G50" i="58"/>
  <c r="G46" i="58"/>
  <c r="G40" i="58"/>
  <c r="G39" i="58"/>
  <c r="G38" i="58"/>
  <c r="G37" i="58"/>
  <c r="G36" i="58" s="1"/>
  <c r="G35" i="58" s="1"/>
  <c r="G31" i="58"/>
  <c r="G28" i="58"/>
  <c r="G27" i="58"/>
  <c r="G23" i="58"/>
  <c r="G22" i="58" s="1"/>
  <c r="G13" i="58" s="1"/>
  <c r="G14" i="58"/>
  <c r="F84" i="58"/>
  <c r="F83" i="58" s="1"/>
  <c r="F78" i="58"/>
  <c r="F75" i="58"/>
  <c r="F72" i="58"/>
  <c r="F70" i="58"/>
  <c r="F69" i="58" s="1"/>
  <c r="F67" i="58"/>
  <c r="F63" i="58"/>
  <c r="F57" i="58"/>
  <c r="F52" i="58"/>
  <c r="F50" i="58" s="1"/>
  <c r="F46" i="58"/>
  <c r="F40" i="58"/>
  <c r="F39" i="58"/>
  <c r="F38" i="58"/>
  <c r="F37" i="58"/>
  <c r="F36" i="58" s="1"/>
  <c r="F35" i="58" s="1"/>
  <c r="F31" i="58"/>
  <c r="F28" i="58"/>
  <c r="F27" i="58"/>
  <c r="F23" i="58"/>
  <c r="F22" i="58" s="1"/>
  <c r="F14" i="58"/>
  <c r="G107" i="57"/>
  <c r="G104" i="57"/>
  <c r="G103" i="57"/>
  <c r="G102" i="57" s="1"/>
  <c r="G101" i="57" s="1"/>
  <c r="G94" i="57"/>
  <c r="G93" i="57"/>
  <c r="G92" i="57"/>
  <c r="G88" i="57"/>
  <c r="G87" i="57"/>
  <c r="G86" i="57"/>
  <c r="G85" i="57"/>
  <c r="G82" i="57" s="1"/>
  <c r="G84" i="57"/>
  <c r="G81" i="57"/>
  <c r="G80" i="57"/>
  <c r="G78" i="57"/>
  <c r="G73" i="57"/>
  <c r="G68" i="57"/>
  <c r="G62" i="57"/>
  <c r="G61" i="57"/>
  <c r="G59" i="57"/>
  <c r="G58" i="57"/>
  <c r="G56" i="57"/>
  <c r="G52" i="57"/>
  <c r="G50" i="57" s="1"/>
  <c r="G44" i="57"/>
  <c r="G40" i="57"/>
  <c r="G37" i="57"/>
  <c r="G35" i="57" s="1"/>
  <c r="G34" i="57" s="1"/>
  <c r="G31" i="57"/>
  <c r="G30" i="57" s="1"/>
  <c r="G29" i="57"/>
  <c r="G28" i="57" s="1"/>
  <c r="G27" i="57"/>
  <c r="G23" i="57"/>
  <c r="G18" i="57"/>
  <c r="G17" i="57"/>
  <c r="G15" i="57"/>
  <c r="G14" i="57"/>
  <c r="G13" i="57"/>
  <c r="F107" i="57"/>
  <c r="F104" i="57"/>
  <c r="F103" i="57"/>
  <c r="F102" i="57" s="1"/>
  <c r="F101" i="57" s="1"/>
  <c r="F94" i="57"/>
  <c r="D19" i="99" s="1"/>
  <c r="F92" i="57"/>
  <c r="F87" i="57"/>
  <c r="F82" i="57" s="1"/>
  <c r="F86" i="57"/>
  <c r="F84" i="57"/>
  <c r="F80" i="57"/>
  <c r="F73" i="57"/>
  <c r="F61" i="57"/>
  <c r="F59" i="57"/>
  <c r="F52" i="57"/>
  <c r="F50" i="57" s="1"/>
  <c r="F44" i="57"/>
  <c r="F40" i="57"/>
  <c r="F35" i="57"/>
  <c r="F34" i="57"/>
  <c r="E13" i="39" s="1"/>
  <c r="F30" i="57"/>
  <c r="F28" i="57"/>
  <c r="F27" i="57"/>
  <c r="E14" i="39" s="1"/>
  <c r="F18" i="57"/>
  <c r="F17" i="57"/>
  <c r="F15" i="57"/>
  <c r="F14" i="57"/>
  <c r="F13" i="57"/>
  <c r="F57" i="57" l="1"/>
  <c r="G77" i="57"/>
  <c r="G26" i="57"/>
  <c r="G24" i="57" s="1"/>
  <c r="D30" i="52"/>
  <c r="F13" i="58"/>
  <c r="F28" i="83"/>
  <c r="U11" i="83"/>
  <c r="U28" i="83" s="1"/>
  <c r="U81" i="83"/>
  <c r="P72" i="83"/>
  <c r="F50" i="83"/>
  <c r="U56" i="83"/>
  <c r="G57" i="57"/>
  <c r="F42" i="83"/>
  <c r="U42" i="83" s="1"/>
  <c r="K28" i="83"/>
  <c r="U37" i="83"/>
  <c r="P32" i="83"/>
  <c r="Q32" i="83"/>
  <c r="U29" i="83"/>
  <c r="F12" i="57"/>
  <c r="F11" i="57" s="1"/>
  <c r="U91" i="83"/>
  <c r="G12" i="57"/>
  <c r="G11" i="57" s="1"/>
  <c r="BD47" i="82"/>
  <c r="AE45" i="82"/>
  <c r="AT96" i="82"/>
  <c r="U17" i="83"/>
  <c r="U31" i="83"/>
  <c r="K50" i="83"/>
  <c r="U64" i="83"/>
  <c r="U86" i="83"/>
  <c r="G69" i="57"/>
  <c r="E49" i="39"/>
  <c r="F77" i="57"/>
  <c r="F69" i="57" s="1"/>
  <c r="F25" i="58"/>
  <c r="F8" i="58" s="1"/>
  <c r="F42" i="58" s="1"/>
  <c r="G25" i="58"/>
  <c r="G69" i="58"/>
  <c r="G66" i="58" s="1"/>
  <c r="E57" i="39"/>
  <c r="U72" i="83"/>
  <c r="Q28" i="83"/>
  <c r="G43" i="57"/>
  <c r="G10" i="57" s="1"/>
  <c r="G9" i="57" s="1"/>
  <c r="G8" i="57" s="1"/>
  <c r="F18" i="82"/>
  <c r="F28" i="82" s="1"/>
  <c r="U28" i="82"/>
  <c r="Z11" i="82"/>
  <c r="Z28" i="82" s="1"/>
  <c r="AF28" i="82"/>
  <c r="AY87" i="82"/>
  <c r="F32" i="83"/>
  <c r="Q50" i="83"/>
  <c r="U93" i="83"/>
  <c r="D13" i="81" s="1"/>
  <c r="B39" i="99" s="1"/>
  <c r="K33" i="82"/>
  <c r="K96" i="82" s="1"/>
  <c r="AE28" i="82"/>
  <c r="AE96" i="82"/>
  <c r="AJ28" i="82"/>
  <c r="AO96" i="82"/>
  <c r="AO99" i="82" s="1"/>
  <c r="AO101" i="82" s="1"/>
  <c r="F31" i="83"/>
  <c r="L28" i="83"/>
  <c r="L50" i="83"/>
  <c r="L82" i="83" s="1"/>
  <c r="L89" i="83" s="1"/>
  <c r="P50" i="83"/>
  <c r="G45" i="58"/>
  <c r="G44" i="58" s="1"/>
  <c r="AJ96" i="82"/>
  <c r="AJ99" i="82" s="1"/>
  <c r="AJ101" i="82" s="1"/>
  <c r="U96" i="82"/>
  <c r="U99" i="82" s="1"/>
  <c r="U101" i="82" s="1"/>
  <c r="P96" i="82"/>
  <c r="P99" i="82" s="1"/>
  <c r="P101" i="82" s="1"/>
  <c r="F96" i="82"/>
  <c r="AY28" i="82"/>
  <c r="U32" i="83"/>
  <c r="F43" i="57"/>
  <c r="F10" i="57" s="1"/>
  <c r="F9" i="57" s="1"/>
  <c r="E11" i="39"/>
  <c r="F26" i="57"/>
  <c r="F24" i="57" s="1"/>
  <c r="AY96" i="82"/>
  <c r="AT99" i="82"/>
  <c r="AT101" i="82" s="1"/>
  <c r="AF96" i="82"/>
  <c r="K28" i="82"/>
  <c r="G8" i="58"/>
  <c r="G42" i="58" s="1"/>
  <c r="G43" i="58"/>
  <c r="G89" i="58" s="1"/>
  <c r="F45" i="58"/>
  <c r="F66" i="58"/>
  <c r="E29" i="83"/>
  <c r="J11" i="83"/>
  <c r="E22" i="83"/>
  <c r="J22" i="83"/>
  <c r="J27" i="83"/>
  <c r="O22" i="83"/>
  <c r="O29" i="83"/>
  <c r="O15" i="83"/>
  <c r="E125" i="57"/>
  <c r="H125" i="57" s="1"/>
  <c r="E10" i="39" l="1"/>
  <c r="E9" i="39" s="1"/>
  <c r="AE99" i="82"/>
  <c r="AE101" i="82" s="1"/>
  <c r="AY99" i="82"/>
  <c r="AY101" i="82" s="1"/>
  <c r="U50" i="83"/>
  <c r="K82" i="83"/>
  <c r="K89" i="83" s="1"/>
  <c r="F82" i="83"/>
  <c r="F89" i="83" s="1"/>
  <c r="K85" i="83"/>
  <c r="F8" i="57"/>
  <c r="Q82" i="83"/>
  <c r="U99" i="83"/>
  <c r="P82" i="83"/>
  <c r="AF99" i="82"/>
  <c r="AF101" i="82" s="1"/>
  <c r="E48" i="39"/>
  <c r="E42" i="39" s="1"/>
  <c r="E41" i="39" s="1"/>
  <c r="E40" i="39" s="1"/>
  <c r="E74" i="39" s="1"/>
  <c r="F44" i="58"/>
  <c r="F43" i="58" s="1"/>
  <c r="F89" i="58" s="1"/>
  <c r="F100" i="82"/>
  <c r="G42" i="39"/>
  <c r="K99" i="82"/>
  <c r="K101" i="82" s="1"/>
  <c r="L85" i="83"/>
  <c r="I17" i="80"/>
  <c r="I11" i="80" s="1"/>
  <c r="E30" i="80"/>
  <c r="G30" i="80"/>
  <c r="H30" i="80"/>
  <c r="I30" i="80"/>
  <c r="L30" i="80"/>
  <c r="M30" i="80"/>
  <c r="P30" i="80"/>
  <c r="A44" i="80"/>
  <c r="A30" i="80"/>
  <c r="A23" i="80"/>
  <c r="A17" i="80"/>
  <c r="P11" i="80"/>
  <c r="A11" i="80"/>
  <c r="A38" i="99"/>
  <c r="A36" i="80" s="1"/>
  <c r="F98" i="82" l="1"/>
  <c r="F99" i="82" s="1"/>
  <c r="F101" i="82" s="1"/>
  <c r="F18" i="80"/>
  <c r="F85" i="83"/>
  <c r="Q85" i="83"/>
  <c r="Q89" i="83"/>
  <c r="P89" i="83"/>
  <c r="P85" i="83"/>
  <c r="U82" i="83"/>
  <c r="U85" i="83" s="1"/>
  <c r="U89" i="83" s="1"/>
  <c r="P44" i="80"/>
  <c r="I44" i="80"/>
  <c r="U100" i="83" l="1"/>
  <c r="U104" i="83" s="1"/>
  <c r="U101" i="83" l="1"/>
  <c r="U103" i="83" s="1"/>
  <c r="E18" i="99"/>
  <c r="D62" i="39"/>
  <c r="D54" i="39"/>
  <c r="G54" i="39" s="1"/>
  <c r="G62" i="39" l="1"/>
  <c r="F23" i="80"/>
  <c r="J23" i="80" s="1"/>
  <c r="O23" i="80" s="1"/>
  <c r="X103" i="83"/>
  <c r="E28" i="58"/>
  <c r="AX17" i="82"/>
  <c r="Y17" i="82"/>
  <c r="J17" i="82"/>
  <c r="E19" i="82"/>
  <c r="F46" i="96"/>
  <c r="Y51" i="82"/>
  <c r="E85" i="57"/>
  <c r="H85" i="57" s="1"/>
  <c r="Y88" i="82"/>
  <c r="E81" i="58"/>
  <c r="E88" i="83"/>
  <c r="E68" i="83"/>
  <c r="O67" i="83"/>
  <c r="E62" i="83"/>
  <c r="O62" i="83"/>
  <c r="O38" i="83"/>
  <c r="J29" i="83"/>
  <c r="E30" i="83"/>
  <c r="E66" i="83"/>
  <c r="E64" i="83"/>
  <c r="O37" i="83"/>
  <c r="O81" i="83"/>
  <c r="O47" i="83"/>
  <c r="O35" i="83"/>
  <c r="E56" i="83"/>
  <c r="R15" i="83"/>
  <c r="S15" i="83"/>
  <c r="T15" i="83"/>
  <c r="X15" i="83" s="1"/>
  <c r="O11" i="83"/>
  <c r="O17" i="83"/>
  <c r="O16" i="83"/>
  <c r="R14" i="83"/>
  <c r="S14" i="83"/>
  <c r="T14" i="83"/>
  <c r="X14" i="83" s="1"/>
  <c r="E20" i="83"/>
  <c r="E12" i="83"/>
  <c r="F53" i="96"/>
  <c r="T92" i="83"/>
  <c r="X92" i="83" s="1"/>
  <c r="E62" i="57"/>
  <c r="T96" i="83" s="1"/>
  <c r="X96" i="83" s="1"/>
  <c r="E93" i="57"/>
  <c r="H93" i="57" s="1"/>
  <c r="E59" i="57"/>
  <c r="E61" i="83"/>
  <c r="R26" i="83"/>
  <c r="S26" i="83"/>
  <c r="T26" i="83"/>
  <c r="X26" i="83" s="1"/>
  <c r="S98" i="83"/>
  <c r="T98" i="83"/>
  <c r="X98" i="83" s="1"/>
  <c r="R98" i="83"/>
  <c r="S96" i="83"/>
  <c r="R96" i="83"/>
  <c r="E97" i="82"/>
  <c r="AI97" i="82"/>
  <c r="AX94" i="82"/>
  <c r="AX91" i="82"/>
  <c r="AX88" i="82"/>
  <c r="AI88" i="82"/>
  <c r="AD88" i="82"/>
  <c r="T88" i="82"/>
  <c r="E88" i="82"/>
  <c r="AI82" i="82"/>
  <c r="E82" i="82"/>
  <c r="Y80" i="82"/>
  <c r="E80" i="82"/>
  <c r="E77" i="82"/>
  <c r="Y76" i="82"/>
  <c r="J76" i="82"/>
  <c r="Y66" i="82"/>
  <c r="E65" i="82"/>
  <c r="T52" i="82"/>
  <c r="T57" i="82"/>
  <c r="E68" i="82"/>
  <c r="E56" i="82"/>
  <c r="E55" i="82"/>
  <c r="E54" i="82"/>
  <c r="Y49" i="82"/>
  <c r="E49" i="82"/>
  <c r="Y39" i="82"/>
  <c r="Y38" i="82"/>
  <c r="T39" i="82"/>
  <c r="J36" i="82"/>
  <c r="J39" i="82"/>
  <c r="J40" i="82"/>
  <c r="E39" i="82"/>
  <c r="E37" i="82"/>
  <c r="E36" i="82"/>
  <c r="BC36" i="82" s="1"/>
  <c r="BF36" i="82" s="1"/>
  <c r="E34" i="82"/>
  <c r="AD29" i="82"/>
  <c r="J29" i="82"/>
  <c r="J31" i="82"/>
  <c r="E31" i="82"/>
  <c r="AX34" i="82"/>
  <c r="AX29" i="82"/>
  <c r="AX25" i="82"/>
  <c r="E27" i="82"/>
  <c r="E57" i="58"/>
  <c r="E75" i="58"/>
  <c r="D70" i="39"/>
  <c r="E90" i="82"/>
  <c r="AX86" i="82"/>
  <c r="AX82" i="82"/>
  <c r="E93" i="82"/>
  <c r="H112" i="82"/>
  <c r="C112" i="82"/>
  <c r="T46" i="82"/>
  <c r="Y46" i="82"/>
  <c r="AX43" i="82"/>
  <c r="E38" i="82"/>
  <c r="E35" i="82"/>
  <c r="E22" i="82"/>
  <c r="Y12" i="82"/>
  <c r="F52" i="96"/>
  <c r="J12" i="82"/>
  <c r="AD23" i="82"/>
  <c r="J23" i="82"/>
  <c r="M120" i="82"/>
  <c r="E23" i="58"/>
  <c r="C94" i="57"/>
  <c r="D94" i="57"/>
  <c r="E94" i="57"/>
  <c r="D18" i="99" s="1"/>
  <c r="E92" i="57"/>
  <c r="H92" i="57" s="1"/>
  <c r="F48" i="96"/>
  <c r="AD47" i="82"/>
  <c r="E88" i="57"/>
  <c r="H88" i="57" s="1"/>
  <c r="E87" i="57"/>
  <c r="H87" i="57" s="1"/>
  <c r="E86" i="57"/>
  <c r="H86" i="57" s="1"/>
  <c r="E51" i="82"/>
  <c r="E84" i="57"/>
  <c r="H84" i="57" s="1"/>
  <c r="E81" i="57"/>
  <c r="E80" i="57"/>
  <c r="E78" i="57"/>
  <c r="F98" i="96"/>
  <c r="F146" i="96"/>
  <c r="M137" i="82"/>
  <c r="M132" i="82"/>
  <c r="M136" i="82"/>
  <c r="M134" i="82"/>
  <c r="M119" i="82"/>
  <c r="M131" i="82"/>
  <c r="M130" i="82"/>
  <c r="E68" i="57" l="1"/>
  <c r="E56" i="57"/>
  <c r="E31" i="57"/>
  <c r="I48" i="57"/>
  <c r="I31" i="57" l="1"/>
  <c r="I29" i="57"/>
  <c r="E29" i="57"/>
  <c r="I23" i="57"/>
  <c r="E23" i="57"/>
  <c r="E76" i="36" l="1"/>
  <c r="E68" i="36"/>
  <c r="I68" i="36" s="1"/>
  <c r="D68" i="39"/>
  <c r="D63" i="39"/>
  <c r="G63" i="39" s="1"/>
  <c r="D46" i="39"/>
  <c r="D45" i="39" s="1"/>
  <c r="D36" i="39"/>
  <c r="D35" i="39"/>
  <c r="D34" i="39"/>
  <c r="D19" i="39" s="1"/>
  <c r="D15" i="39"/>
  <c r="G15" i="39" s="1"/>
  <c r="D12" i="39"/>
  <c r="G12" i="39" s="1"/>
  <c r="AA51" i="82"/>
  <c r="E103" i="57"/>
  <c r="E102" i="57" s="1"/>
  <c r="E101" i="57" s="1"/>
  <c r="E82" i="57"/>
  <c r="E77" i="57"/>
  <c r="E73" i="57"/>
  <c r="E69" i="57"/>
  <c r="E61" i="57"/>
  <c r="E58" i="57"/>
  <c r="E57" i="57" s="1"/>
  <c r="E52" i="57"/>
  <c r="E50" i="57" s="1"/>
  <c r="E44" i="57"/>
  <c r="E40" i="57"/>
  <c r="E37" i="57"/>
  <c r="E35" i="57" s="1"/>
  <c r="E34" i="57" s="1"/>
  <c r="D13" i="39" s="1"/>
  <c r="G13" i="39" s="1"/>
  <c r="E30" i="57"/>
  <c r="E28" i="57"/>
  <c r="E27" i="57"/>
  <c r="D14" i="39" s="1"/>
  <c r="G14" i="39" s="1"/>
  <c r="E18" i="57"/>
  <c r="E17" i="57"/>
  <c r="E15" i="57"/>
  <c r="E14" i="57"/>
  <c r="D49" i="39" s="1"/>
  <c r="E13" i="57"/>
  <c r="E72" i="58"/>
  <c r="E70" i="58"/>
  <c r="E67" i="58"/>
  <c r="E63" i="58"/>
  <c r="E52" i="58"/>
  <c r="E50" i="58" s="1"/>
  <c r="E46" i="58"/>
  <c r="E40" i="58"/>
  <c r="K25" i="99" s="1"/>
  <c r="E39" i="58"/>
  <c r="E38" i="58"/>
  <c r="E37" i="58"/>
  <c r="E36" i="58" s="1"/>
  <c r="E31" i="58"/>
  <c r="E27" i="58"/>
  <c r="E25" i="58" s="1"/>
  <c r="E22" i="58"/>
  <c r="E14" i="58"/>
  <c r="E13" i="58" s="1"/>
  <c r="H25" i="99" s="1"/>
  <c r="BC93" i="82"/>
  <c r="BC92" i="82"/>
  <c r="BC91" i="82"/>
  <c r="BC90" i="82"/>
  <c r="BC81" i="82"/>
  <c r="BC80" i="82"/>
  <c r="BC79" i="82"/>
  <c r="BC78" i="82"/>
  <c r="BC77" i="82"/>
  <c r="BC75" i="82"/>
  <c r="BC74" i="82"/>
  <c r="BC73" i="82"/>
  <c r="BC72" i="82"/>
  <c r="BC70" i="82"/>
  <c r="BF70" i="82" s="1"/>
  <c r="BC69" i="82"/>
  <c r="BF69" i="82" s="1"/>
  <c r="BC68" i="82"/>
  <c r="BF68" i="82" s="1"/>
  <c r="BC67" i="82"/>
  <c r="BF67" i="82" s="1"/>
  <c r="BC65" i="82"/>
  <c r="BF65" i="82" s="1"/>
  <c r="BC64" i="82"/>
  <c r="BF64" i="82" s="1"/>
  <c r="BC63" i="82"/>
  <c r="BF63" i="82" s="1"/>
  <c r="BC61" i="82"/>
  <c r="BF61" i="82" s="1"/>
  <c r="BC58" i="82"/>
  <c r="BF58" i="82" s="1"/>
  <c r="BC57" i="82"/>
  <c r="BF57" i="82" s="1"/>
  <c r="BC56" i="82"/>
  <c r="BF56" i="82" s="1"/>
  <c r="BC55" i="82"/>
  <c r="BF55" i="82" s="1"/>
  <c r="BC54" i="82"/>
  <c r="BF54" i="82" s="1"/>
  <c r="BC53" i="82"/>
  <c r="BF53" i="82" s="1"/>
  <c r="BC52" i="82"/>
  <c r="BF52" i="82" s="1"/>
  <c r="BC51" i="82"/>
  <c r="BF51" i="82" s="1"/>
  <c r="AS94" i="82"/>
  <c r="AS88" i="82"/>
  <c r="BC88" i="82" s="1"/>
  <c r="Y82" i="82"/>
  <c r="BC82" i="82" s="1"/>
  <c r="Y86" i="82"/>
  <c r="Y85" i="82"/>
  <c r="BC85" i="82" s="1"/>
  <c r="T94" i="82"/>
  <c r="T87" i="82"/>
  <c r="T84" i="82"/>
  <c r="T62" i="82"/>
  <c r="BC62" i="82" s="1"/>
  <c r="BF62" i="82" s="1"/>
  <c r="T60" i="82"/>
  <c r="BC60" i="82" s="1"/>
  <c r="BF60" i="82" s="1"/>
  <c r="T59" i="82"/>
  <c r="BC59" i="82" s="1"/>
  <c r="BF59" i="82" s="1"/>
  <c r="E94" i="82"/>
  <c r="BC94" i="82" s="1"/>
  <c r="E89" i="82"/>
  <c r="E86" i="82"/>
  <c r="E84" i="82" s="1"/>
  <c r="E83" i="82"/>
  <c r="BC83" i="82" s="1"/>
  <c r="E76" i="82"/>
  <c r="BC76" i="82" s="1"/>
  <c r="E71" i="82"/>
  <c r="E66" i="82"/>
  <c r="BC66" i="82" s="1"/>
  <c r="BF66" i="82" s="1"/>
  <c r="BC50" i="82"/>
  <c r="BF50" i="82" s="1"/>
  <c r="BC47" i="82"/>
  <c r="BF47" i="82" s="1"/>
  <c r="BC41" i="82"/>
  <c r="BC40" i="82"/>
  <c r="BC38" i="82"/>
  <c r="BC37" i="82"/>
  <c r="AX45" i="82"/>
  <c r="AX42" i="82"/>
  <c r="AS45" i="82"/>
  <c r="AS44" i="82"/>
  <c r="AS42" i="82" s="1"/>
  <c r="AS39" i="82"/>
  <c r="BC39" i="82" s="1"/>
  <c r="Y44" i="82"/>
  <c r="Y43" i="82"/>
  <c r="T49" i="82"/>
  <c r="BC49" i="82" s="1"/>
  <c r="BF49" i="82" s="1"/>
  <c r="T44" i="82"/>
  <c r="T42" i="82" s="1"/>
  <c r="T35" i="82"/>
  <c r="BC35" i="82" s="1"/>
  <c r="T34" i="82"/>
  <c r="BC34" i="82" s="1"/>
  <c r="O48" i="82"/>
  <c r="BC48" i="82" s="1"/>
  <c r="BF48" i="82" s="1"/>
  <c r="O46" i="82"/>
  <c r="BC46" i="82" s="1"/>
  <c r="BF46" i="82" s="1"/>
  <c r="J45" i="82"/>
  <c r="J42" i="82"/>
  <c r="E43" i="82"/>
  <c r="BC31" i="82"/>
  <c r="BC30" i="82"/>
  <c r="BC27" i="82"/>
  <c r="BC26" i="82"/>
  <c r="BC24" i="82"/>
  <c r="BC22" i="82"/>
  <c r="BC21" i="82"/>
  <c r="BC17" i="82"/>
  <c r="BC16" i="82"/>
  <c r="BC14" i="82"/>
  <c r="AX18" i="82"/>
  <c r="AX12" i="82"/>
  <c r="BC12" i="82" s="1"/>
  <c r="E29" i="82"/>
  <c r="BC29" i="82" s="1"/>
  <c r="J13" i="82"/>
  <c r="BC13" i="82" s="1"/>
  <c r="E25" i="82"/>
  <c r="BC25" i="82" s="1"/>
  <c r="E23" i="82"/>
  <c r="BC23" i="82" s="1"/>
  <c r="E20" i="82"/>
  <c r="BC20" i="82" s="1"/>
  <c r="BC19" i="82"/>
  <c r="Y10" i="82"/>
  <c r="T10" i="82"/>
  <c r="O10" i="82"/>
  <c r="J10" i="82"/>
  <c r="T81" i="83"/>
  <c r="X81" i="83" s="1"/>
  <c r="T80" i="83"/>
  <c r="X80" i="83" s="1"/>
  <c r="T77" i="83"/>
  <c r="X77" i="83" s="1"/>
  <c r="T76" i="83"/>
  <c r="X76" i="83" s="1"/>
  <c r="T75" i="83"/>
  <c r="X75" i="83" s="1"/>
  <c r="T74" i="83"/>
  <c r="X74" i="83" s="1"/>
  <c r="T71" i="83"/>
  <c r="X71" i="83" s="1"/>
  <c r="T70" i="83"/>
  <c r="X70" i="83" s="1"/>
  <c r="T63" i="83"/>
  <c r="X63" i="83" s="1"/>
  <c r="T61" i="83"/>
  <c r="X61" i="83" s="1"/>
  <c r="T59" i="83"/>
  <c r="X59" i="83" s="1"/>
  <c r="T58" i="83"/>
  <c r="X58" i="83" s="1"/>
  <c r="T54" i="83"/>
  <c r="X54" i="83" s="1"/>
  <c r="T53" i="83"/>
  <c r="X53" i="83" s="1"/>
  <c r="T52" i="83"/>
  <c r="X52" i="83" s="1"/>
  <c r="T49" i="83"/>
  <c r="X49" i="83" s="1"/>
  <c r="T48" i="83"/>
  <c r="X48" i="83" s="1"/>
  <c r="T43" i="83"/>
  <c r="X43" i="83" s="1"/>
  <c r="T41" i="83"/>
  <c r="X41" i="83" s="1"/>
  <c r="T38" i="83"/>
  <c r="X38" i="83" s="1"/>
  <c r="T35" i="83"/>
  <c r="X35" i="83" s="1"/>
  <c r="T34" i="83"/>
  <c r="X34" i="83" s="1"/>
  <c r="O72" i="83"/>
  <c r="O69" i="83"/>
  <c r="O50" i="83"/>
  <c r="O42" i="83"/>
  <c r="J72" i="83"/>
  <c r="J69" i="83"/>
  <c r="J65" i="83"/>
  <c r="J64" i="83"/>
  <c r="T64" i="83" s="1"/>
  <c r="X64" i="83" s="1"/>
  <c r="J62" i="83"/>
  <c r="T62" i="83" s="1"/>
  <c r="X62" i="83" s="1"/>
  <c r="J60" i="83"/>
  <c r="J42" i="83"/>
  <c r="E79" i="83"/>
  <c r="T79" i="83" s="1"/>
  <c r="X79" i="83" s="1"/>
  <c r="E78" i="83"/>
  <c r="T78" i="83" s="1"/>
  <c r="X78" i="83" s="1"/>
  <c r="E73" i="83"/>
  <c r="T73" i="83" s="1"/>
  <c r="X73" i="83" s="1"/>
  <c r="E69" i="83"/>
  <c r="T68" i="83"/>
  <c r="X68" i="83" s="1"/>
  <c r="E67" i="83"/>
  <c r="T67" i="83" s="1"/>
  <c r="X67" i="83" s="1"/>
  <c r="T66" i="83"/>
  <c r="X66" i="83" s="1"/>
  <c r="E65" i="83"/>
  <c r="T65" i="83" s="1"/>
  <c r="X65" i="83" s="1"/>
  <c r="E60" i="83"/>
  <c r="E57" i="83"/>
  <c r="T57" i="83" s="1"/>
  <c r="X57" i="83" s="1"/>
  <c r="T56" i="83"/>
  <c r="X56" i="83" s="1"/>
  <c r="E55" i="83"/>
  <c r="T55" i="83" s="1"/>
  <c r="X55" i="83" s="1"/>
  <c r="E51" i="83"/>
  <c r="T51" i="83" s="1"/>
  <c r="X51" i="83" s="1"/>
  <c r="E47" i="83"/>
  <c r="T47" i="83" s="1"/>
  <c r="X47" i="83" s="1"/>
  <c r="E46" i="83"/>
  <c r="T46" i="83" s="1"/>
  <c r="X46" i="83" s="1"/>
  <c r="E45" i="83"/>
  <c r="T45" i="83" s="1"/>
  <c r="X45" i="83" s="1"/>
  <c r="E44" i="83"/>
  <c r="T44" i="83" s="1"/>
  <c r="X44" i="83" s="1"/>
  <c r="E39" i="83"/>
  <c r="T39" i="83" s="1"/>
  <c r="X39" i="83" s="1"/>
  <c r="E37" i="83"/>
  <c r="T37" i="83" s="1"/>
  <c r="X37" i="83" s="1"/>
  <c r="E36" i="83"/>
  <c r="T36" i="83" s="1"/>
  <c r="X36" i="83" s="1"/>
  <c r="E33" i="83"/>
  <c r="T33" i="83" s="1"/>
  <c r="X33" i="83" s="1"/>
  <c r="T27" i="83"/>
  <c r="X27" i="83" s="1"/>
  <c r="T23" i="83"/>
  <c r="X23" i="83" s="1"/>
  <c r="T13" i="83"/>
  <c r="X13" i="83" s="1"/>
  <c r="T12" i="83"/>
  <c r="X12" i="83" s="1"/>
  <c r="T22" i="83"/>
  <c r="X22" i="83" s="1"/>
  <c r="J17" i="83"/>
  <c r="J16" i="83"/>
  <c r="E25" i="83"/>
  <c r="T25" i="83" s="1"/>
  <c r="X25" i="83" s="1"/>
  <c r="E24" i="83"/>
  <c r="T24" i="83" s="1"/>
  <c r="X24" i="83" s="1"/>
  <c r="E21" i="83"/>
  <c r="T21" i="83" s="1"/>
  <c r="X21" i="83" s="1"/>
  <c r="T20" i="83"/>
  <c r="X20" i="83" s="1"/>
  <c r="E19" i="83"/>
  <c r="T19" i="83" s="1"/>
  <c r="X19" i="83" s="1"/>
  <c r="E18" i="83"/>
  <c r="T18" i="83" s="1"/>
  <c r="X18" i="83" s="1"/>
  <c r="E17" i="83"/>
  <c r="T17" i="83" s="1"/>
  <c r="X17" i="83" s="1"/>
  <c r="E16" i="83"/>
  <c r="T16" i="83" s="1"/>
  <c r="X16" i="83" s="1"/>
  <c r="E11" i="83"/>
  <c r="T11" i="83" s="1"/>
  <c r="X11" i="83" s="1"/>
  <c r="D23" i="58"/>
  <c r="D22" i="58" s="1"/>
  <c r="C23" i="58"/>
  <c r="C22" i="58" s="1"/>
  <c r="I61" i="57"/>
  <c r="K61" i="57" s="1"/>
  <c r="D125" i="57"/>
  <c r="AH97" i="82"/>
  <c r="D88" i="57"/>
  <c r="D85" i="57"/>
  <c r="F22" i="80"/>
  <c r="G42" i="99"/>
  <c r="M42" i="99" s="1"/>
  <c r="G43" i="99"/>
  <c r="M43" i="99" s="1"/>
  <c r="D31" i="99"/>
  <c r="D32" i="99"/>
  <c r="D33" i="99"/>
  <c r="D34" i="99"/>
  <c r="D35" i="99"/>
  <c r="L29" i="99"/>
  <c r="D48" i="39" l="1"/>
  <c r="G49" i="39"/>
  <c r="T60" i="83"/>
  <c r="X60" i="83" s="1"/>
  <c r="E12" i="57"/>
  <c r="E11" i="57" s="1"/>
  <c r="E45" i="58"/>
  <c r="T69" i="83"/>
  <c r="X69" i="83" s="1"/>
  <c r="Y42" i="82"/>
  <c r="I25" i="99"/>
  <c r="L25" i="99" s="1"/>
  <c r="M25" i="99" s="1"/>
  <c r="D57" i="39"/>
  <c r="E44" i="58"/>
  <c r="E71" i="36" s="1"/>
  <c r="K17" i="80"/>
  <c r="E45" i="82"/>
  <c r="E87" i="82"/>
  <c r="BC43" i="82"/>
  <c r="BC44" i="82"/>
  <c r="T45" i="82"/>
  <c r="E26" i="57"/>
  <c r="E24" i="57" s="1"/>
  <c r="BC86" i="82"/>
  <c r="E35" i="58"/>
  <c r="E42" i="82"/>
  <c r="E69" i="58"/>
  <c r="E66" i="58" s="1"/>
  <c r="D42" i="39"/>
  <c r="D41" i="39" s="1"/>
  <c r="E42" i="83"/>
  <c r="T42" i="83" s="1"/>
  <c r="X42" i="83" s="1"/>
  <c r="E50" i="83"/>
  <c r="E72" i="83"/>
  <c r="T72" i="83" s="1"/>
  <c r="J50" i="83"/>
  <c r="E43" i="57"/>
  <c r="D11" i="39"/>
  <c r="D10" i="39" s="1"/>
  <c r="D9" i="39" s="1"/>
  <c r="E8" i="58"/>
  <c r="C11" i="99"/>
  <c r="C12" i="99"/>
  <c r="D12" i="99"/>
  <c r="D46" i="99" s="1"/>
  <c r="E12" i="99"/>
  <c r="H12" i="99"/>
  <c r="H46" i="99" s="1"/>
  <c r="I12" i="99"/>
  <c r="I46" i="99" s="1"/>
  <c r="K12" i="99"/>
  <c r="K46" i="99" s="1"/>
  <c r="C13" i="99"/>
  <c r="B14" i="99"/>
  <c r="C14" i="99"/>
  <c r="D14" i="99"/>
  <c r="D48" i="99" s="1"/>
  <c r="E14" i="99"/>
  <c r="F14" i="99"/>
  <c r="H14" i="99"/>
  <c r="H48" i="99" s="1"/>
  <c r="I14" i="99"/>
  <c r="I48" i="99" s="1"/>
  <c r="J14" i="99"/>
  <c r="J48" i="99" s="1"/>
  <c r="K14" i="99"/>
  <c r="K48" i="99" s="1"/>
  <c r="C15" i="99"/>
  <c r="J2" i="102"/>
  <c r="O2" i="56"/>
  <c r="G2" i="97"/>
  <c r="N2" i="53"/>
  <c r="N2" i="52"/>
  <c r="Z2" i="82"/>
  <c r="F2" i="81"/>
  <c r="O2" i="80"/>
  <c r="M2" i="99"/>
  <c r="F2" i="57"/>
  <c r="N81" i="83"/>
  <c r="D78" i="83"/>
  <c r="D65" i="83"/>
  <c r="D66" i="83"/>
  <c r="D68" i="83"/>
  <c r="N62" i="83"/>
  <c r="I62" i="83"/>
  <c r="D62" i="83"/>
  <c r="D57" i="83"/>
  <c r="D56" i="83"/>
  <c r="D55" i="83"/>
  <c r="D45" i="83"/>
  <c r="D44" i="83"/>
  <c r="D67" i="83"/>
  <c r="D37" i="83"/>
  <c r="D36" i="83"/>
  <c r="D39" i="83"/>
  <c r="I22" i="83"/>
  <c r="D16" i="83"/>
  <c r="I16" i="83"/>
  <c r="N16" i="83"/>
  <c r="C34" i="39"/>
  <c r="C35" i="39"/>
  <c r="D94" i="82"/>
  <c r="S94" i="82"/>
  <c r="AR94" i="82"/>
  <c r="S88" i="82"/>
  <c r="AR88" i="82"/>
  <c r="D89" i="82"/>
  <c r="D86" i="82"/>
  <c r="X85" i="82"/>
  <c r="X82" i="82"/>
  <c r="D82" i="82"/>
  <c r="D76" i="82"/>
  <c r="X76" i="82"/>
  <c r="D80" i="82"/>
  <c r="X88" i="82"/>
  <c r="D88" i="82"/>
  <c r="X66" i="82"/>
  <c r="D66" i="82"/>
  <c r="X51" i="82"/>
  <c r="D51" i="82"/>
  <c r="X49" i="82"/>
  <c r="S49" i="82"/>
  <c r="D49" i="82"/>
  <c r="X44" i="82"/>
  <c r="S44" i="82"/>
  <c r="AR44" i="82"/>
  <c r="AR39" i="82"/>
  <c r="S39" i="82"/>
  <c r="D37" i="82"/>
  <c r="D35" i="82"/>
  <c r="D25" i="82"/>
  <c r="E10" i="57" l="1"/>
  <c r="E9" i="57" s="1"/>
  <c r="E8" i="57" s="1"/>
  <c r="E72" i="36"/>
  <c r="L17" i="80"/>
  <c r="L11" i="80" s="1"/>
  <c r="L44" i="80" s="1"/>
  <c r="K11" i="80"/>
  <c r="T50" i="83"/>
  <c r="D11" i="83"/>
  <c r="F134" i="96"/>
  <c r="F126" i="96"/>
  <c r="F125" i="96"/>
  <c r="F133" i="96"/>
  <c r="D60" i="83"/>
  <c r="I65" i="83"/>
  <c r="I60" i="83"/>
  <c r="I64" i="83"/>
  <c r="F102" i="96"/>
  <c r="D33" i="83"/>
  <c r="F94" i="96"/>
  <c r="F103" i="96"/>
  <c r="S39" i="83"/>
  <c r="R39" i="83"/>
  <c r="D19" i="83"/>
  <c r="D18" i="83"/>
  <c r="N17" i="83"/>
  <c r="I17" i="83"/>
  <c r="D17" i="83"/>
  <c r="D21" i="83"/>
  <c r="F104" i="96"/>
  <c r="D24" i="83"/>
  <c r="R23" i="83"/>
  <c r="S23" i="83"/>
  <c r="D79" i="83"/>
  <c r="D73" i="83"/>
  <c r="D51" i="83"/>
  <c r="D46" i="83"/>
  <c r="D20" i="83"/>
  <c r="D25" i="83"/>
  <c r="N11" i="83"/>
  <c r="I11" i="83"/>
  <c r="D93" i="57"/>
  <c r="S92" i="83"/>
  <c r="F161" i="96"/>
  <c r="D81" i="58"/>
  <c r="F142" i="96"/>
  <c r="C36" i="39"/>
  <c r="C19" i="39" s="1"/>
  <c r="B19" i="39"/>
  <c r="C63" i="39"/>
  <c r="D90" i="82"/>
  <c r="F138" i="96"/>
  <c r="X86" i="82"/>
  <c r="F132" i="96"/>
  <c r="F124" i="96"/>
  <c r="D65" i="82"/>
  <c r="D83" i="82"/>
  <c r="F123" i="96"/>
  <c r="F122" i="96"/>
  <c r="S62" i="82"/>
  <c r="S60" i="82"/>
  <c r="S59" i="82"/>
  <c r="D54" i="82"/>
  <c r="D56" i="82"/>
  <c r="F108" i="96"/>
  <c r="F109" i="96"/>
  <c r="N48" i="82"/>
  <c r="F101" i="96"/>
  <c r="S35" i="82"/>
  <c r="D23" i="82"/>
  <c r="AW29" i="82"/>
  <c r="D29" i="82"/>
  <c r="D19" i="82"/>
  <c r="AW12" i="82"/>
  <c r="D61" i="57"/>
  <c r="I36" i="82"/>
  <c r="I29" i="82"/>
  <c r="I13" i="82"/>
  <c r="I12" i="82"/>
  <c r="D58" i="57"/>
  <c r="AC47" i="82"/>
  <c r="C15" i="39"/>
  <c r="D86" i="57"/>
  <c r="F160" i="96"/>
  <c r="D70" i="58"/>
  <c r="D52" i="58"/>
  <c r="D72" i="58"/>
  <c r="F137" i="96"/>
  <c r="F136" i="96"/>
  <c r="M126" i="82"/>
  <c r="D71" i="82"/>
  <c r="M128" i="82"/>
  <c r="BA68" i="82"/>
  <c r="BB68" i="82"/>
  <c r="BA69" i="82"/>
  <c r="BB69" i="82"/>
  <c r="BA70" i="82"/>
  <c r="BB70" i="82"/>
  <c r="BB67" i="82"/>
  <c r="BA67" i="82"/>
  <c r="D14" i="58"/>
  <c r="C14" i="58"/>
  <c r="D52" i="57"/>
  <c r="C52" i="57"/>
  <c r="I52" i="57"/>
  <c r="D31" i="57"/>
  <c r="D29" i="57"/>
  <c r="I67" i="57" l="1"/>
  <c r="K56" i="57"/>
  <c r="J57" i="57"/>
  <c r="J50" i="57"/>
  <c r="I50" i="57"/>
  <c r="J44" i="57"/>
  <c r="I44" i="57"/>
  <c r="J40" i="57"/>
  <c r="I40" i="57"/>
  <c r="J35" i="57"/>
  <c r="J34" i="57" s="1"/>
  <c r="I35" i="57"/>
  <c r="I34" i="57" s="1"/>
  <c r="J30" i="57"/>
  <c r="I30" i="57"/>
  <c r="J28" i="57"/>
  <c r="I28" i="57"/>
  <c r="J12" i="57"/>
  <c r="J11" i="57" s="1"/>
  <c r="I12" i="57"/>
  <c r="I11" i="57" s="1"/>
  <c r="K14" i="57"/>
  <c r="K15" i="57"/>
  <c r="K16" i="57"/>
  <c r="K17" i="57"/>
  <c r="K18" i="57"/>
  <c r="K19" i="57"/>
  <c r="K20" i="57"/>
  <c r="K21" i="57"/>
  <c r="K22" i="57"/>
  <c r="K23" i="57"/>
  <c r="K25" i="57"/>
  <c r="K27" i="57"/>
  <c r="K29" i="57"/>
  <c r="K28" i="57" s="1"/>
  <c r="K31" i="57"/>
  <c r="K30" i="57" s="1"/>
  <c r="K32" i="57"/>
  <c r="K36" i="57"/>
  <c r="K37" i="57"/>
  <c r="K35" i="57" s="1"/>
  <c r="K38" i="57"/>
  <c r="K39" i="57"/>
  <c r="K41" i="57"/>
  <c r="K42" i="57"/>
  <c r="K45" i="57"/>
  <c r="K46" i="57"/>
  <c r="K47" i="57"/>
  <c r="K48" i="57"/>
  <c r="K49" i="57"/>
  <c r="K51" i="57"/>
  <c r="K52" i="57"/>
  <c r="K53" i="57"/>
  <c r="K54" i="57"/>
  <c r="K55" i="57"/>
  <c r="K58" i="57"/>
  <c r="K66" i="57"/>
  <c r="K68" i="57"/>
  <c r="K13" i="57"/>
  <c r="S9" i="83"/>
  <c r="N9" i="83"/>
  <c r="I9" i="83"/>
  <c r="X10" i="82"/>
  <c r="S10" i="82"/>
  <c r="N10" i="82"/>
  <c r="I10" i="82"/>
  <c r="D79" i="36"/>
  <c r="E79" i="36"/>
  <c r="F79" i="36"/>
  <c r="G79" i="36"/>
  <c r="D81" i="36"/>
  <c r="E81" i="36"/>
  <c r="F81" i="36"/>
  <c r="G81" i="36"/>
  <c r="D74" i="36"/>
  <c r="E74" i="36"/>
  <c r="E73" i="36" s="1"/>
  <c r="F74" i="36"/>
  <c r="G74" i="36"/>
  <c r="S24" i="83"/>
  <c r="V24" i="83"/>
  <c r="S19" i="83"/>
  <c r="V19" i="83"/>
  <c r="S20" i="83"/>
  <c r="V20" i="83"/>
  <c r="S80" i="83"/>
  <c r="V80" i="83"/>
  <c r="V92" i="83"/>
  <c r="V98" i="83"/>
  <c r="O32" i="83"/>
  <c r="O31" i="83"/>
  <c r="O28" i="83"/>
  <c r="N72" i="83"/>
  <c r="N69" i="83"/>
  <c r="N50" i="83"/>
  <c r="N42" i="83"/>
  <c r="N32" i="83"/>
  <c r="N31" i="83"/>
  <c r="N28" i="83"/>
  <c r="J32" i="83"/>
  <c r="J31" i="83"/>
  <c r="J28" i="83"/>
  <c r="I72" i="83"/>
  <c r="I69" i="83"/>
  <c r="I50" i="83"/>
  <c r="I42" i="83"/>
  <c r="I32" i="83"/>
  <c r="I31" i="83"/>
  <c r="I28" i="83"/>
  <c r="G86" i="83"/>
  <c r="G72" i="83"/>
  <c r="G69" i="83"/>
  <c r="G50" i="83"/>
  <c r="G47" i="83"/>
  <c r="G42" i="83" s="1"/>
  <c r="G32" i="83"/>
  <c r="G31" i="83"/>
  <c r="G16" i="83"/>
  <c r="G28" i="83" s="1"/>
  <c r="E86" i="83"/>
  <c r="E32" i="83"/>
  <c r="E31" i="83"/>
  <c r="E28" i="83"/>
  <c r="D86" i="83"/>
  <c r="D72" i="83"/>
  <c r="D69" i="83"/>
  <c r="D50" i="83"/>
  <c r="D47" i="83"/>
  <c r="D42" i="83" s="1"/>
  <c r="D32" i="83"/>
  <c r="D31" i="83"/>
  <c r="D28" i="83"/>
  <c r="AR87" i="82"/>
  <c r="AS87" i="82"/>
  <c r="AU87" i="82"/>
  <c r="BB24" i="82"/>
  <c r="BD24" i="82"/>
  <c r="BF24" i="82" s="1"/>
  <c r="BE24" i="82"/>
  <c r="V93" i="83"/>
  <c r="F13" i="39"/>
  <c r="F12" i="39"/>
  <c r="E107" i="57"/>
  <c r="T91" i="83"/>
  <c r="X91" i="83" s="1"/>
  <c r="D107" i="57"/>
  <c r="D103" i="57"/>
  <c r="D102" i="57" s="1"/>
  <c r="D101" i="57" s="1"/>
  <c r="D82" i="57"/>
  <c r="D77" i="57"/>
  <c r="D73" i="57"/>
  <c r="D57" i="57"/>
  <c r="D50" i="57"/>
  <c r="D44" i="57"/>
  <c r="D40" i="57"/>
  <c r="D37" i="57"/>
  <c r="D35" i="57" s="1"/>
  <c r="D34" i="57" s="1"/>
  <c r="C13" i="39" s="1"/>
  <c r="D30" i="57"/>
  <c r="D28" i="57"/>
  <c r="D27" i="57"/>
  <c r="D23" i="57"/>
  <c r="C12" i="39" s="1"/>
  <c r="D18" i="57"/>
  <c r="D17" i="57"/>
  <c r="D15" i="57"/>
  <c r="D14" i="57"/>
  <c r="D13" i="57"/>
  <c r="S91" i="83" s="1"/>
  <c r="E84" i="58"/>
  <c r="E83" i="58" s="1"/>
  <c r="E78" i="58"/>
  <c r="D84" i="58"/>
  <c r="D83" i="58" s="1"/>
  <c r="D76" i="36"/>
  <c r="I77" i="36" s="1"/>
  <c r="D69" i="58"/>
  <c r="D67" i="58"/>
  <c r="D63" i="58"/>
  <c r="D50" i="58"/>
  <c r="D46" i="58"/>
  <c r="E104" i="57"/>
  <c r="D40" i="58"/>
  <c r="D39" i="58"/>
  <c r="D104" i="57" s="1"/>
  <c r="D38" i="58"/>
  <c r="D37" i="58"/>
  <c r="D36" i="58" s="1"/>
  <c r="D31" i="58"/>
  <c r="D27" i="58"/>
  <c r="D25" i="58" s="1"/>
  <c r="D13" i="58"/>
  <c r="H24" i="99" s="1"/>
  <c r="H11" i="99" s="1"/>
  <c r="H45" i="99" s="1"/>
  <c r="F70" i="39"/>
  <c r="F68" i="39"/>
  <c r="F57" i="39"/>
  <c r="F46" i="39"/>
  <c r="F45" i="39" s="1"/>
  <c r="C70" i="39"/>
  <c r="C68" i="39"/>
  <c r="C57" i="39"/>
  <c r="C46" i="39"/>
  <c r="C45" i="39" s="1"/>
  <c r="F19" i="39"/>
  <c r="F15" i="39"/>
  <c r="BD83" i="82"/>
  <c r="BF83" i="82" s="1"/>
  <c r="BE83" i="82"/>
  <c r="BB88" i="82"/>
  <c r="BD88" i="82"/>
  <c r="BF88" i="82" s="1"/>
  <c r="BE88" i="82"/>
  <c r="BB90" i="82"/>
  <c r="BD90" i="82"/>
  <c r="BF90" i="82" s="1"/>
  <c r="BE90" i="82"/>
  <c r="BB91" i="82"/>
  <c r="BD91" i="82"/>
  <c r="BF91" i="82" s="1"/>
  <c r="BE91" i="82"/>
  <c r="BB92" i="82"/>
  <c r="BD92" i="82"/>
  <c r="BF92" i="82" s="1"/>
  <c r="BE92" i="82"/>
  <c r="BB93" i="82"/>
  <c r="BD93" i="82"/>
  <c r="BF93" i="82" s="1"/>
  <c r="BE93" i="82"/>
  <c r="BB94" i="82"/>
  <c r="BD94" i="82"/>
  <c r="BF94" i="82" s="1"/>
  <c r="BE94" i="82"/>
  <c r="V87" i="82"/>
  <c r="V84" i="82"/>
  <c r="S87" i="82"/>
  <c r="S84" i="82"/>
  <c r="L87" i="82"/>
  <c r="L84" i="82"/>
  <c r="J87" i="82"/>
  <c r="J84" i="82"/>
  <c r="I87" i="82"/>
  <c r="I84" i="82"/>
  <c r="G84" i="82"/>
  <c r="D84" i="82"/>
  <c r="BE51" i="82"/>
  <c r="AA45" i="82"/>
  <c r="AA43" i="82"/>
  <c r="AA42" i="82" s="1"/>
  <c r="X43" i="82"/>
  <c r="X42" i="82" s="1"/>
  <c r="W43" i="82"/>
  <c r="W42" i="82" s="1"/>
  <c r="W45" i="82"/>
  <c r="V45" i="82"/>
  <c r="V42" i="82"/>
  <c r="V34" i="82"/>
  <c r="V33" i="82" s="1"/>
  <c r="T33" i="82"/>
  <c r="S45" i="82"/>
  <c r="S42" i="82"/>
  <c r="S34" i="82"/>
  <c r="S33" i="82" s="1"/>
  <c r="Q46" i="82"/>
  <c r="L45" i="82"/>
  <c r="L42" i="82"/>
  <c r="L33" i="82"/>
  <c r="J33" i="82"/>
  <c r="I45" i="82"/>
  <c r="I42" i="82"/>
  <c r="I33" i="82"/>
  <c r="G55" i="82"/>
  <c r="G43" i="82"/>
  <c r="G42" i="82" s="1"/>
  <c r="G39" i="82"/>
  <c r="G37" i="82"/>
  <c r="G36" i="82"/>
  <c r="D55" i="82"/>
  <c r="D43" i="82"/>
  <c r="D42" i="82" s="1"/>
  <c r="D39" i="82"/>
  <c r="D36" i="82"/>
  <c r="AZ33" i="82"/>
  <c r="AZ32" i="82"/>
  <c r="AZ18" i="82"/>
  <c r="AZ11" i="82"/>
  <c r="AX33" i="82"/>
  <c r="AX32" i="82"/>
  <c r="AX11" i="82"/>
  <c r="AX28" i="82" s="1"/>
  <c r="AW33" i="82"/>
  <c r="AW32" i="82"/>
  <c r="AW18" i="82"/>
  <c r="AW11" i="82"/>
  <c r="AD33" i="82"/>
  <c r="AD32" i="82"/>
  <c r="AD18" i="82"/>
  <c r="AD11" i="82"/>
  <c r="AC33" i="82"/>
  <c r="AC32" i="82"/>
  <c r="AC18" i="82"/>
  <c r="AC11" i="82"/>
  <c r="AA33" i="82"/>
  <c r="AA32" i="82"/>
  <c r="AA18" i="82"/>
  <c r="AA11" i="82"/>
  <c r="Y33" i="82"/>
  <c r="Y32" i="82"/>
  <c r="Y18" i="82"/>
  <c r="Y11" i="82"/>
  <c r="X33" i="82"/>
  <c r="X32" i="82"/>
  <c r="X18" i="82"/>
  <c r="X11" i="82"/>
  <c r="V32" i="82"/>
  <c r="V18" i="82"/>
  <c r="V11" i="82"/>
  <c r="T32" i="82"/>
  <c r="T18" i="82"/>
  <c r="T11" i="82"/>
  <c r="S32" i="82"/>
  <c r="S18" i="82"/>
  <c r="S11" i="82"/>
  <c r="L32" i="82"/>
  <c r="L18" i="82"/>
  <c r="L11" i="82"/>
  <c r="J32" i="82"/>
  <c r="J18" i="82"/>
  <c r="J11" i="82"/>
  <c r="I32" i="82"/>
  <c r="I18" i="82"/>
  <c r="I11" i="82"/>
  <c r="G32" i="82"/>
  <c r="G22" i="82"/>
  <c r="G20" i="82"/>
  <c r="E32" i="82"/>
  <c r="D32" i="82"/>
  <c r="D22" i="82"/>
  <c r="D20" i="82"/>
  <c r="C27" i="58"/>
  <c r="BA24" i="82"/>
  <c r="E43" i="58" l="1"/>
  <c r="M17" i="80"/>
  <c r="I57" i="57"/>
  <c r="I74" i="57"/>
  <c r="N60" i="57"/>
  <c r="K34" i="57"/>
  <c r="G76" i="36"/>
  <c r="G73" i="36" s="1"/>
  <c r="K12" i="57"/>
  <c r="K11" i="57" s="1"/>
  <c r="F76" i="36"/>
  <c r="F73" i="36" s="1"/>
  <c r="S28" i="82"/>
  <c r="X28" i="82"/>
  <c r="F49" i="39"/>
  <c r="F48" i="39" s="1"/>
  <c r="F42" i="39" s="1"/>
  <c r="F41" i="39" s="1"/>
  <c r="K44" i="57"/>
  <c r="I24" i="99"/>
  <c r="I11" i="99" s="1"/>
  <c r="I45" i="99" s="1"/>
  <c r="K50" i="57"/>
  <c r="K43" i="57" s="1"/>
  <c r="G82" i="83"/>
  <c r="G85" i="83" s="1"/>
  <c r="D82" i="83"/>
  <c r="D85" i="83" s="1"/>
  <c r="E82" i="83"/>
  <c r="E85" i="83" s="1"/>
  <c r="I82" i="83"/>
  <c r="I85" i="83" s="1"/>
  <c r="N82" i="83"/>
  <c r="O82" i="83"/>
  <c r="D33" i="82"/>
  <c r="J28" i="82"/>
  <c r="T28" i="82"/>
  <c r="G33" i="82"/>
  <c r="V28" i="82"/>
  <c r="E18" i="82"/>
  <c r="Y28" i="82"/>
  <c r="AA28" i="82"/>
  <c r="AC28" i="82"/>
  <c r="AD28" i="82"/>
  <c r="D18" i="82"/>
  <c r="G18" i="82"/>
  <c r="I28" i="82"/>
  <c r="L28" i="82"/>
  <c r="AW28" i="82"/>
  <c r="AZ28" i="82"/>
  <c r="E33" i="82"/>
  <c r="D45" i="58"/>
  <c r="D44" i="58" s="1"/>
  <c r="E16" i="36"/>
  <c r="D66" i="58"/>
  <c r="D35" i="58"/>
  <c r="D8" i="58"/>
  <c r="F16" i="36"/>
  <c r="H16" i="36" s="1"/>
  <c r="D78" i="58"/>
  <c r="G16" i="36"/>
  <c r="D73" i="36"/>
  <c r="I26" i="57"/>
  <c r="I24" i="57" s="1"/>
  <c r="K67" i="57"/>
  <c r="K57" i="57" s="1"/>
  <c r="J43" i="57"/>
  <c r="I43" i="57"/>
  <c r="K40" i="57"/>
  <c r="J26" i="57"/>
  <c r="J24" i="57" s="1"/>
  <c r="K26" i="57"/>
  <c r="K24" i="57" s="1"/>
  <c r="D43" i="57"/>
  <c r="C14" i="39"/>
  <c r="C11" i="39" s="1"/>
  <c r="C10" i="39" s="1"/>
  <c r="C9" i="39" s="1"/>
  <c r="T93" i="83"/>
  <c r="X93" i="83" s="1"/>
  <c r="D26" i="57"/>
  <c r="D24" i="57" s="1"/>
  <c r="C49" i="39"/>
  <c r="C48" i="39" s="1"/>
  <c r="C42" i="39" s="1"/>
  <c r="C41" i="39" s="1"/>
  <c r="D69" i="57"/>
  <c r="V91" i="83"/>
  <c r="V99" i="83" s="1"/>
  <c r="S93" i="83"/>
  <c r="D11" i="81" s="1"/>
  <c r="D78" i="36"/>
  <c r="D77" i="36" s="1"/>
  <c r="G78" i="36"/>
  <c r="G77" i="36" s="1"/>
  <c r="F78" i="36"/>
  <c r="F77" i="36" s="1"/>
  <c r="E78" i="36"/>
  <c r="J82" i="83"/>
  <c r="J85" i="83" s="1"/>
  <c r="F14" i="39"/>
  <c r="F11" i="39" s="1"/>
  <c r="F10" i="39" s="1"/>
  <c r="F9" i="39" s="1"/>
  <c r="D12" i="57"/>
  <c r="D11" i="57" s="1"/>
  <c r="C24" i="102"/>
  <c r="C22" i="102"/>
  <c r="H21" i="102"/>
  <c r="C21" i="102"/>
  <c r="H20" i="102"/>
  <c r="E20" i="102"/>
  <c r="D20" i="102"/>
  <c r="J19" i="102"/>
  <c r="I19" i="102"/>
  <c r="E19" i="102"/>
  <c r="D19" i="102"/>
  <c r="D18" i="102" s="1"/>
  <c r="J18" i="102"/>
  <c r="I18" i="102"/>
  <c r="E18" i="102"/>
  <c r="H17" i="102"/>
  <c r="C17" i="102"/>
  <c r="H16" i="102"/>
  <c r="C16" i="102"/>
  <c r="H15" i="102"/>
  <c r="C15" i="102"/>
  <c r="J14" i="102"/>
  <c r="I14" i="102"/>
  <c r="E14" i="102"/>
  <c r="D14" i="102"/>
  <c r="H13" i="102"/>
  <c r="H12" i="102"/>
  <c r="C12" i="102"/>
  <c r="H11" i="102"/>
  <c r="C11" i="102"/>
  <c r="H10" i="102"/>
  <c r="C10" i="102"/>
  <c r="H9" i="102"/>
  <c r="C9" i="102"/>
  <c r="J8" i="102"/>
  <c r="I8" i="102"/>
  <c r="E8" i="102"/>
  <c r="E7" i="102" s="1"/>
  <c r="E25" i="102" s="1"/>
  <c r="D8" i="102"/>
  <c r="D7" i="102" s="1"/>
  <c r="D25" i="102" s="1"/>
  <c r="J7" i="102"/>
  <c r="J25" i="102" s="1"/>
  <c r="M11" i="80" l="1"/>
  <c r="N17" i="80"/>
  <c r="O17" i="80" s="1"/>
  <c r="L68" i="36"/>
  <c r="H76" i="36"/>
  <c r="I76" i="36" s="1"/>
  <c r="K76" i="36"/>
  <c r="E77" i="36"/>
  <c r="H17" i="80"/>
  <c r="H11" i="80" s="1"/>
  <c r="H44" i="80" s="1"/>
  <c r="T99" i="83"/>
  <c r="X99" i="83" s="1"/>
  <c r="D12" i="81"/>
  <c r="C20" i="102"/>
  <c r="C19" i="102" s="1"/>
  <c r="C18" i="102" s="1"/>
  <c r="N56" i="57"/>
  <c r="H8" i="102"/>
  <c r="S99" i="83"/>
  <c r="I7" i="102"/>
  <c r="I25" i="102" s="1"/>
  <c r="E100" i="82"/>
  <c r="D100" i="82"/>
  <c r="G100" i="82"/>
  <c r="D43" i="58"/>
  <c r="J10" i="57"/>
  <c r="J9" i="57" s="1"/>
  <c r="I10" i="57"/>
  <c r="I9" i="57" s="1"/>
  <c r="D10" i="57"/>
  <c r="D9" i="57" s="1"/>
  <c r="H19" i="102"/>
  <c r="H18" i="102" s="1"/>
  <c r="C8" i="102"/>
  <c r="H14" i="102"/>
  <c r="K10" i="57"/>
  <c r="K9" i="57" s="1"/>
  <c r="F9" i="36"/>
  <c r="E9" i="36"/>
  <c r="C14" i="102"/>
  <c r="C81" i="58"/>
  <c r="R80" i="83"/>
  <c r="R24" i="83"/>
  <c r="H9" i="36" l="1"/>
  <c r="M44" i="80"/>
  <c r="N11" i="80"/>
  <c r="C7" i="102"/>
  <c r="C25" i="102" s="1"/>
  <c r="H7" i="102"/>
  <c r="H25" i="102" s="1"/>
  <c r="G9" i="36"/>
  <c r="D8" i="57"/>
  <c r="N57" i="57"/>
  <c r="N58" i="57" s="1"/>
  <c r="N61" i="57" s="1"/>
  <c r="C86" i="57"/>
  <c r="N74" i="57"/>
  <c r="D26" i="53" l="1"/>
  <c r="E26" i="53"/>
  <c r="H26" i="53"/>
  <c r="C26" i="53"/>
  <c r="F26" i="53"/>
  <c r="G26" i="53"/>
  <c r="I26" i="53"/>
  <c r="J26" i="53"/>
  <c r="K26" i="53"/>
  <c r="L26" i="53"/>
  <c r="M26" i="53"/>
  <c r="M11" i="56"/>
  <c r="I15" i="80"/>
  <c r="F21" i="80"/>
  <c r="BA93" i="82" l="1"/>
  <c r="C37" i="57"/>
  <c r="C59" i="57"/>
  <c r="M59" i="57"/>
  <c r="C103" i="57" l="1"/>
  <c r="F16" i="99" s="1"/>
  <c r="M109" i="57"/>
  <c r="B70" i="39" l="1"/>
  <c r="R93" i="83" l="1"/>
  <c r="R30" i="83"/>
  <c r="R19" i="83"/>
  <c r="R20" i="83"/>
  <c r="O17" i="57"/>
  <c r="O18" i="57" s="1"/>
  <c r="E46" i="36"/>
  <c r="E58" i="36"/>
  <c r="J18" i="99" s="1"/>
  <c r="D36" i="81"/>
  <c r="F19" i="99" s="1"/>
  <c r="E62" i="36"/>
  <c r="E60" i="36" s="1"/>
  <c r="C64" i="81" s="1"/>
  <c r="F64" i="81" s="1"/>
  <c r="E50" i="36"/>
  <c r="D48" i="81"/>
  <c r="C38" i="99" s="1"/>
  <c r="C32" i="99" s="1"/>
  <c r="C46" i="99" s="1"/>
  <c r="T29" i="83"/>
  <c r="X29" i="83" s="1"/>
  <c r="T30" i="83"/>
  <c r="X30" i="83" s="1"/>
  <c r="T83" i="83"/>
  <c r="X83" i="83" s="1"/>
  <c r="T84" i="83"/>
  <c r="J86" i="83"/>
  <c r="O86" i="83"/>
  <c r="C13" i="57"/>
  <c r="C14" i="57"/>
  <c r="C15" i="57"/>
  <c r="C17" i="57"/>
  <c r="C18" i="57"/>
  <c r="C23" i="57"/>
  <c r="C27" i="57"/>
  <c r="B14" i="39" s="1"/>
  <c r="C29" i="57"/>
  <c r="B15" i="39" s="1"/>
  <c r="C31" i="57"/>
  <c r="C30" i="57" s="1"/>
  <c r="C35" i="57"/>
  <c r="C34" i="57" s="1"/>
  <c r="B13" i="39" s="1"/>
  <c r="C40" i="57"/>
  <c r="C44" i="57"/>
  <c r="C50" i="57"/>
  <c r="C57" i="57"/>
  <c r="C73" i="57"/>
  <c r="C77" i="57"/>
  <c r="C82" i="57"/>
  <c r="C29" i="36" s="1"/>
  <c r="O12" i="53" s="1"/>
  <c r="C25" i="58"/>
  <c r="C46" i="36"/>
  <c r="C31" i="58"/>
  <c r="C50" i="36" s="1"/>
  <c r="O15" i="53" s="1"/>
  <c r="C57" i="36"/>
  <c r="C37" i="58"/>
  <c r="C36" i="58" s="1"/>
  <c r="C59" i="36"/>
  <c r="C40" i="58"/>
  <c r="M23" i="57"/>
  <c r="M24" i="57"/>
  <c r="M110" i="82"/>
  <c r="H111" i="82"/>
  <c r="M111" i="82" s="1"/>
  <c r="M112" i="82"/>
  <c r="M125" i="82"/>
  <c r="H115" i="82"/>
  <c r="M115" i="82" s="1"/>
  <c r="C11" i="52" s="1"/>
  <c r="H118" i="82"/>
  <c r="M118" i="82" s="1"/>
  <c r="F2" i="58"/>
  <c r="C55" i="82"/>
  <c r="BA55" i="82" s="1"/>
  <c r="R21" i="83"/>
  <c r="R11" i="83"/>
  <c r="R12" i="83"/>
  <c r="R13" i="83"/>
  <c r="C16" i="83"/>
  <c r="C28" i="83" s="1"/>
  <c r="H16" i="83"/>
  <c r="M16" i="83"/>
  <c r="R17" i="83"/>
  <c r="R18" i="83"/>
  <c r="R22" i="83"/>
  <c r="R25" i="83"/>
  <c r="R27" i="83"/>
  <c r="C11" i="82"/>
  <c r="C20" i="82"/>
  <c r="C22" i="82"/>
  <c r="BA22" i="82" s="1"/>
  <c r="H11" i="82"/>
  <c r="H18" i="82"/>
  <c r="M11" i="82"/>
  <c r="M18" i="82"/>
  <c r="R11" i="82"/>
  <c r="R18" i="82"/>
  <c r="W11" i="82"/>
  <c r="W18" i="82"/>
  <c r="AB11" i="82"/>
  <c r="AB18" i="82"/>
  <c r="AG11" i="82"/>
  <c r="AG18" i="82"/>
  <c r="AL11" i="82"/>
  <c r="AL18" i="82"/>
  <c r="AQ11" i="82"/>
  <c r="AQ18" i="82"/>
  <c r="AV11" i="82"/>
  <c r="AV18" i="82"/>
  <c r="BA31" i="82"/>
  <c r="H32" i="82"/>
  <c r="M32" i="82"/>
  <c r="R32" i="82"/>
  <c r="W32" i="82"/>
  <c r="AB32" i="82"/>
  <c r="AG32" i="82"/>
  <c r="AL32" i="82"/>
  <c r="AQ32" i="82"/>
  <c r="AV32" i="82"/>
  <c r="R29" i="83"/>
  <c r="C141" i="82"/>
  <c r="Z71" i="82" s="1"/>
  <c r="C36" i="82"/>
  <c r="BA36" i="82" s="1"/>
  <c r="C37" i="82"/>
  <c r="BA37" i="82" s="1"/>
  <c r="C39" i="82"/>
  <c r="BA39" i="82" s="1"/>
  <c r="C43" i="82"/>
  <c r="C42" i="82" s="1"/>
  <c r="C84" i="82"/>
  <c r="AQ115" i="82"/>
  <c r="Z89" i="82" s="1"/>
  <c r="Z87" i="82" s="1"/>
  <c r="H33" i="82"/>
  <c r="H42" i="82"/>
  <c r="H45" i="82"/>
  <c r="H84" i="82"/>
  <c r="H87" i="82"/>
  <c r="M33" i="82"/>
  <c r="M42" i="82"/>
  <c r="M45" i="82"/>
  <c r="M84" i="82"/>
  <c r="M87" i="82"/>
  <c r="R34" i="82"/>
  <c r="BA34" i="82" s="1"/>
  <c r="R42" i="82"/>
  <c r="R45" i="82"/>
  <c r="R84" i="82"/>
  <c r="R87" i="82"/>
  <c r="W33" i="82"/>
  <c r="W84" i="82"/>
  <c r="W87" i="82"/>
  <c r="AB33" i="82"/>
  <c r="AB42" i="82"/>
  <c r="AB45" i="82"/>
  <c r="AB84" i="82"/>
  <c r="AB87" i="82"/>
  <c r="AG33" i="82"/>
  <c r="AG42" i="82"/>
  <c r="AG45" i="82"/>
  <c r="AG84" i="82"/>
  <c r="AG87" i="82"/>
  <c r="AL33" i="82"/>
  <c r="AL42" i="82"/>
  <c r="AL63" i="82"/>
  <c r="AL84" i="82"/>
  <c r="AL87" i="82"/>
  <c r="AQ33" i="82"/>
  <c r="AQ42" i="82"/>
  <c r="AQ45" i="82"/>
  <c r="AQ84" i="82"/>
  <c r="AQ87" i="82"/>
  <c r="AV33" i="82"/>
  <c r="AV42" i="82"/>
  <c r="AV45" i="82"/>
  <c r="AV84" i="82"/>
  <c r="AV87" i="82"/>
  <c r="H32" i="83"/>
  <c r="H42" i="83"/>
  <c r="H64" i="83"/>
  <c r="H50" i="83" s="1"/>
  <c r="H69" i="83"/>
  <c r="H72" i="83"/>
  <c r="C32" i="83"/>
  <c r="C47" i="83"/>
  <c r="C42" i="83" s="1"/>
  <c r="C50" i="83"/>
  <c r="C69" i="83"/>
  <c r="C72" i="83"/>
  <c r="M32" i="83"/>
  <c r="M42" i="83"/>
  <c r="M50" i="83"/>
  <c r="M69" i="83"/>
  <c r="R69" i="83" s="1"/>
  <c r="M72" i="83"/>
  <c r="BA97" i="82"/>
  <c r="B12" i="39"/>
  <c r="B46" i="39"/>
  <c r="B45" i="39" s="1"/>
  <c r="B57" i="39"/>
  <c r="B68" i="39"/>
  <c r="C128" i="57"/>
  <c r="C127" i="57" s="1"/>
  <c r="C102" i="57"/>
  <c r="C101" i="57" s="1"/>
  <c r="C79" i="36"/>
  <c r="D78" i="97" s="1"/>
  <c r="C81" i="36"/>
  <c r="R83" i="83"/>
  <c r="R84" i="83"/>
  <c r="H86" i="83"/>
  <c r="C86" i="83"/>
  <c r="M86" i="83"/>
  <c r="R91" i="83"/>
  <c r="D46" i="81" s="1"/>
  <c r="R92" i="83"/>
  <c r="D10" i="81" s="1"/>
  <c r="C69" i="58"/>
  <c r="C67" i="58"/>
  <c r="C46" i="58"/>
  <c r="M12" i="56" s="1"/>
  <c r="C50" i="58"/>
  <c r="C74" i="36"/>
  <c r="C68" i="36"/>
  <c r="D133" i="81"/>
  <c r="E133" i="81" s="1"/>
  <c r="U2" i="83"/>
  <c r="E2" i="39"/>
  <c r="C63" i="58"/>
  <c r="C84" i="58"/>
  <c r="C83" i="58" s="1"/>
  <c r="H116" i="82"/>
  <c r="M116" i="82" s="1"/>
  <c r="H117" i="82"/>
  <c r="M117" i="82" s="1"/>
  <c r="H124" i="82"/>
  <c r="M124" i="82" s="1"/>
  <c r="L30" i="52"/>
  <c r="L26" i="52"/>
  <c r="A41" i="80"/>
  <c r="G80" i="97"/>
  <c r="F80" i="97"/>
  <c r="E80" i="97"/>
  <c r="G68" i="97"/>
  <c r="F68" i="97"/>
  <c r="E68" i="97"/>
  <c r="N25" i="52"/>
  <c r="N24" i="52"/>
  <c r="M27" i="52"/>
  <c r="K27" i="52"/>
  <c r="J27" i="52"/>
  <c r="S45" i="83"/>
  <c r="F93" i="96"/>
  <c r="F178" i="96"/>
  <c r="F111" i="96"/>
  <c r="F110" i="96"/>
  <c r="BB51" i="82"/>
  <c r="F128" i="96"/>
  <c r="F154" i="96"/>
  <c r="F112" i="96"/>
  <c r="F56" i="96"/>
  <c r="F55" i="96" s="1"/>
  <c r="F25" i="96"/>
  <c r="F95" i="96"/>
  <c r="F92" i="96"/>
  <c r="BE26" i="82"/>
  <c r="BD26" i="82"/>
  <c r="BF26" i="82" s="1"/>
  <c r="BB26" i="82"/>
  <c r="BA26" i="82"/>
  <c r="O87" i="82"/>
  <c r="O84" i="82"/>
  <c r="AS33" i="82"/>
  <c r="F89" i="96"/>
  <c r="D68" i="36"/>
  <c r="E58" i="96"/>
  <c r="D58" i="96"/>
  <c r="D17" i="99"/>
  <c r="D11" i="99" s="1"/>
  <c r="D45" i="99" s="1"/>
  <c r="F60" i="96"/>
  <c r="F61" i="96"/>
  <c r="BB19" i="82"/>
  <c r="F59" i="96"/>
  <c r="N46" i="82"/>
  <c r="N45" i="82" s="1"/>
  <c r="BB44" i="82"/>
  <c r="AR42" i="82"/>
  <c r="AR33" i="82"/>
  <c r="F143" i="96"/>
  <c r="S57" i="83"/>
  <c r="S56" i="83"/>
  <c r="S36" i="83"/>
  <c r="F87" i="96"/>
  <c r="S22" i="83"/>
  <c r="S11" i="83"/>
  <c r="D29" i="36"/>
  <c r="F88" i="96"/>
  <c r="F163" i="96"/>
  <c r="F164" i="96"/>
  <c r="BA94" i="82"/>
  <c r="BB95" i="82"/>
  <c r="BB82" i="82"/>
  <c r="F114" i="96"/>
  <c r="BB56" i="82"/>
  <c r="BB54" i="82"/>
  <c r="F107" i="96"/>
  <c r="BB47" i="82"/>
  <c r="BB22" i="82"/>
  <c r="BB23" i="82"/>
  <c r="BB29" i="82"/>
  <c r="BB12" i="82"/>
  <c r="F22" i="96"/>
  <c r="D47" i="81"/>
  <c r="C37" i="99" s="1"/>
  <c r="C31" i="99" s="1"/>
  <c r="C45" i="99" s="1"/>
  <c r="BA83" i="82"/>
  <c r="BB83" i="82"/>
  <c r="AW45" i="82"/>
  <c r="AW42" i="82"/>
  <c r="AC42" i="82"/>
  <c r="BB38" i="82"/>
  <c r="BB37" i="82"/>
  <c r="D11" i="82"/>
  <c r="D28" i="82" s="1"/>
  <c r="BB75" i="82"/>
  <c r="BB76" i="82"/>
  <c r="BB77" i="82"/>
  <c r="BD77" i="82"/>
  <c r="BF77" i="82" s="1"/>
  <c r="BE77" i="82"/>
  <c r="BB78" i="82"/>
  <c r="BD78" i="82"/>
  <c r="BF78" i="82" s="1"/>
  <c r="BE78" i="82"/>
  <c r="BB79" i="82"/>
  <c r="BD79" i="82"/>
  <c r="BF79" i="82" s="1"/>
  <c r="BE79" i="82"/>
  <c r="BB80" i="82"/>
  <c r="BB81" i="82"/>
  <c r="BB85" i="82"/>
  <c r="BD85" i="82"/>
  <c r="BF85" i="82" s="1"/>
  <c r="BE85" i="82"/>
  <c r="BB86" i="82"/>
  <c r="BD86" i="82"/>
  <c r="BF86" i="82" s="1"/>
  <c r="BE86" i="82"/>
  <c r="BB97" i="82"/>
  <c r="C127" i="81" s="1"/>
  <c r="F127" i="81" s="1"/>
  <c r="BC97" i="82"/>
  <c r="E122" i="57" s="1"/>
  <c r="BD97" i="82"/>
  <c r="BE97" i="82"/>
  <c r="G122" i="57" s="1"/>
  <c r="BB102" i="82"/>
  <c r="BC102" i="82"/>
  <c r="BD102" i="82"/>
  <c r="BE102" i="82"/>
  <c r="BB52" i="82"/>
  <c r="BE52" i="82"/>
  <c r="BB53" i="82"/>
  <c r="BE53" i="82"/>
  <c r="BE54" i="82"/>
  <c r="BB55" i="82"/>
  <c r="BE56" i="82"/>
  <c r="BE57" i="82"/>
  <c r="BB57" i="82"/>
  <c r="BB58" i="82"/>
  <c r="BE59" i="82"/>
  <c r="BB59" i="82"/>
  <c r="BE60" i="82"/>
  <c r="BB60" i="82"/>
  <c r="BB61" i="82"/>
  <c r="BB62" i="82"/>
  <c r="BE63" i="82"/>
  <c r="BB63" i="82"/>
  <c r="BB64" i="82"/>
  <c r="BE65" i="82"/>
  <c r="BB65" i="82"/>
  <c r="BE66" i="82"/>
  <c r="BB66" i="82"/>
  <c r="BE70" i="82"/>
  <c r="BB72" i="82"/>
  <c r="BD72" i="82"/>
  <c r="BF72" i="82" s="1"/>
  <c r="BE72" i="82"/>
  <c r="BB73" i="82"/>
  <c r="BD73" i="82"/>
  <c r="BF73" i="82" s="1"/>
  <c r="BE73" i="82"/>
  <c r="BB74" i="82"/>
  <c r="BD74" i="82"/>
  <c r="BF74" i="82" s="1"/>
  <c r="BE74" i="82"/>
  <c r="BB35" i="82"/>
  <c r="BB40" i="82"/>
  <c r="BD40" i="82"/>
  <c r="BF40" i="82" s="1"/>
  <c r="BE40" i="82"/>
  <c r="BB41" i="82"/>
  <c r="BD41" i="82"/>
  <c r="BF41" i="82" s="1"/>
  <c r="BE41" i="82"/>
  <c r="BE46" i="82"/>
  <c r="BB48" i="82"/>
  <c r="BB50" i="82"/>
  <c r="BE50" i="82"/>
  <c r="BB13" i="82"/>
  <c r="BB14" i="82"/>
  <c r="BB16" i="82"/>
  <c r="BD16" i="82"/>
  <c r="BF16" i="82" s="1"/>
  <c r="BE16" i="82"/>
  <c r="BB20" i="82"/>
  <c r="BB21" i="82"/>
  <c r="BD21" i="82"/>
  <c r="BF21" i="82" s="1"/>
  <c r="BE21" i="82"/>
  <c r="BD23" i="82"/>
  <c r="BF23" i="82" s="1"/>
  <c r="BE23" i="82"/>
  <c r="BB25" i="82"/>
  <c r="BD25" i="82"/>
  <c r="BF25" i="82" s="1"/>
  <c r="BE25" i="82"/>
  <c r="BB27" i="82"/>
  <c r="BD27" i="82"/>
  <c r="BF27" i="82" s="1"/>
  <c r="BE27" i="82"/>
  <c r="BB30" i="82"/>
  <c r="BD30" i="82"/>
  <c r="BF30" i="82" s="1"/>
  <c r="BE30" i="82"/>
  <c r="S64" i="83"/>
  <c r="S42" i="83"/>
  <c r="S30" i="83"/>
  <c r="D134" i="57"/>
  <c r="D135" i="57"/>
  <c r="K24" i="99"/>
  <c r="K11" i="99" s="1"/>
  <c r="K45" i="99" s="1"/>
  <c r="D50" i="97"/>
  <c r="D40" i="36"/>
  <c r="E75" i="97"/>
  <c r="E73" i="97" s="1"/>
  <c r="B10" i="52"/>
  <c r="N38" i="101"/>
  <c r="M38" i="101"/>
  <c r="K38" i="101"/>
  <c r="I38" i="101"/>
  <c r="J37" i="101"/>
  <c r="B37" i="101"/>
  <c r="J36" i="101"/>
  <c r="B36" i="101"/>
  <c r="J35" i="101"/>
  <c r="B35" i="101"/>
  <c r="J34" i="101"/>
  <c r="B34" i="101"/>
  <c r="J33" i="101"/>
  <c r="B33" i="101"/>
  <c r="J32" i="101"/>
  <c r="B32" i="101"/>
  <c r="J31" i="101"/>
  <c r="B31" i="101"/>
  <c r="J30" i="101"/>
  <c r="B30" i="101"/>
  <c r="J29" i="101"/>
  <c r="B29" i="101"/>
  <c r="J28" i="101"/>
  <c r="B28" i="101"/>
  <c r="J27" i="101"/>
  <c r="B27" i="101"/>
  <c r="J26" i="101"/>
  <c r="B26" i="101"/>
  <c r="J25" i="101"/>
  <c r="B25" i="101"/>
  <c r="S20" i="101"/>
  <c r="Q20" i="101"/>
  <c r="J20" i="101"/>
  <c r="N19" i="101"/>
  <c r="L19" i="101"/>
  <c r="K19" i="101"/>
  <c r="N18" i="101"/>
  <c r="L18" i="101"/>
  <c r="K18" i="101"/>
  <c r="I18" i="101"/>
  <c r="F18" i="101"/>
  <c r="O37" i="101" s="1"/>
  <c r="E18" i="101"/>
  <c r="L37" i="101" s="1"/>
  <c r="D18" i="101"/>
  <c r="C18" i="101"/>
  <c r="B18" i="101"/>
  <c r="N17" i="101"/>
  <c r="L17" i="101"/>
  <c r="K17" i="101"/>
  <c r="I17" i="101"/>
  <c r="F17" i="101"/>
  <c r="O36" i="101" s="1"/>
  <c r="E17" i="101"/>
  <c r="L36" i="101" s="1"/>
  <c r="D17" i="101"/>
  <c r="C17" i="101"/>
  <c r="B17" i="101"/>
  <c r="N16" i="101"/>
  <c r="M16" i="101"/>
  <c r="L16" i="101"/>
  <c r="K16" i="101"/>
  <c r="I16" i="101"/>
  <c r="F16" i="101"/>
  <c r="O35" i="101" s="1"/>
  <c r="E16" i="101"/>
  <c r="L35" i="101" s="1"/>
  <c r="D16" i="101"/>
  <c r="C16" i="101"/>
  <c r="B16" i="101"/>
  <c r="N15" i="101"/>
  <c r="M15" i="101"/>
  <c r="L15" i="101"/>
  <c r="K15" i="101"/>
  <c r="I15" i="101"/>
  <c r="F15" i="101"/>
  <c r="O34" i="101" s="1"/>
  <c r="E15" i="101"/>
  <c r="L34" i="101" s="1"/>
  <c r="D15" i="101"/>
  <c r="C15" i="101"/>
  <c r="B15" i="101"/>
  <c r="N14" i="101"/>
  <c r="L14" i="101"/>
  <c r="K14" i="101"/>
  <c r="I14" i="101"/>
  <c r="F14" i="101"/>
  <c r="O33" i="101" s="1"/>
  <c r="E14" i="101"/>
  <c r="L33" i="101" s="1"/>
  <c r="D14" i="101"/>
  <c r="C14" i="101"/>
  <c r="B14" i="101"/>
  <c r="N13" i="101"/>
  <c r="L13" i="101"/>
  <c r="K13" i="101"/>
  <c r="I13" i="101"/>
  <c r="F13" i="101"/>
  <c r="O32" i="101" s="1"/>
  <c r="E13" i="101"/>
  <c r="L32" i="101" s="1"/>
  <c r="D13" i="101"/>
  <c r="C13" i="101"/>
  <c r="B13" i="101"/>
  <c r="N12" i="101"/>
  <c r="L12" i="101"/>
  <c r="K12" i="101"/>
  <c r="I12" i="101"/>
  <c r="F12" i="101"/>
  <c r="O31" i="101" s="1"/>
  <c r="E12" i="101"/>
  <c r="L31" i="101" s="1"/>
  <c r="D12" i="101"/>
  <c r="C12" i="101"/>
  <c r="B12" i="101"/>
  <c r="N11" i="101"/>
  <c r="M11" i="101"/>
  <c r="L11" i="101"/>
  <c r="K11" i="101"/>
  <c r="I11" i="101"/>
  <c r="F11" i="101"/>
  <c r="O30" i="101" s="1"/>
  <c r="E11" i="101"/>
  <c r="L30" i="101" s="1"/>
  <c r="D11" i="101"/>
  <c r="C11" i="101"/>
  <c r="B11" i="101"/>
  <c r="N10" i="101"/>
  <c r="M10" i="101"/>
  <c r="L10" i="101"/>
  <c r="K10" i="101"/>
  <c r="I10" i="101"/>
  <c r="F10" i="101"/>
  <c r="O29" i="101" s="1"/>
  <c r="E10" i="101"/>
  <c r="L29" i="101" s="1"/>
  <c r="D10" i="101"/>
  <c r="C10" i="101"/>
  <c r="B10" i="101"/>
  <c r="N9" i="101"/>
  <c r="L9" i="101"/>
  <c r="K9" i="101"/>
  <c r="I9" i="101"/>
  <c r="F9" i="101"/>
  <c r="O28" i="101" s="1"/>
  <c r="E9" i="101"/>
  <c r="L28" i="101" s="1"/>
  <c r="D9" i="101"/>
  <c r="C9" i="101"/>
  <c r="B9" i="101"/>
  <c r="N8" i="101"/>
  <c r="L8" i="101"/>
  <c r="K8" i="101"/>
  <c r="I8" i="101"/>
  <c r="F8" i="101"/>
  <c r="O27" i="101" s="1"/>
  <c r="E8" i="101"/>
  <c r="L27" i="101" s="1"/>
  <c r="D8" i="101"/>
  <c r="C8" i="101"/>
  <c r="B8" i="101"/>
  <c r="N7" i="101"/>
  <c r="L7" i="101"/>
  <c r="K7" i="101"/>
  <c r="I7" i="101"/>
  <c r="F7" i="101"/>
  <c r="O26" i="101" s="1"/>
  <c r="E7" i="101"/>
  <c r="L26" i="101" s="1"/>
  <c r="D7" i="101"/>
  <c r="C7" i="101"/>
  <c r="B7" i="101"/>
  <c r="N6" i="101"/>
  <c r="M6" i="101"/>
  <c r="L6" i="101"/>
  <c r="K6" i="101"/>
  <c r="I6" i="101"/>
  <c r="F6" i="101"/>
  <c r="O25" i="101" s="1"/>
  <c r="E6" i="101"/>
  <c r="L25" i="101" s="1"/>
  <c r="D6" i="101"/>
  <c r="C6" i="101"/>
  <c r="B6" i="101"/>
  <c r="M122" i="82"/>
  <c r="R45" i="83"/>
  <c r="C135" i="57"/>
  <c r="E13" i="100"/>
  <c r="F14" i="100" s="1"/>
  <c r="F12" i="100"/>
  <c r="G12" i="100" s="1"/>
  <c r="F11" i="100"/>
  <c r="BA102" i="82"/>
  <c r="BA95" i="82"/>
  <c r="BA54" i="82"/>
  <c r="BA56" i="82"/>
  <c r="BA57" i="82"/>
  <c r="BA58" i="82"/>
  <c r="BA59" i="82"/>
  <c r="BA60" i="82"/>
  <c r="BA61" i="82"/>
  <c r="BA62" i="82"/>
  <c r="BA64" i="82"/>
  <c r="BA65" i="82"/>
  <c r="BA66" i="82"/>
  <c r="BA72" i="82"/>
  <c r="BA73" i="82"/>
  <c r="BA74" i="82"/>
  <c r="BA75" i="82"/>
  <c r="BA76" i="82"/>
  <c r="BA77" i="82"/>
  <c r="BA78" i="82"/>
  <c r="BA79" i="82"/>
  <c r="BA80" i="82"/>
  <c r="BA81" i="82"/>
  <c r="BA82" i="82"/>
  <c r="BA85" i="82"/>
  <c r="BA86" i="82"/>
  <c r="BA91" i="82"/>
  <c r="BA92" i="82"/>
  <c r="BA35" i="82"/>
  <c r="BA40" i="82"/>
  <c r="BA41" i="82"/>
  <c r="BA44" i="82"/>
  <c r="BA46" i="82"/>
  <c r="BA47" i="82"/>
  <c r="BA48" i="82"/>
  <c r="BA50" i="82"/>
  <c r="BA51" i="82"/>
  <c r="BA52" i="82"/>
  <c r="BA53" i="82"/>
  <c r="BA29" i="82"/>
  <c r="BA19" i="82"/>
  <c r="BA21" i="82"/>
  <c r="BA23" i="82"/>
  <c r="BA25" i="82"/>
  <c r="BA27" i="82"/>
  <c r="BA13" i="82"/>
  <c r="BA14" i="82"/>
  <c r="BA16" i="82"/>
  <c r="BA17" i="82"/>
  <c r="BA12" i="82"/>
  <c r="V9" i="83"/>
  <c r="V13" i="83"/>
  <c r="V18" i="83"/>
  <c r="V25" i="83"/>
  <c r="V27" i="83"/>
  <c r="V30" i="83"/>
  <c r="V33" i="83"/>
  <c r="V34" i="83"/>
  <c r="V35" i="83"/>
  <c r="V37" i="83"/>
  <c r="V38" i="83"/>
  <c r="V43" i="83"/>
  <c r="V44" i="83"/>
  <c r="V48" i="83"/>
  <c r="V49" i="83"/>
  <c r="V52" i="83"/>
  <c r="V53" i="83"/>
  <c r="V54" i="83"/>
  <c r="V55" i="83"/>
  <c r="V56" i="83"/>
  <c r="V57" i="83"/>
  <c r="V58" i="83"/>
  <c r="V59" i="83"/>
  <c r="V61" i="83"/>
  <c r="V62" i="83"/>
  <c r="V63" i="83"/>
  <c r="V66" i="83"/>
  <c r="V68" i="83"/>
  <c r="V71" i="83"/>
  <c r="V74" i="83"/>
  <c r="V75" i="83"/>
  <c r="V76" i="83"/>
  <c r="V77" i="83"/>
  <c r="V78" i="83"/>
  <c r="V83" i="83"/>
  <c r="V84" i="83"/>
  <c r="D138" i="81" s="1"/>
  <c r="E138" i="81" s="1"/>
  <c r="V87" i="83"/>
  <c r="V88" i="83"/>
  <c r="V90" i="83"/>
  <c r="D39" i="81"/>
  <c r="F41" i="99" s="1"/>
  <c r="F35" i="99" s="1"/>
  <c r="D51" i="81"/>
  <c r="D49" i="81"/>
  <c r="G68" i="36"/>
  <c r="G86" i="36" s="1"/>
  <c r="K28" i="99"/>
  <c r="K15" i="99" s="1"/>
  <c r="K49" i="99" s="1"/>
  <c r="G50" i="36"/>
  <c r="G40" i="36"/>
  <c r="K26" i="99"/>
  <c r="K13" i="99" s="1"/>
  <c r="K47" i="99" s="1"/>
  <c r="F50" i="36"/>
  <c r="H50" i="36" s="1"/>
  <c r="BE95" i="82"/>
  <c r="BD95" i="82"/>
  <c r="AK87" i="82"/>
  <c r="AA87" i="82"/>
  <c r="AA84" i="82"/>
  <c r="BE81" i="82"/>
  <c r="Q87" i="82"/>
  <c r="Q84" i="82"/>
  <c r="BE82" i="82"/>
  <c r="BE76" i="82"/>
  <c r="BE75" i="82"/>
  <c r="BD82" i="82"/>
  <c r="BF82" i="82" s="1"/>
  <c r="BD76" i="82"/>
  <c r="BF76" i="82" s="1"/>
  <c r="BD75" i="82"/>
  <c r="BF75" i="82" s="1"/>
  <c r="BE69" i="82"/>
  <c r="AZ45" i="82"/>
  <c r="AZ42" i="82"/>
  <c r="AU45" i="82"/>
  <c r="AU42" i="82"/>
  <c r="BE64" i="82"/>
  <c r="BE62" i="82"/>
  <c r="BE49" i="82"/>
  <c r="BE61" i="82"/>
  <c r="BD44" i="82"/>
  <c r="BF44" i="82" s="1"/>
  <c r="Q45" i="82"/>
  <c r="BE55" i="82"/>
  <c r="BE39" i="82"/>
  <c r="BE38" i="82"/>
  <c r="BE37" i="82"/>
  <c r="BE36" i="82"/>
  <c r="BE35" i="82"/>
  <c r="BD38" i="82"/>
  <c r="BF38" i="82" s="1"/>
  <c r="BD37" i="82"/>
  <c r="BF37" i="82" s="1"/>
  <c r="BE17" i="82"/>
  <c r="BE13" i="82"/>
  <c r="BD17" i="82"/>
  <c r="BF17" i="82" s="1"/>
  <c r="BD13" i="82"/>
  <c r="BF13" i="82" s="1"/>
  <c r="BE31" i="82"/>
  <c r="BE22" i="82"/>
  <c r="BE20" i="82"/>
  <c r="BE19" i="82"/>
  <c r="BD22" i="82"/>
  <c r="BF22" i="82" s="1"/>
  <c r="BD20" i="82"/>
  <c r="BF20" i="82" s="1"/>
  <c r="G46" i="36"/>
  <c r="F46" i="36"/>
  <c r="H46" i="36" s="1"/>
  <c r="D37" i="81"/>
  <c r="E37" i="81" s="1"/>
  <c r="V81" i="83"/>
  <c r="V79" i="83"/>
  <c r="V69" i="83"/>
  <c r="V67" i="83"/>
  <c r="V60" i="83"/>
  <c r="V51" i="83"/>
  <c r="V47" i="83"/>
  <c r="V46" i="83"/>
  <c r="V41" i="83"/>
  <c r="V36" i="83"/>
  <c r="V22" i="83"/>
  <c r="V21" i="83"/>
  <c r="V12" i="83"/>
  <c r="F153" i="96"/>
  <c r="F162" i="96"/>
  <c r="F141" i="96"/>
  <c r="I9" i="80"/>
  <c r="A32" i="80"/>
  <c r="E32" i="80"/>
  <c r="G32" i="80"/>
  <c r="H32" i="80"/>
  <c r="I32" i="80"/>
  <c r="L32" i="80"/>
  <c r="M32" i="80"/>
  <c r="P32" i="80"/>
  <c r="A33" i="80"/>
  <c r="E33" i="80"/>
  <c r="G33" i="80"/>
  <c r="H33" i="80"/>
  <c r="I33" i="80"/>
  <c r="L33" i="80"/>
  <c r="M33" i="80"/>
  <c r="P33" i="80"/>
  <c r="P29" i="80"/>
  <c r="P28" i="80"/>
  <c r="P31" i="80"/>
  <c r="L29" i="80"/>
  <c r="M29" i="80"/>
  <c r="L28" i="80"/>
  <c r="M28" i="80"/>
  <c r="L31" i="80"/>
  <c r="M31" i="80"/>
  <c r="E29" i="80"/>
  <c r="G29" i="80"/>
  <c r="H29" i="80"/>
  <c r="I29" i="80"/>
  <c r="E28" i="80"/>
  <c r="G28" i="80"/>
  <c r="H28" i="80"/>
  <c r="I28" i="80"/>
  <c r="E31" i="80"/>
  <c r="G31" i="80"/>
  <c r="H31" i="80"/>
  <c r="I31" i="80"/>
  <c r="K38" i="80"/>
  <c r="K32" i="80" s="1"/>
  <c r="F38" i="80"/>
  <c r="F32" i="80" s="1"/>
  <c r="C38" i="80"/>
  <c r="C32" i="80" s="1"/>
  <c r="D38" i="80"/>
  <c r="D32" i="80" s="1"/>
  <c r="B38" i="80"/>
  <c r="B32" i="80" s="1"/>
  <c r="P10" i="80"/>
  <c r="P9" i="80"/>
  <c r="P12" i="80"/>
  <c r="P13" i="80"/>
  <c r="P14" i="80"/>
  <c r="K13" i="80"/>
  <c r="L13" i="80"/>
  <c r="M13" i="80"/>
  <c r="I13" i="80"/>
  <c r="G13" i="80"/>
  <c r="B13" i="80"/>
  <c r="C13" i="80"/>
  <c r="D13" i="80"/>
  <c r="E13" i="80"/>
  <c r="F13" i="80"/>
  <c r="H13" i="80"/>
  <c r="J25" i="80"/>
  <c r="A43" i="80"/>
  <c r="A42" i="80"/>
  <c r="A45" i="80"/>
  <c r="A46" i="80"/>
  <c r="A47" i="80"/>
  <c r="A38" i="80"/>
  <c r="A29" i="80"/>
  <c r="A28" i="80"/>
  <c r="A31" i="80"/>
  <c r="A27" i="80"/>
  <c r="A22" i="80"/>
  <c r="A21" i="80"/>
  <c r="A24" i="80"/>
  <c r="A25" i="80"/>
  <c r="A16" i="80"/>
  <c r="A15" i="80"/>
  <c r="A34" i="80" s="1"/>
  <c r="A18" i="80"/>
  <c r="A19" i="80"/>
  <c r="A20" i="80"/>
  <c r="A10" i="80"/>
  <c r="A9" i="80"/>
  <c r="A12" i="80"/>
  <c r="A13" i="80"/>
  <c r="A14" i="80"/>
  <c r="C34" i="99"/>
  <c r="C48" i="99" s="1"/>
  <c r="E34" i="99"/>
  <c r="E48" i="99" s="1"/>
  <c r="F40" i="99"/>
  <c r="F34" i="99" s="1"/>
  <c r="F48" i="99" s="1"/>
  <c r="C10" i="99"/>
  <c r="E21" i="99"/>
  <c r="E15" i="99" s="1"/>
  <c r="E19" i="99"/>
  <c r="E13" i="99" s="1"/>
  <c r="E16" i="99"/>
  <c r="E10" i="99" s="1"/>
  <c r="E17" i="99"/>
  <c r="E11" i="99" s="1"/>
  <c r="D21" i="99"/>
  <c r="D15" i="99" s="1"/>
  <c r="D49" i="99" s="1"/>
  <c r="D13" i="99"/>
  <c r="D47" i="99" s="1"/>
  <c r="D10" i="99"/>
  <c r="A40" i="80"/>
  <c r="A41" i="99"/>
  <c r="A39" i="80" s="1"/>
  <c r="A39" i="99"/>
  <c r="A37" i="80" s="1"/>
  <c r="A37" i="99"/>
  <c r="A35" i="80" s="1"/>
  <c r="D30" i="99"/>
  <c r="G29" i="99"/>
  <c r="G28" i="99"/>
  <c r="A28" i="99"/>
  <c r="A26" i="80" s="1"/>
  <c r="G27" i="99"/>
  <c r="G26" i="99"/>
  <c r="G23" i="99"/>
  <c r="G24" i="99"/>
  <c r="L22" i="99"/>
  <c r="G22" i="99"/>
  <c r="D88" i="81"/>
  <c r="E88" i="81" s="1"/>
  <c r="E137" i="81"/>
  <c r="F137" i="81" s="1"/>
  <c r="F130" i="81"/>
  <c r="E123" i="81"/>
  <c r="F123" i="81" s="1"/>
  <c r="E109" i="81"/>
  <c r="F109" i="81" s="1"/>
  <c r="E102" i="81"/>
  <c r="F102" i="81" s="1"/>
  <c r="B71" i="81"/>
  <c r="B99" i="81" s="1"/>
  <c r="B106" i="81" s="1"/>
  <c r="B113" i="81" s="1"/>
  <c r="B120" i="81" s="1"/>
  <c r="B127" i="81" s="1"/>
  <c r="B134" i="81" s="1"/>
  <c r="B141" i="81" s="1"/>
  <c r="B148" i="81" s="1"/>
  <c r="B72" i="81"/>
  <c r="B100" i="81" s="1"/>
  <c r="B107" i="81" s="1"/>
  <c r="B114" i="81" s="1"/>
  <c r="B121" i="81" s="1"/>
  <c r="B128" i="81" s="1"/>
  <c r="B135" i="81" s="1"/>
  <c r="B142" i="81" s="1"/>
  <c r="B149" i="81" s="1"/>
  <c r="B73" i="81"/>
  <c r="B79" i="81" s="1"/>
  <c r="B93" i="81" s="1"/>
  <c r="B74" i="81"/>
  <c r="B102" i="81" s="1"/>
  <c r="B109" i="81" s="1"/>
  <c r="B116" i="81" s="1"/>
  <c r="B123" i="81" s="1"/>
  <c r="B130" i="81" s="1"/>
  <c r="B137" i="81" s="1"/>
  <c r="B144" i="81" s="1"/>
  <c r="B151" i="81" s="1"/>
  <c r="B75" i="81"/>
  <c r="B81" i="81" s="1"/>
  <c r="B95" i="81" s="1"/>
  <c r="B70" i="81"/>
  <c r="B84" i="81" s="1"/>
  <c r="D30" i="81"/>
  <c r="E30" i="81" s="1"/>
  <c r="B19" i="81"/>
  <c r="B27" i="81" s="1"/>
  <c r="B35" i="81" s="1"/>
  <c r="B47" i="81" s="1"/>
  <c r="B55" i="81" s="1"/>
  <c r="B63" i="81" s="1"/>
  <c r="B20" i="81"/>
  <c r="B28" i="81" s="1"/>
  <c r="B36" i="81" s="1"/>
  <c r="B48" i="81" s="1"/>
  <c r="B56" i="81" s="1"/>
  <c r="B64" i="81" s="1"/>
  <c r="B21" i="81"/>
  <c r="B29" i="81" s="1"/>
  <c r="B37" i="81" s="1"/>
  <c r="B49" i="81" s="1"/>
  <c r="B57" i="81" s="1"/>
  <c r="B65" i="81" s="1"/>
  <c r="B22" i="81"/>
  <c r="B30" i="81" s="1"/>
  <c r="B38" i="81" s="1"/>
  <c r="B50" i="81" s="1"/>
  <c r="B58" i="81" s="1"/>
  <c r="B66" i="81" s="1"/>
  <c r="B23" i="81"/>
  <c r="B31" i="81" s="1"/>
  <c r="B39" i="81" s="1"/>
  <c r="B51" i="81" s="1"/>
  <c r="B59" i="81" s="1"/>
  <c r="B67" i="81" s="1"/>
  <c r="BC95" i="82"/>
  <c r="AD87" i="82"/>
  <c r="F19" i="96"/>
  <c r="F13" i="96"/>
  <c r="F149" i="96"/>
  <c r="F84" i="96"/>
  <c r="F79" i="96"/>
  <c r="F121" i="96"/>
  <c r="F120" i="96"/>
  <c r="F119" i="96"/>
  <c r="F131" i="96"/>
  <c r="F130" i="96"/>
  <c r="F129" i="96"/>
  <c r="F118" i="96"/>
  <c r="F127" i="96"/>
  <c r="F158" i="96"/>
  <c r="F159" i="96"/>
  <c r="F86" i="96"/>
  <c r="F18" i="96"/>
  <c r="F17" i="96"/>
  <c r="F16" i="96"/>
  <c r="F15" i="96"/>
  <c r="F10" i="96"/>
  <c r="F20" i="96"/>
  <c r="F165" i="96"/>
  <c r="E128" i="57"/>
  <c r="E127" i="57" s="1"/>
  <c r="F128" i="57"/>
  <c r="F127" i="57" s="1"/>
  <c r="G128" i="57"/>
  <c r="G127" i="57" s="1"/>
  <c r="D35" i="81"/>
  <c r="E35" i="81" s="1"/>
  <c r="S88" i="83"/>
  <c r="T88" i="83"/>
  <c r="X88" i="83" s="1"/>
  <c r="S90" i="83"/>
  <c r="T90" i="83"/>
  <c r="X90" i="83" s="1"/>
  <c r="S84" i="83"/>
  <c r="D134" i="81" s="1"/>
  <c r="F35" i="80" s="1"/>
  <c r="F29" i="80" s="1"/>
  <c r="D136" i="81"/>
  <c r="F37" i="80" s="1"/>
  <c r="F31" i="80" s="1"/>
  <c r="S83" i="83"/>
  <c r="R71" i="83"/>
  <c r="S71" i="83"/>
  <c r="R73" i="83"/>
  <c r="S73" i="83"/>
  <c r="R74" i="83"/>
  <c r="S74" i="83"/>
  <c r="R75" i="83"/>
  <c r="S75" i="83"/>
  <c r="R76" i="83"/>
  <c r="S76" i="83"/>
  <c r="R77" i="83"/>
  <c r="S77" i="83"/>
  <c r="R78" i="83"/>
  <c r="S78" i="83"/>
  <c r="R79" i="83"/>
  <c r="S79" i="83"/>
  <c r="R81" i="83"/>
  <c r="S70" i="83"/>
  <c r="R70" i="83"/>
  <c r="R58" i="83"/>
  <c r="S58" i="83"/>
  <c r="R59" i="83"/>
  <c r="S59" i="83"/>
  <c r="R60" i="83"/>
  <c r="S60" i="83"/>
  <c r="R61" i="83"/>
  <c r="S61" i="83"/>
  <c r="R62" i="83"/>
  <c r="S62" i="83"/>
  <c r="R63" i="83"/>
  <c r="S63" i="83"/>
  <c r="R65" i="83"/>
  <c r="R66" i="83"/>
  <c r="S66" i="83"/>
  <c r="R67" i="83"/>
  <c r="S67" i="83"/>
  <c r="R68" i="83"/>
  <c r="S68" i="83"/>
  <c r="R48" i="83"/>
  <c r="S48" i="83"/>
  <c r="R49" i="83"/>
  <c r="S49" i="83"/>
  <c r="R51" i="83"/>
  <c r="S51" i="83"/>
  <c r="R52" i="83"/>
  <c r="S52" i="83"/>
  <c r="R53" i="83"/>
  <c r="S53" i="83"/>
  <c r="R54" i="83"/>
  <c r="S54" i="83"/>
  <c r="R55" i="83"/>
  <c r="S55" i="83"/>
  <c r="R56" i="83"/>
  <c r="R57" i="83"/>
  <c r="R43" i="83"/>
  <c r="S43" i="83"/>
  <c r="R44" i="83"/>
  <c r="S44" i="83"/>
  <c r="R46" i="83"/>
  <c r="S46" i="83"/>
  <c r="R34" i="83"/>
  <c r="S34" i="83"/>
  <c r="R35" i="83"/>
  <c r="S35" i="83"/>
  <c r="R36" i="83"/>
  <c r="R37" i="83"/>
  <c r="S37" i="83"/>
  <c r="R38" i="83"/>
  <c r="S38" i="83"/>
  <c r="R41" i="83"/>
  <c r="S41" i="83"/>
  <c r="S33" i="83"/>
  <c r="R33" i="83"/>
  <c r="S27" i="83"/>
  <c r="S12" i="83"/>
  <c r="S13" i="83"/>
  <c r="S18" i="83"/>
  <c r="S25" i="83"/>
  <c r="U9" i="83"/>
  <c r="N86" i="83"/>
  <c r="N89" i="83" s="1"/>
  <c r="K9" i="83"/>
  <c r="P9" i="83" s="1"/>
  <c r="I86" i="83"/>
  <c r="S17" i="83"/>
  <c r="S81" i="83"/>
  <c r="S65" i="83"/>
  <c r="S21" i="83"/>
  <c r="BA30" i="82"/>
  <c r="BB10" i="82"/>
  <c r="BC10" i="82"/>
  <c r="BD10" i="82"/>
  <c r="BE10" i="82"/>
  <c r="BA10" i="82"/>
  <c r="AW10" i="82"/>
  <c r="AX10" i="82"/>
  <c r="AY10" i="82"/>
  <c r="AZ10" i="82"/>
  <c r="AV10" i="82"/>
  <c r="AR84" i="82"/>
  <c r="AS84" i="82"/>
  <c r="AR45" i="82"/>
  <c r="AR32" i="82"/>
  <c r="AS32" i="82"/>
  <c r="AR11" i="82"/>
  <c r="AS11" i="82"/>
  <c r="AR18" i="82"/>
  <c r="AS18" i="82"/>
  <c r="AR10" i="82"/>
  <c r="AS10" i="82"/>
  <c r="AT10" i="82"/>
  <c r="AU10" i="82"/>
  <c r="AQ10" i="82"/>
  <c r="AM84" i="82"/>
  <c r="AN84" i="82"/>
  <c r="AM87" i="82"/>
  <c r="AN87" i="82"/>
  <c r="AM45" i="82"/>
  <c r="AM42" i="82"/>
  <c r="AN42" i="82"/>
  <c r="AM32" i="82"/>
  <c r="AN32" i="82"/>
  <c r="AM33" i="82"/>
  <c r="AN33" i="82"/>
  <c r="AM11" i="82"/>
  <c r="AN11" i="82"/>
  <c r="AP11" i="82"/>
  <c r="AM18" i="82"/>
  <c r="AN18" i="82"/>
  <c r="AP18" i="82"/>
  <c r="AM10" i="82"/>
  <c r="AN10" i="82"/>
  <c r="AO10" i="82"/>
  <c r="AP10" i="82"/>
  <c r="AL10" i="82"/>
  <c r="AI87" i="82"/>
  <c r="AI84" i="82"/>
  <c r="AI42" i="82"/>
  <c r="AI45" i="82"/>
  <c r="AI32" i="82"/>
  <c r="AI33" i="82"/>
  <c r="AI11" i="82"/>
  <c r="AI18" i="82"/>
  <c r="AH10" i="82"/>
  <c r="AI10" i="82"/>
  <c r="AJ10" i="82"/>
  <c r="AK10" i="82"/>
  <c r="AG10" i="82"/>
  <c r="AC10" i="82"/>
  <c r="AD10" i="82"/>
  <c r="AE10" i="82"/>
  <c r="AF10" i="82"/>
  <c r="AB10" i="82"/>
  <c r="Z10" i="82"/>
  <c r="AA10" i="82"/>
  <c r="W10" i="82"/>
  <c r="U10" i="82"/>
  <c r="V10" i="82"/>
  <c r="R10" i="82"/>
  <c r="P10" i="82"/>
  <c r="Q10" i="82"/>
  <c r="M10" i="82"/>
  <c r="BA90" i="82"/>
  <c r="BA38" i="82"/>
  <c r="K10" i="82"/>
  <c r="L10" i="82"/>
  <c r="H10" i="82"/>
  <c r="G11" i="82"/>
  <c r="G28" i="82" s="1"/>
  <c r="E11" i="82"/>
  <c r="E28" i="82" s="1"/>
  <c r="F8" i="39"/>
  <c r="C8" i="39"/>
  <c r="D8" i="39"/>
  <c r="E8" i="39"/>
  <c r="G7" i="58"/>
  <c r="D7" i="58"/>
  <c r="E7" i="58"/>
  <c r="F7" i="58"/>
  <c r="G7" i="57"/>
  <c r="D7" i="57"/>
  <c r="E7" i="57"/>
  <c r="F7" i="57"/>
  <c r="F115" i="96"/>
  <c r="BE47" i="82"/>
  <c r="F9" i="96"/>
  <c r="F11" i="96"/>
  <c r="F91" i="96"/>
  <c r="F97" i="96"/>
  <c r="F145" i="96"/>
  <c r="F151" i="96"/>
  <c r="F170" i="96"/>
  <c r="E38" i="81"/>
  <c r="AW84" i="82"/>
  <c r="AX84" i="82"/>
  <c r="AZ84" i="82"/>
  <c r="AZ87" i="82"/>
  <c r="AU11" i="82"/>
  <c r="AU18" i="82"/>
  <c r="AU32" i="82"/>
  <c r="AU33" i="82"/>
  <c r="AU84" i="82"/>
  <c r="AP32" i="82"/>
  <c r="AP33" i="82"/>
  <c r="AP42" i="82"/>
  <c r="AP84" i="82"/>
  <c r="AP87" i="82"/>
  <c r="AH32" i="82"/>
  <c r="AK32" i="82"/>
  <c r="AH33" i="82"/>
  <c r="AK33" i="82"/>
  <c r="AH42" i="82"/>
  <c r="AK42" i="82"/>
  <c r="AH45" i="82"/>
  <c r="AK45" i="82"/>
  <c r="AH84" i="82"/>
  <c r="AK84" i="82"/>
  <c r="AH87" i="82"/>
  <c r="AD42" i="82"/>
  <c r="AC84" i="82"/>
  <c r="AD84" i="82"/>
  <c r="AC87" i="82"/>
  <c r="X84" i="82"/>
  <c r="Y84" i="82"/>
  <c r="X87" i="82"/>
  <c r="BB34" i="82"/>
  <c r="N84" i="82"/>
  <c r="N87" i="82"/>
  <c r="C69" i="98"/>
  <c r="C68" i="98" s="1"/>
  <c r="F148" i="96"/>
  <c r="F51" i="96"/>
  <c r="F78" i="96"/>
  <c r="F147" i="96"/>
  <c r="C27" i="52"/>
  <c r="H27" i="52"/>
  <c r="E27" i="52"/>
  <c r="D19" i="53"/>
  <c r="D27" i="53" s="1"/>
  <c r="M28" i="83"/>
  <c r="D34" i="81"/>
  <c r="E34" i="81" s="1"/>
  <c r="D10" i="95"/>
  <c r="G10" i="95"/>
  <c r="G15" i="95" s="1"/>
  <c r="M10" i="95"/>
  <c r="J10" i="95"/>
  <c r="N10" i="95"/>
  <c r="O10" i="95"/>
  <c r="D11" i="95"/>
  <c r="G11" i="95"/>
  <c r="J11" i="95"/>
  <c r="M11" i="95"/>
  <c r="N11" i="95"/>
  <c r="O11" i="95"/>
  <c r="D12" i="95"/>
  <c r="G12" i="95"/>
  <c r="M12" i="95"/>
  <c r="J12" i="95"/>
  <c r="N12" i="95"/>
  <c r="O12" i="95"/>
  <c r="D13" i="95"/>
  <c r="G13" i="95"/>
  <c r="J13" i="95"/>
  <c r="M13" i="95"/>
  <c r="N13" i="95"/>
  <c r="O13" i="95"/>
  <c r="D14" i="95"/>
  <c r="G14" i="95"/>
  <c r="M14" i="95"/>
  <c r="J14" i="95"/>
  <c r="N14" i="95"/>
  <c r="O14" i="95"/>
  <c r="B15" i="95"/>
  <c r="C15" i="95"/>
  <c r="E15" i="95"/>
  <c r="E27" i="95"/>
  <c r="F15" i="95"/>
  <c r="H15" i="95"/>
  <c r="I15" i="95"/>
  <c r="K15" i="95"/>
  <c r="K27" i="95"/>
  <c r="L15" i="95"/>
  <c r="D16" i="95"/>
  <c r="G16" i="95"/>
  <c r="J16" i="95"/>
  <c r="M16" i="95"/>
  <c r="N16" i="95"/>
  <c r="O16" i="95"/>
  <c r="B17" i="95"/>
  <c r="C17" i="95"/>
  <c r="C27" i="95" s="1"/>
  <c r="C29" i="95" s="1"/>
  <c r="G17" i="95"/>
  <c r="H17" i="95"/>
  <c r="H27" i="95" s="1"/>
  <c r="H29" i="95" s="1"/>
  <c r="I17" i="95"/>
  <c r="M17" i="95"/>
  <c r="D18" i="95"/>
  <c r="M18" i="95"/>
  <c r="M27" i="95" s="1"/>
  <c r="J18" i="95"/>
  <c r="G18" i="95"/>
  <c r="N18" i="95"/>
  <c r="O18" i="95"/>
  <c r="D19" i="95"/>
  <c r="G19" i="95"/>
  <c r="J19" i="95"/>
  <c r="M19" i="95"/>
  <c r="P19" i="95" s="1"/>
  <c r="N19" i="95"/>
  <c r="O19" i="95"/>
  <c r="D20" i="95"/>
  <c r="G20" i="95"/>
  <c r="J20" i="95"/>
  <c r="M20" i="95"/>
  <c r="N20" i="95"/>
  <c r="O20" i="95"/>
  <c r="D21" i="95"/>
  <c r="F21" i="95"/>
  <c r="J21" i="95"/>
  <c r="M21" i="95"/>
  <c r="N21" i="95"/>
  <c r="D22" i="95"/>
  <c r="F22" i="95"/>
  <c r="G22" i="95" s="1"/>
  <c r="I22" i="95"/>
  <c r="J22" i="95" s="1"/>
  <c r="M22" i="95"/>
  <c r="N22" i="95"/>
  <c r="D23" i="95"/>
  <c r="G23" i="95"/>
  <c r="J23" i="95"/>
  <c r="M23" i="95"/>
  <c r="N23" i="95"/>
  <c r="O23" i="95"/>
  <c r="D24" i="95"/>
  <c r="G24" i="95"/>
  <c r="J24" i="95"/>
  <c r="M24" i="95"/>
  <c r="N24" i="95"/>
  <c r="O24" i="95"/>
  <c r="D25" i="95"/>
  <c r="G25" i="95"/>
  <c r="P25" i="95" s="1"/>
  <c r="J25" i="95"/>
  <c r="M25" i="95"/>
  <c r="N25" i="95"/>
  <c r="O25" i="95"/>
  <c r="D26" i="95"/>
  <c r="F26" i="95"/>
  <c r="G26" i="95" s="1"/>
  <c r="I26" i="95"/>
  <c r="J26" i="95" s="1"/>
  <c r="M26" i="95"/>
  <c r="N26" i="95"/>
  <c r="E35" i="95"/>
  <c r="F35" i="95" s="1"/>
  <c r="L27" i="95"/>
  <c r="D28" i="95"/>
  <c r="P28" i="95" s="1"/>
  <c r="N28" i="95"/>
  <c r="O28" i="95"/>
  <c r="P31" i="95"/>
  <c r="B35" i="95"/>
  <c r="C35" i="95" s="1"/>
  <c r="H35" i="95"/>
  <c r="I35" i="95" s="1"/>
  <c r="K35" i="95"/>
  <c r="L35" i="95" s="1"/>
  <c r="L36" i="95" s="1"/>
  <c r="P35" i="95"/>
  <c r="N35" i="95" s="1"/>
  <c r="O35" i="95" s="1"/>
  <c r="D5" i="98"/>
  <c r="E5" i="98"/>
  <c r="F5" i="98"/>
  <c r="C12" i="98"/>
  <c r="D12" i="98"/>
  <c r="G12" i="98"/>
  <c r="E13" i="98"/>
  <c r="E12" i="98" s="1"/>
  <c r="F13" i="98"/>
  <c r="F12" i="98" s="1"/>
  <c r="F15" i="98"/>
  <c r="C15" i="98"/>
  <c r="D15" i="98"/>
  <c r="E15" i="98"/>
  <c r="G15" i="98"/>
  <c r="H15" i="98"/>
  <c r="H11" i="98" s="1"/>
  <c r="M15" i="98"/>
  <c r="O15" i="98"/>
  <c r="M16" i="98"/>
  <c r="O16" i="98"/>
  <c r="C18" i="98"/>
  <c r="E18" i="98"/>
  <c r="G18" i="98"/>
  <c r="H18" i="98"/>
  <c r="D20" i="98"/>
  <c r="P12" i="98" s="1"/>
  <c r="F20" i="98"/>
  <c r="F18" i="98" s="1"/>
  <c r="D24" i="98"/>
  <c r="C26" i="98"/>
  <c r="C24" i="98" s="1"/>
  <c r="E26" i="98"/>
  <c r="E24" i="98" s="1"/>
  <c r="F26" i="98"/>
  <c r="F24" i="98" s="1"/>
  <c r="G26" i="98"/>
  <c r="G24" i="98" s="1"/>
  <c r="G29" i="98"/>
  <c r="G34" i="98"/>
  <c r="H26" i="98"/>
  <c r="H24" i="98" s="1"/>
  <c r="C29" i="98"/>
  <c r="E29" i="98"/>
  <c r="F29" i="98"/>
  <c r="H29" i="98"/>
  <c r="D31" i="98"/>
  <c r="D32" i="98"/>
  <c r="C34" i="98"/>
  <c r="D34" i="98"/>
  <c r="E34" i="98"/>
  <c r="F34" i="98"/>
  <c r="H34" i="98"/>
  <c r="C42" i="98"/>
  <c r="C47" i="98"/>
  <c r="D42" i="98"/>
  <c r="D47" i="98"/>
  <c r="D85" i="98"/>
  <c r="E42" i="98"/>
  <c r="F42" i="98"/>
  <c r="G42" i="98"/>
  <c r="H42" i="98"/>
  <c r="H47" i="98"/>
  <c r="H68" i="98"/>
  <c r="H78" i="98"/>
  <c r="H77" i="98" s="1"/>
  <c r="H94" i="98"/>
  <c r="H93" i="98" s="1"/>
  <c r="H96" i="98"/>
  <c r="G47" i="98"/>
  <c r="E48" i="98"/>
  <c r="F48" i="98"/>
  <c r="F49" i="98"/>
  <c r="I49" i="98" s="1"/>
  <c r="E51" i="98"/>
  <c r="F51" i="98"/>
  <c r="I58" i="98"/>
  <c r="I59" i="98"/>
  <c r="P68" i="98"/>
  <c r="D78" i="98"/>
  <c r="D77" i="98" s="1"/>
  <c r="G78" i="98"/>
  <c r="E79" i="98"/>
  <c r="E78" i="98" s="1"/>
  <c r="F79" i="98"/>
  <c r="F78" i="98" s="1"/>
  <c r="F87" i="98"/>
  <c r="F85" i="98" s="1"/>
  <c r="I79" i="98"/>
  <c r="I80" i="98"/>
  <c r="I81" i="98"/>
  <c r="I82" i="98"/>
  <c r="D83" i="98"/>
  <c r="Q84" i="98"/>
  <c r="R84" i="98" s="1"/>
  <c r="C85" i="98"/>
  <c r="G85" i="98"/>
  <c r="H85" i="98"/>
  <c r="E87" i="98"/>
  <c r="E85" i="98" s="1"/>
  <c r="D93" i="98"/>
  <c r="C94" i="98"/>
  <c r="C93" i="98" s="1"/>
  <c r="E94" i="98"/>
  <c r="E93" i="98" s="1"/>
  <c r="F94" i="98"/>
  <c r="F93" i="98" s="1"/>
  <c r="G94" i="98"/>
  <c r="G93" i="98" s="1"/>
  <c r="C96" i="98"/>
  <c r="D96" i="98"/>
  <c r="G96" i="98"/>
  <c r="E98" i="98"/>
  <c r="E96" i="98" s="1"/>
  <c r="F98" i="98"/>
  <c r="F96" i="98" s="1"/>
  <c r="D105" i="98"/>
  <c r="D103" i="98"/>
  <c r="D102" i="98" s="1"/>
  <c r="C14" i="56"/>
  <c r="E14" i="56"/>
  <c r="F14" i="56"/>
  <c r="I14" i="56"/>
  <c r="J14" i="56"/>
  <c r="E8" i="97"/>
  <c r="F8" i="97"/>
  <c r="G8" i="97"/>
  <c r="E56" i="97"/>
  <c r="F56" i="97"/>
  <c r="G56" i="97"/>
  <c r="C58" i="97"/>
  <c r="C59" i="97"/>
  <c r="D59" i="97"/>
  <c r="E59" i="97"/>
  <c r="F59" i="97"/>
  <c r="G59" i="97"/>
  <c r="G55" i="97" s="1"/>
  <c r="E60" i="97"/>
  <c r="F60" i="97"/>
  <c r="G60" i="97"/>
  <c r="E65" i="97"/>
  <c r="F65" i="97"/>
  <c r="G65" i="97"/>
  <c r="E70" i="97"/>
  <c r="E64" i="97" s="1"/>
  <c r="F73" i="97"/>
  <c r="F70" i="97" s="1"/>
  <c r="G73" i="97"/>
  <c r="G70" i="97" s="1"/>
  <c r="D74" i="97"/>
  <c r="E77" i="97"/>
  <c r="E76" i="97" s="1"/>
  <c r="E83" i="97" s="1"/>
  <c r="F77" i="97"/>
  <c r="F76" i="97" s="1"/>
  <c r="G77" i="97"/>
  <c r="G76" i="97" s="1"/>
  <c r="C78" i="97"/>
  <c r="C77" i="97" s="1"/>
  <c r="C76" i="97" s="1"/>
  <c r="N9" i="53"/>
  <c r="H19" i="53"/>
  <c r="H27" i="53" s="1"/>
  <c r="K19" i="53"/>
  <c r="N11" i="53"/>
  <c r="M19" i="53"/>
  <c r="N13" i="53"/>
  <c r="N14" i="53"/>
  <c r="N15" i="53"/>
  <c r="N21" i="53"/>
  <c r="N22" i="53"/>
  <c r="N24" i="53"/>
  <c r="B6" i="93"/>
  <c r="B8" i="93"/>
  <c r="B11" i="93"/>
  <c r="D10" i="91"/>
  <c r="D8" i="91" s="1"/>
  <c r="E10" i="91"/>
  <c r="E8" i="91" s="1"/>
  <c r="D22" i="91"/>
  <c r="D23" i="91" s="1"/>
  <c r="E22" i="91"/>
  <c r="D25" i="91"/>
  <c r="E25" i="91"/>
  <c r="D26" i="91"/>
  <c r="E26" i="91"/>
  <c r="D35" i="91"/>
  <c r="D27" i="91" s="1"/>
  <c r="E35" i="91"/>
  <c r="E27" i="91"/>
  <c r="D45" i="91"/>
  <c r="E45" i="91"/>
  <c r="D63" i="91"/>
  <c r="E63" i="91"/>
  <c r="D92" i="91"/>
  <c r="E92" i="91"/>
  <c r="E97" i="91"/>
  <c r="E98" i="91"/>
  <c r="E99" i="91"/>
  <c r="E112" i="91"/>
  <c r="C9" i="90"/>
  <c r="D9" i="90"/>
  <c r="E9" i="90"/>
  <c r="C14" i="90"/>
  <c r="D14" i="90"/>
  <c r="E14" i="90"/>
  <c r="E25" i="90" s="1"/>
  <c r="C18" i="90"/>
  <c r="D18" i="90"/>
  <c r="E18" i="90"/>
  <c r="C22" i="90"/>
  <c r="C25" i="90" s="1"/>
  <c r="C34" i="90" s="1"/>
  <c r="D22" i="90"/>
  <c r="D29" i="90"/>
  <c r="D32" i="90"/>
  <c r="E22" i="90"/>
  <c r="C29" i="90"/>
  <c r="E29" i="90"/>
  <c r="C32" i="90"/>
  <c r="E32" i="90"/>
  <c r="E9" i="94"/>
  <c r="E13" i="94"/>
  <c r="E18" i="94"/>
  <c r="D19" i="94"/>
  <c r="F19" i="94"/>
  <c r="E21" i="94"/>
  <c r="E22" i="94" s="1"/>
  <c r="D22" i="94"/>
  <c r="F22" i="94"/>
  <c r="D24" i="94"/>
  <c r="E24" i="94"/>
  <c r="E26" i="94"/>
  <c r="E28" i="94"/>
  <c r="F24" i="94"/>
  <c r="D28" i="94"/>
  <c r="F28" i="94"/>
  <c r="E42" i="94"/>
  <c r="E45" i="94"/>
  <c r="E49" i="94"/>
  <c r="D50" i="94"/>
  <c r="F50" i="94"/>
  <c r="D96" i="91" s="1"/>
  <c r="E96" i="91" s="1"/>
  <c r="D52" i="94"/>
  <c r="E52" i="94"/>
  <c r="F52" i="94"/>
  <c r="D54" i="94"/>
  <c r="E54" i="94"/>
  <c r="F54" i="94"/>
  <c r="F57" i="94"/>
  <c r="D57" i="94"/>
  <c r="E57" i="94"/>
  <c r="E61" i="94"/>
  <c r="F61" i="94"/>
  <c r="D101" i="91" s="1"/>
  <c r="E101" i="91" s="1"/>
  <c r="D67" i="94"/>
  <c r="E67" i="94"/>
  <c r="F67" i="94"/>
  <c r="D71" i="94"/>
  <c r="D73" i="94"/>
  <c r="E71" i="94"/>
  <c r="F71" i="94"/>
  <c r="E73" i="94"/>
  <c r="F73" i="94"/>
  <c r="F78" i="94" s="1"/>
  <c r="E77" i="94"/>
  <c r="D81" i="94"/>
  <c r="E81" i="94"/>
  <c r="F81" i="94"/>
  <c r="E6" i="88"/>
  <c r="E9" i="88"/>
  <c r="E7" i="88"/>
  <c r="C8" i="88"/>
  <c r="C12" i="88" s="1"/>
  <c r="D8" i="88"/>
  <c r="E10" i="88"/>
  <c r="E11" i="88" s="1"/>
  <c r="C11" i="88"/>
  <c r="D11" i="88"/>
  <c r="D12" i="88" s="1"/>
  <c r="D15" i="88" s="1"/>
  <c r="E14" i="88"/>
  <c r="F27" i="52"/>
  <c r="I27" i="52"/>
  <c r="L9" i="83"/>
  <c r="Q9" i="83" s="1"/>
  <c r="H9" i="83"/>
  <c r="M9" i="83" s="1"/>
  <c r="R9" i="83"/>
  <c r="M31" i="83"/>
  <c r="R88" i="83"/>
  <c r="D69" i="98" s="1"/>
  <c r="D68" i="98" s="1"/>
  <c r="R90" i="83"/>
  <c r="N11" i="82"/>
  <c r="O11" i="82"/>
  <c r="Q11" i="82"/>
  <c r="AH11" i="82"/>
  <c r="AK11" i="82"/>
  <c r="N18" i="82"/>
  <c r="O18" i="82"/>
  <c r="BC18" i="82" s="1"/>
  <c r="Q18" i="82"/>
  <c r="AH18" i="82"/>
  <c r="AK18" i="82"/>
  <c r="N32" i="82"/>
  <c r="O32" i="82"/>
  <c r="Q32" i="82"/>
  <c r="N33" i="82"/>
  <c r="O33" i="82"/>
  <c r="Q33" i="82"/>
  <c r="N42" i="82"/>
  <c r="O42" i="82"/>
  <c r="BC42" i="82" s="1"/>
  <c r="Q42" i="82"/>
  <c r="BE42" i="82" s="1"/>
  <c r="BA49" i="82"/>
  <c r="B18" i="81"/>
  <c r="B26" i="81" s="1"/>
  <c r="B34" i="81" s="1"/>
  <c r="B46" i="81" s="1"/>
  <c r="B54" i="81" s="1"/>
  <c r="B62" i="81" s="1"/>
  <c r="E19" i="81"/>
  <c r="E20" i="81"/>
  <c r="E21" i="81"/>
  <c r="E22" i="81"/>
  <c r="F22" i="81" s="1"/>
  <c r="E23" i="81"/>
  <c r="B90" i="81"/>
  <c r="B98" i="81"/>
  <c r="B105" i="81" s="1"/>
  <c r="B112" i="81" s="1"/>
  <c r="B119" i="81" s="1"/>
  <c r="B126" i="81" s="1"/>
  <c r="B133" i="81" s="1"/>
  <c r="B140" i="81" s="1"/>
  <c r="B147" i="81" s="1"/>
  <c r="N18" i="80"/>
  <c r="N19" i="80"/>
  <c r="B8" i="39"/>
  <c r="C7" i="58"/>
  <c r="C38" i="58"/>
  <c r="C39" i="58"/>
  <c r="C104" i="57" s="1"/>
  <c r="C62" i="97"/>
  <c r="C60" i="97" s="1"/>
  <c r="C74" i="97"/>
  <c r="C73" i="97" s="1"/>
  <c r="C75" i="97"/>
  <c r="C7" i="57"/>
  <c r="B102" i="57"/>
  <c r="B103" i="57"/>
  <c r="C107" i="57"/>
  <c r="C68" i="97"/>
  <c r="D128" i="57"/>
  <c r="D127" i="57" s="1"/>
  <c r="F57" i="36"/>
  <c r="G57" i="36"/>
  <c r="F58" i="36"/>
  <c r="G58" i="36"/>
  <c r="J21" i="99" s="1"/>
  <c r="D59" i="36"/>
  <c r="E59" i="36"/>
  <c r="F59" i="36"/>
  <c r="G59" i="36"/>
  <c r="E8" i="96"/>
  <c r="F12" i="96"/>
  <c r="F14" i="96"/>
  <c r="F21" i="96"/>
  <c r="F23" i="96"/>
  <c r="F24" i="96"/>
  <c r="F26" i="96"/>
  <c r="F29" i="96"/>
  <c r="F30" i="96"/>
  <c r="F31" i="96"/>
  <c r="D32" i="96"/>
  <c r="E32" i="96"/>
  <c r="F33" i="96"/>
  <c r="F34" i="96"/>
  <c r="F35" i="96"/>
  <c r="F36" i="96"/>
  <c r="F37" i="96"/>
  <c r="D38" i="96"/>
  <c r="E38" i="96"/>
  <c r="F39" i="96"/>
  <c r="F42" i="96"/>
  <c r="D43" i="96"/>
  <c r="E43" i="96"/>
  <c r="F44" i="96"/>
  <c r="F47" i="96"/>
  <c r="F49" i="96"/>
  <c r="F50" i="96"/>
  <c r="E55" i="96"/>
  <c r="D62" i="96"/>
  <c r="E62" i="96"/>
  <c r="F63" i="96"/>
  <c r="F62" i="96" s="1"/>
  <c r="D66" i="96"/>
  <c r="D65" i="96" s="1"/>
  <c r="E66" i="96"/>
  <c r="E65" i="96" s="1"/>
  <c r="F67" i="96"/>
  <c r="F66" i="96" s="1"/>
  <c r="F69" i="96"/>
  <c r="D70" i="96"/>
  <c r="E70" i="96"/>
  <c r="F71" i="96"/>
  <c r="F70" i="96" s="1"/>
  <c r="F75" i="96"/>
  <c r="F81" i="96"/>
  <c r="F82" i="96"/>
  <c r="F83" i="96"/>
  <c r="F99" i="96"/>
  <c r="F100" i="96"/>
  <c r="F105" i="96"/>
  <c r="F106" i="96"/>
  <c r="F116" i="96"/>
  <c r="F117" i="96"/>
  <c r="F135" i="96"/>
  <c r="F140" i="96"/>
  <c r="F152" i="96"/>
  <c r="F155" i="96"/>
  <c r="F157" i="96"/>
  <c r="F167" i="96"/>
  <c r="F168" i="96"/>
  <c r="F169" i="96"/>
  <c r="F171" i="96"/>
  <c r="F172" i="96"/>
  <c r="F173" i="96"/>
  <c r="F174" i="96"/>
  <c r="E175" i="96"/>
  <c r="E156" i="96" s="1"/>
  <c r="F176" i="96"/>
  <c r="F177" i="96"/>
  <c r="F179" i="96"/>
  <c r="D180" i="96"/>
  <c r="E180" i="96"/>
  <c r="F181" i="96"/>
  <c r="F180" i="96" s="1"/>
  <c r="C66" i="97"/>
  <c r="C65" i="97" s="1"/>
  <c r="C46" i="97"/>
  <c r="E19" i="53"/>
  <c r="E27" i="53" s="1"/>
  <c r="C50" i="97"/>
  <c r="C72" i="97"/>
  <c r="L19" i="53"/>
  <c r="L27" i="53" s="1"/>
  <c r="C22" i="97"/>
  <c r="J19" i="53"/>
  <c r="J27" i="53" s="1"/>
  <c r="C57" i="97"/>
  <c r="C56" i="97" s="1"/>
  <c r="N12" i="53"/>
  <c r="I83" i="98"/>
  <c r="D27" i="52"/>
  <c r="O15" i="95"/>
  <c r="E23" i="91"/>
  <c r="B26" i="53"/>
  <c r="C29" i="97"/>
  <c r="C40" i="97"/>
  <c r="D8" i="96"/>
  <c r="F27" i="96"/>
  <c r="F19" i="53"/>
  <c r="N25" i="80"/>
  <c r="G77" i="98"/>
  <c r="I19" i="53"/>
  <c r="I27" i="53" s="1"/>
  <c r="G19" i="53"/>
  <c r="G27" i="53" s="1"/>
  <c r="E8" i="88"/>
  <c r="F151" i="81"/>
  <c r="C16" i="97"/>
  <c r="C19" i="53"/>
  <c r="C27" i="53" s="1"/>
  <c r="F166" i="96"/>
  <c r="F150" i="96"/>
  <c r="C71" i="97"/>
  <c r="C70" i="97" s="1"/>
  <c r="C9" i="97"/>
  <c r="C8" i="97" s="1"/>
  <c r="N20" i="80"/>
  <c r="E50" i="81"/>
  <c r="F50" i="81" s="1"/>
  <c r="E58" i="81"/>
  <c r="F58" i="81" s="1"/>
  <c r="C67" i="97"/>
  <c r="E116" i="81"/>
  <c r="N10" i="53"/>
  <c r="L27" i="99"/>
  <c r="L20" i="99"/>
  <c r="G20" i="99"/>
  <c r="J19" i="80"/>
  <c r="C88" i="81"/>
  <c r="F144" i="81"/>
  <c r="C149" i="81"/>
  <c r="F149" i="81" s="1"/>
  <c r="S69" i="83"/>
  <c r="V70" i="83"/>
  <c r="V73" i="83"/>
  <c r="V64" i="83"/>
  <c r="S47" i="83"/>
  <c r="C31" i="83"/>
  <c r="H28" i="83"/>
  <c r="V17" i="83"/>
  <c r="S40" i="98"/>
  <c r="S29" i="83"/>
  <c r="V29" i="83"/>
  <c r="G11" i="100"/>
  <c r="G13" i="100" s="1"/>
  <c r="AN45" i="82"/>
  <c r="S16" i="83"/>
  <c r="D58" i="36"/>
  <c r="J17" i="99" s="1"/>
  <c r="J11" i="99" s="1"/>
  <c r="J45" i="99" s="1"/>
  <c r="S32" i="83"/>
  <c r="S72" i="83"/>
  <c r="F85" i="96"/>
  <c r="B101" i="81"/>
  <c r="B108" i="81" s="1"/>
  <c r="B115" i="81" s="1"/>
  <c r="B122" i="81" s="1"/>
  <c r="B129" i="81" s="1"/>
  <c r="B136" i="81" s="1"/>
  <c r="B143" i="81" s="1"/>
  <c r="B150" i="81" s="1"/>
  <c r="B87" i="81"/>
  <c r="AN28" i="82"/>
  <c r="F10" i="99"/>
  <c r="I20" i="80"/>
  <c r="I14" i="80" s="1"/>
  <c r="G22" i="36"/>
  <c r="D22" i="36"/>
  <c r="I16" i="80"/>
  <c r="I10" i="80" s="1"/>
  <c r="I43" i="80" s="1"/>
  <c r="V16" i="83"/>
  <c r="V72" i="83"/>
  <c r="V42" i="83"/>
  <c r="D46" i="36"/>
  <c r="D32" i="52"/>
  <c r="D33" i="52" s="1"/>
  <c r="D34" i="52" s="1"/>
  <c r="I18" i="80"/>
  <c r="I12" i="80" s="1"/>
  <c r="H154" i="96"/>
  <c r="H153" i="96" s="1"/>
  <c r="O21" i="95"/>
  <c r="F27" i="95"/>
  <c r="F29" i="95" s="1"/>
  <c r="M15" i="95"/>
  <c r="M33" i="95" s="1"/>
  <c r="F39" i="99"/>
  <c r="F33" i="99" s="1"/>
  <c r="V65" i="83"/>
  <c r="V11" i="83"/>
  <c r="G21" i="95"/>
  <c r="P21" i="95" s="1"/>
  <c r="O26" i="95"/>
  <c r="D15" i="95"/>
  <c r="D57" i="36"/>
  <c r="E20" i="91"/>
  <c r="E18" i="91" s="1"/>
  <c r="E17" i="91" s="1"/>
  <c r="E7" i="91" s="1"/>
  <c r="E78" i="94"/>
  <c r="E58" i="94"/>
  <c r="H31" i="83"/>
  <c r="N85" i="83"/>
  <c r="C33" i="90"/>
  <c r="BA88" i="82"/>
  <c r="BB17" i="82"/>
  <c r="G29" i="36"/>
  <c r="P47" i="80"/>
  <c r="S50" i="83"/>
  <c r="D55" i="96"/>
  <c r="D74" i="96"/>
  <c r="F90" i="96"/>
  <c r="G62" i="36"/>
  <c r="G60" i="36" s="1"/>
  <c r="C66" i="81" s="1"/>
  <c r="BB31" i="82"/>
  <c r="AP45" i="82"/>
  <c r="F139" i="96"/>
  <c r="D50" i="36"/>
  <c r="D62" i="36"/>
  <c r="D60" i="36" s="1"/>
  <c r="C63" i="81" s="1"/>
  <c r="I96" i="82"/>
  <c r="I99" i="82" s="1"/>
  <c r="I101" i="82" s="1"/>
  <c r="BB43" i="82"/>
  <c r="BD39" i="82"/>
  <c r="BF39" i="82" s="1"/>
  <c r="I28" i="99"/>
  <c r="I15" i="99" s="1"/>
  <c r="I49" i="99" s="1"/>
  <c r="M16" i="80"/>
  <c r="BD34" i="82"/>
  <c r="BF34" i="82" s="1"/>
  <c r="BE44" i="82"/>
  <c r="BB36" i="82"/>
  <c r="BD19" i="82"/>
  <c r="BF19" i="82" s="1"/>
  <c r="O45" i="82"/>
  <c r="AX87" i="82"/>
  <c r="AC45" i="82"/>
  <c r="T32" i="83"/>
  <c r="C40" i="39"/>
  <c r="J22" i="80" s="1"/>
  <c r="O22" i="80" s="1"/>
  <c r="B37" i="99"/>
  <c r="B31" i="99" s="1"/>
  <c r="D68" i="97"/>
  <c r="G64" i="97"/>
  <c r="D18" i="98"/>
  <c r="C11" i="98"/>
  <c r="C6" i="98" s="1"/>
  <c r="F29" i="36"/>
  <c r="BD29" i="82"/>
  <c r="BF29" i="82" s="1"/>
  <c r="BE43" i="82"/>
  <c r="F77" i="96"/>
  <c r="BA89" i="82"/>
  <c r="F32" i="52"/>
  <c r="V50" i="83"/>
  <c r="E70" i="36"/>
  <c r="N18" i="53"/>
  <c r="H59" i="36" l="1"/>
  <c r="C42" i="81"/>
  <c r="F42" i="81" s="1"/>
  <c r="N38" i="80"/>
  <c r="B77" i="81"/>
  <c r="B91" i="81" s="1"/>
  <c r="C39" i="99"/>
  <c r="C33" i="99" s="1"/>
  <c r="C47" i="99" s="1"/>
  <c r="C41" i="99"/>
  <c r="C35" i="99" s="1"/>
  <c r="C49" i="99" s="1"/>
  <c r="B86" i="81"/>
  <c r="O25" i="80"/>
  <c r="I27" i="95"/>
  <c r="H36" i="95"/>
  <c r="F47" i="98"/>
  <c r="D41" i="98"/>
  <c r="I40" i="98" s="1"/>
  <c r="F28" i="98"/>
  <c r="G28" i="98"/>
  <c r="F122" i="57"/>
  <c r="BF97" i="82"/>
  <c r="D135" i="81"/>
  <c r="F36" i="80" s="1"/>
  <c r="F30" i="80" s="1"/>
  <c r="X84" i="83"/>
  <c r="L46" i="80"/>
  <c r="BF95" i="82"/>
  <c r="J19" i="99"/>
  <c r="J13" i="99" s="1"/>
  <c r="J47" i="99" s="1"/>
  <c r="H58" i="36"/>
  <c r="C79" i="98"/>
  <c r="D20" i="91"/>
  <c r="D18" i="91" s="1"/>
  <c r="D17" i="91" s="1"/>
  <c r="F11" i="98"/>
  <c r="E46" i="80"/>
  <c r="P42" i="80"/>
  <c r="C62" i="36"/>
  <c r="C60" i="36" s="1"/>
  <c r="O18" i="53" s="1"/>
  <c r="K23" i="99"/>
  <c r="Z45" i="82"/>
  <c r="BD71" i="82"/>
  <c r="F38" i="99"/>
  <c r="F32" i="99" s="1"/>
  <c r="F18" i="99"/>
  <c r="F12" i="99" s="1"/>
  <c r="L18" i="99"/>
  <c r="L12" i="99" s="1"/>
  <c r="L46" i="99" s="1"/>
  <c r="J12" i="99"/>
  <c r="J46" i="99" s="1"/>
  <c r="I46" i="80"/>
  <c r="O19" i="80"/>
  <c r="J13" i="80"/>
  <c r="P43" i="80"/>
  <c r="I45" i="80"/>
  <c r="I47" i="80"/>
  <c r="G14" i="99"/>
  <c r="F80" i="81"/>
  <c r="F94" i="81" s="1"/>
  <c r="D74" i="81"/>
  <c r="E74" i="81" s="1"/>
  <c r="G58" i="81" s="1"/>
  <c r="B80" i="81"/>
  <c r="B94" i="81" s="1"/>
  <c r="B103" i="81"/>
  <c r="B110" i="81" s="1"/>
  <c r="B117" i="81" s="1"/>
  <c r="B124" i="81" s="1"/>
  <c r="B131" i="81" s="1"/>
  <c r="B138" i="81" s="1"/>
  <c r="B145" i="81" s="1"/>
  <c r="B152" i="81" s="1"/>
  <c r="D46" i="80"/>
  <c r="B88" i="81"/>
  <c r="M27" i="99"/>
  <c r="H41" i="98"/>
  <c r="H40" i="98" s="1"/>
  <c r="H39" i="98" s="1"/>
  <c r="H108" i="98" s="1"/>
  <c r="H6" i="98"/>
  <c r="P18" i="95"/>
  <c r="O17" i="95"/>
  <c r="N17" i="95"/>
  <c r="N27" i="95" s="1"/>
  <c r="P16" i="95"/>
  <c r="K36" i="95"/>
  <c r="P11" i="95"/>
  <c r="BC84" i="82"/>
  <c r="BC33" i="82"/>
  <c r="R50" i="83"/>
  <c r="F36" i="95"/>
  <c r="F58" i="94"/>
  <c r="D100" i="91" s="1"/>
  <c r="E100" i="91" s="1"/>
  <c r="E33" i="90"/>
  <c r="E34" i="90" s="1"/>
  <c r="D33" i="90"/>
  <c r="D7" i="91"/>
  <c r="G41" i="98"/>
  <c r="C28" i="98"/>
  <c r="P24" i="95"/>
  <c r="G69" i="98"/>
  <c r="G68" i="98" s="1"/>
  <c r="F9" i="88"/>
  <c r="G9" i="88" s="1"/>
  <c r="E50" i="94"/>
  <c r="D29" i="94"/>
  <c r="E19" i="94"/>
  <c r="F64" i="97"/>
  <c r="F83" i="97" s="1"/>
  <c r="G54" i="97"/>
  <c r="G63" i="97" s="1"/>
  <c r="F41" i="98"/>
  <c r="D30" i="98"/>
  <c r="D29" i="98" s="1"/>
  <c r="D28" i="98" s="1"/>
  <c r="E11" i="98"/>
  <c r="E6" i="98" s="1"/>
  <c r="E38" i="98" s="1"/>
  <c r="L29" i="95"/>
  <c r="BC89" i="82"/>
  <c r="Y87" i="82"/>
  <c r="BC87" i="82" s="1"/>
  <c r="F82" i="94"/>
  <c r="R64" i="83"/>
  <c r="R47" i="83"/>
  <c r="E36" i="81"/>
  <c r="F21" i="99"/>
  <c r="F15" i="99" s="1"/>
  <c r="F49" i="99" s="1"/>
  <c r="E51" i="81"/>
  <c r="F51" i="81" s="1"/>
  <c r="E136" i="81"/>
  <c r="C55" i="97"/>
  <c r="BC71" i="82"/>
  <c r="Y45" i="82"/>
  <c r="G14" i="56"/>
  <c r="BB46" i="82"/>
  <c r="BE33" i="82"/>
  <c r="C15" i="88"/>
  <c r="C13" i="88"/>
  <c r="F6" i="98"/>
  <c r="F38" i="98" s="1"/>
  <c r="G33" i="95"/>
  <c r="P26" i="95"/>
  <c r="C38" i="98"/>
  <c r="P22" i="95"/>
  <c r="G40" i="99"/>
  <c r="M40" i="99" s="1"/>
  <c r="B34" i="99"/>
  <c r="B48" i="99" s="1"/>
  <c r="BD84" i="82"/>
  <c r="M10" i="80"/>
  <c r="M43" i="80" s="1"/>
  <c r="L21" i="99"/>
  <c r="J15" i="99"/>
  <c r="J49" i="99" s="1"/>
  <c r="K29" i="95"/>
  <c r="M30" i="95" s="1"/>
  <c r="M32" i="95" s="1"/>
  <c r="P12" i="95"/>
  <c r="AM28" i="82"/>
  <c r="AN96" i="82"/>
  <c r="AN99" i="82" s="1"/>
  <c r="AN101" i="82" s="1"/>
  <c r="AR28" i="82"/>
  <c r="M22" i="99"/>
  <c r="P46" i="80"/>
  <c r="B38" i="101"/>
  <c r="G83" i="97"/>
  <c r="D13" i="88"/>
  <c r="E12" i="88"/>
  <c r="E13" i="88" s="1"/>
  <c r="D78" i="94"/>
  <c r="D82" i="94" s="1"/>
  <c r="J17" i="95"/>
  <c r="J27" i="95" s="1"/>
  <c r="J36" i="95" s="1"/>
  <c r="E29" i="94"/>
  <c r="E62" i="94" s="1"/>
  <c r="E77" i="98"/>
  <c r="H28" i="98"/>
  <c r="H38" i="98" s="1"/>
  <c r="C148" i="81"/>
  <c r="F148" i="81" s="1"/>
  <c r="O24" i="52"/>
  <c r="C92" i="58"/>
  <c r="M46" i="80"/>
  <c r="G46" i="80"/>
  <c r="N32" i="80"/>
  <c r="P45" i="80"/>
  <c r="C46" i="80"/>
  <c r="F46" i="80"/>
  <c r="B46" i="80"/>
  <c r="H46" i="80"/>
  <c r="N13" i="80"/>
  <c r="L14" i="99"/>
  <c r="G11" i="101"/>
  <c r="O12" i="101"/>
  <c r="G16" i="101"/>
  <c r="P36" i="101"/>
  <c r="G18" i="101"/>
  <c r="O18" i="101"/>
  <c r="O19" i="101"/>
  <c r="P19" i="101" s="1"/>
  <c r="R19" i="101" s="1"/>
  <c r="K46" i="80"/>
  <c r="B85" i="81"/>
  <c r="B78" i="81"/>
  <c r="B92" i="81" s="1"/>
  <c r="M29" i="99"/>
  <c r="J38" i="80"/>
  <c r="B89" i="81"/>
  <c r="F88" i="81"/>
  <c r="R32" i="83"/>
  <c r="E49" i="81"/>
  <c r="F49" i="81" s="1"/>
  <c r="V86" i="83"/>
  <c r="D124" i="81" s="1"/>
  <c r="K39" i="80" s="1"/>
  <c r="E47" i="81"/>
  <c r="F47" i="81" s="1"/>
  <c r="E134" i="81"/>
  <c r="R42" i="83"/>
  <c r="F17" i="99"/>
  <c r="F11" i="99" s="1"/>
  <c r="F37" i="99"/>
  <c r="F31" i="99" s="1"/>
  <c r="R86" i="83"/>
  <c r="F13" i="99"/>
  <c r="F47" i="99" s="1"/>
  <c r="E39" i="81"/>
  <c r="F58" i="96"/>
  <c r="F65" i="96"/>
  <c r="F64" i="96" s="1"/>
  <c r="AV28" i="82"/>
  <c r="O28" i="82"/>
  <c r="AI28" i="82"/>
  <c r="E16" i="80"/>
  <c r="E10" i="80" s="1"/>
  <c r="E43" i="80" s="1"/>
  <c r="D122" i="57"/>
  <c r="D64" i="96"/>
  <c r="F175" i="96"/>
  <c r="F156" i="96" s="1"/>
  <c r="E64" i="96"/>
  <c r="AA96" i="82"/>
  <c r="AA99" i="82" s="1"/>
  <c r="AA101" i="82" s="1"/>
  <c r="BA84" i="82"/>
  <c r="D45" i="82"/>
  <c r="BB71" i="82"/>
  <c r="X45" i="82"/>
  <c r="X96" i="82" s="1"/>
  <c r="X99" i="82" s="1"/>
  <c r="X101" i="82" s="1"/>
  <c r="C128" i="81"/>
  <c r="AU28" i="82"/>
  <c r="AR96" i="82"/>
  <c r="C129" i="81"/>
  <c r="E18" i="80" s="1"/>
  <c r="E12" i="80" s="1"/>
  <c r="E45" i="80" s="1"/>
  <c r="AD45" i="82"/>
  <c r="AD96" i="82" s="1"/>
  <c r="AD99" i="82" s="1"/>
  <c r="AD101" i="82" s="1"/>
  <c r="AG28" i="82"/>
  <c r="M28" i="82"/>
  <c r="C33" i="82"/>
  <c r="AS28" i="82"/>
  <c r="AU96" i="82"/>
  <c r="AS96" i="82"/>
  <c r="R33" i="82"/>
  <c r="C87" i="82"/>
  <c r="BA87" i="82" s="1"/>
  <c r="AI96" i="82"/>
  <c r="C66" i="58"/>
  <c r="L15" i="80" s="1"/>
  <c r="O10" i="57"/>
  <c r="O12" i="57" s="1"/>
  <c r="C69" i="57"/>
  <c r="C22" i="36" s="1"/>
  <c r="O11" i="53" s="1"/>
  <c r="D56" i="36"/>
  <c r="C35" i="81" s="1"/>
  <c r="F35" i="81" s="1"/>
  <c r="D29" i="97"/>
  <c r="O14" i="53"/>
  <c r="D46" i="97"/>
  <c r="C12" i="57"/>
  <c r="C11" i="57" s="1"/>
  <c r="B49" i="39"/>
  <c r="B48" i="39" s="1"/>
  <c r="B42" i="39" s="1"/>
  <c r="B41" i="39" s="1"/>
  <c r="B40" i="39" s="1"/>
  <c r="C28" i="57"/>
  <c r="D73" i="96"/>
  <c r="D182" i="96" s="1"/>
  <c r="F8" i="96"/>
  <c r="F39" i="80"/>
  <c r="F33" i="80" s="1"/>
  <c r="S31" i="83"/>
  <c r="D118" i="57" s="1"/>
  <c r="V31" i="83"/>
  <c r="G118" i="57" s="1"/>
  <c r="V28" i="83"/>
  <c r="D103" i="81" s="1"/>
  <c r="E103" i="81" s="1"/>
  <c r="F34" i="80"/>
  <c r="F28" i="80" s="1"/>
  <c r="E135" i="81"/>
  <c r="D15" i="81"/>
  <c r="B41" i="99" s="1"/>
  <c r="E13" i="81"/>
  <c r="D40" i="39"/>
  <c r="M26" i="80"/>
  <c r="M14" i="80" s="1"/>
  <c r="M47" i="80" s="1"/>
  <c r="C43" i="57"/>
  <c r="G6" i="101"/>
  <c r="G9" i="101"/>
  <c r="O11" i="101"/>
  <c r="P32" i="101"/>
  <c r="O17" i="101"/>
  <c r="G10" i="101"/>
  <c r="B20" i="101"/>
  <c r="G7" i="101"/>
  <c r="O7" i="101"/>
  <c r="I20" i="101"/>
  <c r="G13" i="101"/>
  <c r="F20" i="101"/>
  <c r="O40" i="101" s="1"/>
  <c r="I89" i="83"/>
  <c r="D62" i="94"/>
  <c r="B6" i="92"/>
  <c r="E11" i="81"/>
  <c r="H88" i="81"/>
  <c r="F116" i="81"/>
  <c r="G88" i="81" s="1"/>
  <c r="D7" i="96"/>
  <c r="F43" i="96"/>
  <c r="F38" i="96"/>
  <c r="F32" i="96"/>
  <c r="E7" i="96"/>
  <c r="D25" i="90"/>
  <c r="P20" i="95"/>
  <c r="S28" i="83"/>
  <c r="D115" i="57" s="1"/>
  <c r="E36" i="95"/>
  <c r="S86" i="83"/>
  <c r="M20" i="99"/>
  <c r="AK28" i="82"/>
  <c r="Q28" i="82"/>
  <c r="F55" i="97"/>
  <c r="F54" i="97" s="1"/>
  <c r="F63" i="97" s="1"/>
  <c r="D17" i="95"/>
  <c r="B27" i="95"/>
  <c r="B29" i="95" s="1"/>
  <c r="E46" i="81"/>
  <c r="F46" i="81" s="1"/>
  <c r="C36" i="99"/>
  <c r="AH28" i="82"/>
  <c r="N28" i="82"/>
  <c r="F29" i="94"/>
  <c r="E55" i="97"/>
  <c r="E54" i="97" s="1"/>
  <c r="E63" i="97" s="1"/>
  <c r="E86" i="97" s="1"/>
  <c r="P23" i="95"/>
  <c r="O22" i="95"/>
  <c r="O27" i="95" s="1"/>
  <c r="O29" i="95" s="1"/>
  <c r="E29" i="95"/>
  <c r="G30" i="95" s="1"/>
  <c r="G32" i="95" s="1"/>
  <c r="J15" i="95"/>
  <c r="N15" i="95"/>
  <c r="H16" i="80"/>
  <c r="H10" i="80" s="1"/>
  <c r="H43" i="80" s="1"/>
  <c r="AH96" i="82"/>
  <c r="AP96" i="82"/>
  <c r="AZ96" i="82"/>
  <c r="AZ99" i="82" s="1"/>
  <c r="AZ101" i="82" s="1"/>
  <c r="I42" i="80"/>
  <c r="BD14" i="82"/>
  <c r="BF14" i="82" s="1"/>
  <c r="BE12" i="82"/>
  <c r="J38" i="101"/>
  <c r="F40" i="39"/>
  <c r="F26" i="80" s="1"/>
  <c r="J26" i="80" s="1"/>
  <c r="C72" i="36"/>
  <c r="D72" i="97" s="1"/>
  <c r="C13" i="58"/>
  <c r="C16" i="36" s="1"/>
  <c r="O10" i="53" s="1"/>
  <c r="K11" i="56"/>
  <c r="AK96" i="82"/>
  <c r="BE29" i="82"/>
  <c r="BE84" i="82"/>
  <c r="O38" i="101"/>
  <c r="P28" i="101"/>
  <c r="J24" i="80"/>
  <c r="N96" i="82"/>
  <c r="W96" i="82"/>
  <c r="B38" i="99"/>
  <c r="D40" i="98"/>
  <c r="D39" i="98" s="1"/>
  <c r="D108" i="98" s="1"/>
  <c r="E28" i="98"/>
  <c r="P14" i="95"/>
  <c r="P10" i="95"/>
  <c r="AM96" i="82"/>
  <c r="D44" i="99"/>
  <c r="BE48" i="82"/>
  <c r="BE34" i="82"/>
  <c r="BE58" i="82"/>
  <c r="P26" i="101"/>
  <c r="P35" i="101"/>
  <c r="C78" i="36"/>
  <c r="H15" i="80" s="1"/>
  <c r="H9" i="80" s="1"/>
  <c r="H42" i="80" s="1"/>
  <c r="D80" i="97"/>
  <c r="D77" i="97" s="1"/>
  <c r="D76" i="97" s="1"/>
  <c r="C82" i="83"/>
  <c r="C89" i="83" s="1"/>
  <c r="C58" i="36"/>
  <c r="C56" i="36" s="1"/>
  <c r="J16" i="99"/>
  <c r="L16" i="99" s="1"/>
  <c r="C26" i="57"/>
  <c r="C24" i="57" s="1"/>
  <c r="AC96" i="82"/>
  <c r="AC99" i="82" s="1"/>
  <c r="AC101" i="82" s="1"/>
  <c r="BA42" i="82"/>
  <c r="K27" i="53"/>
  <c r="F27" i="53"/>
  <c r="C54" i="97"/>
  <c r="C63" i="97" s="1"/>
  <c r="G56" i="36"/>
  <c r="C39" i="81" s="1"/>
  <c r="F39" i="81" s="1"/>
  <c r="D42" i="58"/>
  <c r="D16" i="36"/>
  <c r="C19" i="81" s="1"/>
  <c r="F19" i="81" s="1"/>
  <c r="C121" i="81"/>
  <c r="M12" i="80"/>
  <c r="M45" i="80" s="1"/>
  <c r="C35" i="58"/>
  <c r="F62" i="36"/>
  <c r="G72" i="36"/>
  <c r="C45" i="58"/>
  <c r="C44" i="58" s="1"/>
  <c r="C30" i="81"/>
  <c r="F30" i="81" s="1"/>
  <c r="F66" i="81"/>
  <c r="C152" i="81"/>
  <c r="F152" i="81" s="1"/>
  <c r="C85" i="97"/>
  <c r="L16" i="80"/>
  <c r="D72" i="36"/>
  <c r="L26" i="80"/>
  <c r="L14" i="80" s="1"/>
  <c r="L47" i="80" s="1"/>
  <c r="H28" i="99"/>
  <c r="H15" i="99" s="1"/>
  <c r="H49" i="99" s="1"/>
  <c r="C23" i="81"/>
  <c r="F23" i="81" s="1"/>
  <c r="K26" i="80"/>
  <c r="D71" i="36"/>
  <c r="D89" i="58"/>
  <c r="F40" i="36"/>
  <c r="H40" i="36" s="1"/>
  <c r="I26" i="99"/>
  <c r="I13" i="99" s="1"/>
  <c r="I47" i="99" s="1"/>
  <c r="C40" i="36"/>
  <c r="E40" i="36"/>
  <c r="C20" i="81" s="1"/>
  <c r="F20" i="81" s="1"/>
  <c r="L17" i="99"/>
  <c r="D62" i="97"/>
  <c r="D60" i="97" s="1"/>
  <c r="F56" i="36"/>
  <c r="H20" i="80"/>
  <c r="H14" i="80" s="1"/>
  <c r="H47" i="80" s="1"/>
  <c r="K10" i="99"/>
  <c r="K44" i="99" s="1"/>
  <c r="N30" i="52"/>
  <c r="AB28" i="82"/>
  <c r="BA11" i="82"/>
  <c r="BD12" i="82"/>
  <c r="BF12" i="82" s="1"/>
  <c r="BD35" i="82"/>
  <c r="BF35" i="82" s="1"/>
  <c r="BD33" i="82"/>
  <c r="BF33" i="82" s="1"/>
  <c r="AW87" i="82"/>
  <c r="AW96" i="82" s="1"/>
  <c r="AW99" i="82" s="1"/>
  <c r="AW101" i="82" s="1"/>
  <c r="BD80" i="82"/>
  <c r="BF80" i="82" s="1"/>
  <c r="J96" i="82"/>
  <c r="C122" i="57"/>
  <c r="C126" i="81"/>
  <c r="H96" i="82"/>
  <c r="BB32" i="82"/>
  <c r="D117" i="57" s="1"/>
  <c r="C106" i="81" s="1"/>
  <c r="C16" i="80" s="1"/>
  <c r="C10" i="80" s="1"/>
  <c r="BD43" i="82"/>
  <c r="BF43" i="82" s="1"/>
  <c r="BB11" i="82"/>
  <c r="BB33" i="82"/>
  <c r="BB39" i="82"/>
  <c r="S96" i="82"/>
  <c r="S99" i="82" s="1"/>
  <c r="S101" i="82" s="1"/>
  <c r="BB49" i="82"/>
  <c r="AX96" i="82"/>
  <c r="AG96" i="82"/>
  <c r="BB84" i="82"/>
  <c r="BD31" i="82"/>
  <c r="BF31" i="82" s="1"/>
  <c r="BD32" i="82"/>
  <c r="F117" i="57" s="1"/>
  <c r="C108" i="81" s="1"/>
  <c r="C18" i="80" s="1"/>
  <c r="C12" i="80" s="1"/>
  <c r="BE14" i="82"/>
  <c r="AQ96" i="82"/>
  <c r="BE32" i="82"/>
  <c r="G117" i="57" s="1"/>
  <c r="C110" i="81" s="1"/>
  <c r="BA20" i="82"/>
  <c r="C18" i="82"/>
  <c r="BA43" i="82"/>
  <c r="Q96" i="82"/>
  <c r="AP28" i="82"/>
  <c r="V96" i="82"/>
  <c r="V99" i="82" s="1"/>
  <c r="V101" i="82" s="1"/>
  <c r="L96" i="82"/>
  <c r="BE80" i="82"/>
  <c r="BD81" i="82"/>
  <c r="BF81" i="82" s="1"/>
  <c r="BB42" i="82"/>
  <c r="AL45" i="82"/>
  <c r="BA63" i="82"/>
  <c r="H28" i="82"/>
  <c r="C9" i="52"/>
  <c r="W28" i="82"/>
  <c r="O96" i="82"/>
  <c r="T96" i="82"/>
  <c r="T99" i="82" s="1"/>
  <c r="T101" i="82" s="1"/>
  <c r="M96" i="82"/>
  <c r="M99" i="82" s="1"/>
  <c r="M101" i="82" s="1"/>
  <c r="AL28" i="82"/>
  <c r="C131" i="81"/>
  <c r="F131" i="81" s="1"/>
  <c r="R28" i="82"/>
  <c r="R72" i="83"/>
  <c r="R31" i="83"/>
  <c r="D105" i="81" s="1"/>
  <c r="C34" i="80" s="1"/>
  <c r="B11" i="39"/>
  <c r="B10" i="39" s="1"/>
  <c r="B9" i="39" s="1"/>
  <c r="F36" i="99"/>
  <c r="D9" i="36"/>
  <c r="D111" i="57"/>
  <c r="F20" i="80"/>
  <c r="H26" i="99"/>
  <c r="H13" i="99" s="1"/>
  <c r="H47" i="99" s="1"/>
  <c r="J21" i="80"/>
  <c r="F150" i="81"/>
  <c r="F22" i="36"/>
  <c r="F63" i="81"/>
  <c r="BB100" i="82"/>
  <c r="K16" i="80"/>
  <c r="K10" i="80" s="1"/>
  <c r="C120" i="81"/>
  <c r="BB18" i="82"/>
  <c r="BE18" i="82"/>
  <c r="M36" i="95"/>
  <c r="M29" i="95"/>
  <c r="H10" i="99"/>
  <c r="H44" i="99" s="1"/>
  <c r="G8" i="36"/>
  <c r="BD18" i="82"/>
  <c r="D89" i="83"/>
  <c r="S82" i="83"/>
  <c r="C82" i="98"/>
  <c r="C78" i="98" s="1"/>
  <c r="C77" i="98" s="1"/>
  <c r="E15" i="88"/>
  <c r="E47" i="98"/>
  <c r="E41" i="98" s="1"/>
  <c r="C41" i="98"/>
  <c r="C40" i="98" s="1"/>
  <c r="G27" i="95"/>
  <c r="P13" i="95"/>
  <c r="P15" i="95" s="1"/>
  <c r="F10" i="88"/>
  <c r="G10" i="88" s="1"/>
  <c r="D34" i="90"/>
  <c r="G11" i="98"/>
  <c r="G6" i="98" s="1"/>
  <c r="G38" i="98" s="1"/>
  <c r="L38" i="101"/>
  <c r="L19" i="99"/>
  <c r="D11" i="98"/>
  <c r="D6" i="98" s="1"/>
  <c r="D38" i="98" s="1"/>
  <c r="C64" i="97"/>
  <c r="C83" i="97" s="1"/>
  <c r="E82" i="94"/>
  <c r="P40" i="98"/>
  <c r="F77" i="98"/>
  <c r="C36" i="95"/>
  <c r="E57" i="36"/>
  <c r="E56" i="36" s="1"/>
  <c r="E55" i="36" s="1"/>
  <c r="E54" i="36" s="1"/>
  <c r="C76" i="36"/>
  <c r="C78" i="58"/>
  <c r="M15" i="80" s="1"/>
  <c r="M9" i="80" s="1"/>
  <c r="M42" i="80" s="1"/>
  <c r="E74" i="96"/>
  <c r="E73" i="96" s="1"/>
  <c r="E182" i="96" s="1"/>
  <c r="F76" i="96"/>
  <c r="F74" i="96" s="1"/>
  <c r="L27" i="52"/>
  <c r="N27" i="52" s="1"/>
  <c r="N26" i="52"/>
  <c r="O27" i="52" s="1"/>
  <c r="AV96" i="82"/>
  <c r="AV99" i="82" s="1"/>
  <c r="AV101" i="82" s="1"/>
  <c r="C32" i="82"/>
  <c r="BA32" i="82" s="1"/>
  <c r="C117" i="57" s="1"/>
  <c r="C105" i="81" s="1"/>
  <c r="C15" i="80" s="1"/>
  <c r="F13" i="100"/>
  <c r="O6" i="101"/>
  <c r="N20" i="101"/>
  <c r="O10" i="101"/>
  <c r="O13" i="101"/>
  <c r="E48" i="81"/>
  <c r="H82" i="83"/>
  <c r="AB96" i="82"/>
  <c r="AQ28" i="82"/>
  <c r="R16" i="83"/>
  <c r="R28" i="83" s="1"/>
  <c r="H141" i="82"/>
  <c r="M141" i="82" s="1"/>
  <c r="T31" i="83"/>
  <c r="E29" i="36"/>
  <c r="H29" i="36" s="1"/>
  <c r="E22" i="36"/>
  <c r="M82" i="83"/>
  <c r="M85" i="83" s="1"/>
  <c r="AL96" i="82"/>
  <c r="AL99" i="82" s="1"/>
  <c r="AL101" i="82" s="1"/>
  <c r="D57" i="97"/>
  <c r="T86" i="83"/>
  <c r="O8" i="101"/>
  <c r="C20" i="101"/>
  <c r="O9" i="101"/>
  <c r="D20" i="101"/>
  <c r="G12" i="101"/>
  <c r="O14" i="101"/>
  <c r="G15" i="101"/>
  <c r="P34" i="101"/>
  <c r="O15" i="101"/>
  <c r="O16" i="101"/>
  <c r="G17" i="101"/>
  <c r="R96" i="82"/>
  <c r="R99" i="83"/>
  <c r="BA71" i="82"/>
  <c r="C45" i="82"/>
  <c r="P30" i="101"/>
  <c r="P27" i="101"/>
  <c r="P29" i="101"/>
  <c r="P31" i="101"/>
  <c r="P33" i="101"/>
  <c r="P37" i="101"/>
  <c r="G8" i="101"/>
  <c r="K20" i="101"/>
  <c r="M20" i="101"/>
  <c r="P25" i="101"/>
  <c r="G14" i="101"/>
  <c r="E20" i="101"/>
  <c r="L20" i="101"/>
  <c r="H22" i="36" l="1"/>
  <c r="C62" i="81"/>
  <c r="F62" i="81" s="1"/>
  <c r="AM99" i="82"/>
  <c r="AM101" i="82" s="1"/>
  <c r="N29" i="95"/>
  <c r="P33" i="95" s="1"/>
  <c r="G40" i="98"/>
  <c r="G39" i="98" s="1"/>
  <c r="G108" i="98" s="1"/>
  <c r="G109" i="98" s="1"/>
  <c r="F60" i="36"/>
  <c r="H62" i="36"/>
  <c r="H57" i="36"/>
  <c r="D121" i="81"/>
  <c r="K36" i="80" s="1"/>
  <c r="K30" i="80" s="1"/>
  <c r="X86" i="83"/>
  <c r="B36" i="95"/>
  <c r="N36" i="95" s="1"/>
  <c r="F86" i="97"/>
  <c r="I36" i="95"/>
  <c r="O36" i="95" s="1"/>
  <c r="I29" i="95"/>
  <c r="J30" i="95" s="1"/>
  <c r="J32" i="95" s="1"/>
  <c r="H56" i="36"/>
  <c r="G86" i="97"/>
  <c r="BF71" i="82"/>
  <c r="BD45" i="82"/>
  <c r="Z96" i="82"/>
  <c r="Z99" i="82" s="1"/>
  <c r="Z101" i="82" s="1"/>
  <c r="P16" i="101"/>
  <c r="R16" i="101" s="1"/>
  <c r="R35" i="101" s="1"/>
  <c r="C85" i="83"/>
  <c r="F46" i="99"/>
  <c r="D122" i="81"/>
  <c r="K37" i="80" s="1"/>
  <c r="E15" i="80"/>
  <c r="E9" i="80" s="1"/>
  <c r="E42" i="80" s="1"/>
  <c r="E17" i="80"/>
  <c r="E11" i="80" s="1"/>
  <c r="E44" i="80" s="1"/>
  <c r="BC28" i="82"/>
  <c r="G34" i="99"/>
  <c r="G48" i="99" s="1"/>
  <c r="BC45" i="82"/>
  <c r="N46" i="80"/>
  <c r="AR99" i="82"/>
  <c r="AR101" i="82" s="1"/>
  <c r="P18" i="101"/>
  <c r="R18" i="101" s="1"/>
  <c r="R37" i="101" s="1"/>
  <c r="E124" i="81"/>
  <c r="E10" i="81"/>
  <c r="B36" i="99"/>
  <c r="B30" i="99" s="1"/>
  <c r="Y96" i="82"/>
  <c r="P12" i="101"/>
  <c r="R12" i="101" s="1"/>
  <c r="R31" i="101" s="1"/>
  <c r="P11" i="101"/>
  <c r="R11" i="101" s="1"/>
  <c r="R30" i="101" s="1"/>
  <c r="AX99" i="82"/>
  <c r="AX101" i="82" s="1"/>
  <c r="C8" i="58"/>
  <c r="O99" i="82"/>
  <c r="O101" i="82" s="1"/>
  <c r="F129" i="81"/>
  <c r="M14" i="99"/>
  <c r="L48" i="99"/>
  <c r="B32" i="99"/>
  <c r="H109" i="98"/>
  <c r="B33" i="99"/>
  <c r="F45" i="99"/>
  <c r="L10" i="80"/>
  <c r="N10" i="80" s="1"/>
  <c r="C77" i="36"/>
  <c r="O24" i="53" s="1"/>
  <c r="D22" i="97"/>
  <c r="O25" i="53"/>
  <c r="C42" i="58"/>
  <c r="O13" i="80"/>
  <c r="P9" i="101"/>
  <c r="R9" i="101" s="1"/>
  <c r="R28" i="101" s="1"/>
  <c r="O38" i="80"/>
  <c r="J32" i="80"/>
  <c r="AU99" i="82"/>
  <c r="AU101" i="82" s="1"/>
  <c r="D110" i="81"/>
  <c r="C39" i="80" s="1"/>
  <c r="C33" i="80" s="1"/>
  <c r="C118" i="57"/>
  <c r="C116" i="57" s="1"/>
  <c r="D106" i="81"/>
  <c r="E106" i="81" s="1"/>
  <c r="F106" i="81" s="1"/>
  <c r="D119" i="81"/>
  <c r="E69" i="98"/>
  <c r="E68" i="98" s="1"/>
  <c r="E40" i="98" s="1"/>
  <c r="E39" i="98" s="1"/>
  <c r="E108" i="98" s="1"/>
  <c r="E109" i="98" s="1"/>
  <c r="D99" i="81"/>
  <c r="B35" i="80" s="1"/>
  <c r="D72" i="96"/>
  <c r="D184" i="96" s="1"/>
  <c r="BB45" i="82"/>
  <c r="BA33" i="82"/>
  <c r="F73" i="96"/>
  <c r="F182" i="96" s="1"/>
  <c r="F7" i="96"/>
  <c r="F72" i="96" s="1"/>
  <c r="AG99" i="82"/>
  <c r="AG101" i="82" s="1"/>
  <c r="AI99" i="82"/>
  <c r="AI101" i="82" s="1"/>
  <c r="Q99" i="82"/>
  <c r="Q101" i="82" s="1"/>
  <c r="E72" i="96"/>
  <c r="E185" i="96" s="1"/>
  <c r="D90" i="58"/>
  <c r="AS99" i="82"/>
  <c r="AS101" i="82" s="1"/>
  <c r="F128" i="81"/>
  <c r="M142" i="82"/>
  <c r="R99" i="82"/>
  <c r="R101" i="82" s="1"/>
  <c r="AB99" i="82"/>
  <c r="AB101" i="82" s="1"/>
  <c r="N99" i="82"/>
  <c r="N101" i="82" s="1"/>
  <c r="BB89" i="82"/>
  <c r="G89" i="82"/>
  <c r="D87" i="82"/>
  <c r="D96" i="82" s="1"/>
  <c r="BB96" i="82" s="1"/>
  <c r="D120" i="57" s="1"/>
  <c r="AP99" i="82"/>
  <c r="AP101" i="82" s="1"/>
  <c r="E20" i="80"/>
  <c r="E14" i="80" s="1"/>
  <c r="E47" i="80" s="1"/>
  <c r="AQ99" i="82"/>
  <c r="AQ101" i="82" s="1"/>
  <c r="C27" i="81"/>
  <c r="L9" i="80"/>
  <c r="L42" i="80" s="1"/>
  <c r="C10" i="57"/>
  <c r="C9" i="57" s="1"/>
  <c r="P13" i="101"/>
  <c r="R13" i="101" s="1"/>
  <c r="R32" i="101" s="1"/>
  <c r="P8" i="101"/>
  <c r="R8" i="101" s="1"/>
  <c r="R27" i="101" s="1"/>
  <c r="P10" i="101"/>
  <c r="R10" i="101" s="1"/>
  <c r="R29" i="101" s="1"/>
  <c r="F74" i="39"/>
  <c r="G98" i="82" s="1"/>
  <c r="BE98" i="82" s="1"/>
  <c r="D55" i="36"/>
  <c r="D54" i="36" s="1"/>
  <c r="D8" i="36"/>
  <c r="C84" i="97"/>
  <c r="J10" i="99"/>
  <c r="J44" i="99" s="1"/>
  <c r="D109" i="98"/>
  <c r="G115" i="57"/>
  <c r="B39" i="80"/>
  <c r="B33" i="80" s="1"/>
  <c r="T28" i="83"/>
  <c r="E115" i="57" s="1"/>
  <c r="AH99" i="82"/>
  <c r="AH101" i="82" s="1"/>
  <c r="E15" i="81"/>
  <c r="C15" i="81" s="1"/>
  <c r="F8" i="36"/>
  <c r="E12" i="81"/>
  <c r="C12" i="81" s="1"/>
  <c r="B18" i="99" s="1"/>
  <c r="H18" i="80"/>
  <c r="H12" i="80" s="1"/>
  <c r="H45" i="80" s="1"/>
  <c r="C36" i="81"/>
  <c r="C28" i="81" s="1"/>
  <c r="L24" i="99"/>
  <c r="F12" i="80"/>
  <c r="F45" i="80" s="1"/>
  <c r="BD98" i="82"/>
  <c r="W99" i="82"/>
  <c r="W101" i="82" s="1"/>
  <c r="D116" i="57"/>
  <c r="P7" i="101"/>
  <c r="R7" i="101" s="1"/>
  <c r="R26" i="101" s="1"/>
  <c r="P17" i="101"/>
  <c r="R17" i="101" s="1"/>
  <c r="R36" i="101" s="1"/>
  <c r="P6" i="101"/>
  <c r="R6" i="101" s="1"/>
  <c r="R25" i="101" s="1"/>
  <c r="P38" i="101"/>
  <c r="F14" i="80"/>
  <c r="F47" i="80" s="1"/>
  <c r="BE100" i="82"/>
  <c r="C124" i="81"/>
  <c r="BC100" i="82"/>
  <c r="O39" i="101"/>
  <c r="P15" i="101"/>
  <c r="R15" i="101" s="1"/>
  <c r="R34" i="101" s="1"/>
  <c r="C11" i="81"/>
  <c r="F11" i="81" s="1"/>
  <c r="P14" i="101"/>
  <c r="R14" i="101" s="1"/>
  <c r="R33" i="101" s="1"/>
  <c r="F30" i="99"/>
  <c r="F44" i="99" s="1"/>
  <c r="F72" i="36"/>
  <c r="D58" i="97"/>
  <c r="D56" i="97" s="1"/>
  <c r="D55" i="97" s="1"/>
  <c r="D54" i="97" s="1"/>
  <c r="J33" i="95"/>
  <c r="J29" i="95"/>
  <c r="AK99" i="82"/>
  <c r="AK101" i="82" s="1"/>
  <c r="E111" i="57"/>
  <c r="H11" i="56"/>
  <c r="H14" i="56" s="1"/>
  <c r="K15" i="56" s="1"/>
  <c r="K14" i="56"/>
  <c r="D95" i="91"/>
  <c r="B12" i="92"/>
  <c r="F62" i="94"/>
  <c r="D27" i="95"/>
  <c r="P17" i="95"/>
  <c r="P27" i="95" s="1"/>
  <c r="P29" i="95" s="1"/>
  <c r="D120" i="81"/>
  <c r="F69" i="98"/>
  <c r="F68" i="98" s="1"/>
  <c r="F40" i="98" s="1"/>
  <c r="F39" i="98" s="1"/>
  <c r="F108" i="98" s="1"/>
  <c r="F109" i="98" s="1"/>
  <c r="D40" i="97"/>
  <c r="O13" i="53"/>
  <c r="C119" i="81"/>
  <c r="K15" i="80"/>
  <c r="I23" i="99"/>
  <c r="I10" i="99" s="1"/>
  <c r="I44" i="99" s="1"/>
  <c r="C30" i="99"/>
  <c r="C44" i="99" s="1"/>
  <c r="G55" i="36"/>
  <c r="G54" i="36" s="1"/>
  <c r="G63" i="36" s="1"/>
  <c r="D7" i="92" s="1"/>
  <c r="B7" i="92" s="1"/>
  <c r="B8" i="92" s="1"/>
  <c r="C21" i="81"/>
  <c r="F21" i="81" s="1"/>
  <c r="D70" i="36"/>
  <c r="L12" i="80"/>
  <c r="L45" i="80" s="1"/>
  <c r="F90" i="58"/>
  <c r="F71" i="36"/>
  <c r="BD100" i="82"/>
  <c r="E89" i="58"/>
  <c r="C74" i="81"/>
  <c r="F74" i="81" s="1"/>
  <c r="K14" i="80"/>
  <c r="N14" i="80" s="1"/>
  <c r="N26" i="80"/>
  <c r="O26" i="80" s="1"/>
  <c r="N21" i="80"/>
  <c r="O21" i="80" s="1"/>
  <c r="C37" i="81"/>
  <c r="C29" i="81" s="1"/>
  <c r="F55" i="36"/>
  <c r="E8" i="36"/>
  <c r="E63" i="36" s="1"/>
  <c r="L28" i="99"/>
  <c r="L15" i="99" s="1"/>
  <c r="L49" i="99" s="1"/>
  <c r="E42" i="58"/>
  <c r="G71" i="36"/>
  <c r="G70" i="36" s="1"/>
  <c r="G90" i="58"/>
  <c r="BD28" i="82"/>
  <c r="F114" i="57" s="1"/>
  <c r="C101" i="81" s="1"/>
  <c r="B18" i="80" s="1"/>
  <c r="BE28" i="82"/>
  <c r="G114" i="57" s="1"/>
  <c r="C103" i="81" s="1"/>
  <c r="G116" i="57"/>
  <c r="H99" i="82"/>
  <c r="H101" i="82" s="1"/>
  <c r="BE11" i="82"/>
  <c r="BD42" i="82"/>
  <c r="F126" i="81"/>
  <c r="L99" i="82"/>
  <c r="L101" i="82" s="1"/>
  <c r="BC11" i="82"/>
  <c r="B9" i="52"/>
  <c r="B8" i="52" s="1"/>
  <c r="B15" i="52" s="1"/>
  <c r="C8" i="52"/>
  <c r="C28" i="82"/>
  <c r="BA28" i="82" s="1"/>
  <c r="C114" i="57" s="1"/>
  <c r="C98" i="81" s="1"/>
  <c r="B15" i="80" s="1"/>
  <c r="BA18" i="82"/>
  <c r="BD11" i="82"/>
  <c r="E105" i="81"/>
  <c r="F105" i="81" s="1"/>
  <c r="B74" i="39"/>
  <c r="D74" i="39"/>
  <c r="D98" i="81"/>
  <c r="B34" i="80" s="1"/>
  <c r="C115" i="57"/>
  <c r="D16" i="97"/>
  <c r="C18" i="81"/>
  <c r="F18" i="81" s="1"/>
  <c r="G36" i="95"/>
  <c r="G29" i="95"/>
  <c r="K12" i="80"/>
  <c r="O20" i="101"/>
  <c r="M14" i="56"/>
  <c r="C10" i="52"/>
  <c r="F48" i="81"/>
  <c r="G89" i="83"/>
  <c r="V82" i="83"/>
  <c r="N25" i="53"/>
  <c r="N10" i="57"/>
  <c r="C39" i="98"/>
  <c r="C108" i="98" s="1"/>
  <c r="C109" i="98" s="1"/>
  <c r="D113" i="81"/>
  <c r="D121" i="57"/>
  <c r="N16" i="80"/>
  <c r="O16" i="80" s="1"/>
  <c r="L26" i="99"/>
  <c r="M26" i="99" s="1"/>
  <c r="O85" i="83"/>
  <c r="O89" i="83"/>
  <c r="J99" i="82"/>
  <c r="J101" i="82" s="1"/>
  <c r="BC32" i="82"/>
  <c r="E117" i="57" s="1"/>
  <c r="R82" i="83"/>
  <c r="R85" i="83" s="1"/>
  <c r="R89" i="83" s="1"/>
  <c r="H85" i="83"/>
  <c r="D108" i="81"/>
  <c r="F118" i="57"/>
  <c r="F116" i="57" s="1"/>
  <c r="C100" i="82"/>
  <c r="BA100" i="82" s="1"/>
  <c r="V32" i="83"/>
  <c r="G111" i="57"/>
  <c r="N39" i="80"/>
  <c r="K33" i="80"/>
  <c r="C13" i="81"/>
  <c r="B19" i="99" s="1"/>
  <c r="F111" i="57"/>
  <c r="P30" i="95"/>
  <c r="P32" i="95" s="1"/>
  <c r="E118" i="57"/>
  <c r="D107" i="81"/>
  <c r="C36" i="80" s="1"/>
  <c r="C30" i="80" s="1"/>
  <c r="C86" i="36"/>
  <c r="C73" i="36"/>
  <c r="C147" i="81" s="1"/>
  <c r="F147" i="81" s="1"/>
  <c r="D75" i="97"/>
  <c r="T82" i="83"/>
  <c r="D21" i="101"/>
  <c r="C55" i="36"/>
  <c r="O16" i="53" s="1"/>
  <c r="C34" i="81"/>
  <c r="C71" i="36"/>
  <c r="O22" i="53" s="1"/>
  <c r="C43" i="58"/>
  <c r="C89" i="58" s="1"/>
  <c r="C90" i="58" s="1"/>
  <c r="J89" i="83"/>
  <c r="I41" i="98"/>
  <c r="T40" i="98"/>
  <c r="U40" i="98" s="1"/>
  <c r="D33" i="95"/>
  <c r="D30" i="95"/>
  <c r="D32" i="95" s="1"/>
  <c r="P34" i="95" s="1"/>
  <c r="H89" i="83"/>
  <c r="S85" i="83"/>
  <c r="BB28" i="82"/>
  <c r="D114" i="57" s="1"/>
  <c r="M89" i="83"/>
  <c r="C20" i="80"/>
  <c r="C14" i="80" s="1"/>
  <c r="G71" i="82"/>
  <c r="G45" i="82" s="1"/>
  <c r="C96" i="82"/>
  <c r="BA45" i="82"/>
  <c r="C134" i="57"/>
  <c r="C93" i="58"/>
  <c r="L39" i="101"/>
  <c r="L40" i="101"/>
  <c r="P40" i="101" s="1"/>
  <c r="P39" i="101"/>
  <c r="G20" i="101"/>
  <c r="E110" i="81" l="1"/>
  <c r="F110" i="81" s="1"/>
  <c r="N36" i="80"/>
  <c r="M34" i="99"/>
  <c r="E121" i="81"/>
  <c r="F121" i="81" s="1"/>
  <c r="K34" i="80"/>
  <c r="K28" i="80" s="1"/>
  <c r="F54" i="36"/>
  <c r="H54" i="36" s="1"/>
  <c r="H55" i="36"/>
  <c r="C65" i="81"/>
  <c r="F65" i="81" s="1"/>
  <c r="H60" i="36"/>
  <c r="C67" i="81" s="1"/>
  <c r="K44" i="80"/>
  <c r="N30" i="80"/>
  <c r="N44" i="80" s="1"/>
  <c r="E122" i="81"/>
  <c r="F122" i="81" s="1"/>
  <c r="K31" i="80"/>
  <c r="N31" i="80" s="1"/>
  <c r="N37" i="80"/>
  <c r="E98" i="82"/>
  <c r="F17" i="80"/>
  <c r="F11" i="80" s="1"/>
  <c r="F44" i="80" s="1"/>
  <c r="M48" i="99"/>
  <c r="F124" i="81"/>
  <c r="G18" i="99"/>
  <c r="B12" i="99"/>
  <c r="B46" i="99" s="1"/>
  <c r="T85" i="83"/>
  <c r="D100" i="81"/>
  <c r="B36" i="80" s="1"/>
  <c r="C35" i="80"/>
  <c r="C29" i="80" s="1"/>
  <c r="C43" i="80" s="1"/>
  <c r="C107" i="81"/>
  <c r="C17" i="80" s="1"/>
  <c r="C11" i="80" s="1"/>
  <c r="C44" i="80" s="1"/>
  <c r="C138" i="81"/>
  <c r="F138" i="81" s="1"/>
  <c r="L43" i="80"/>
  <c r="B35" i="99"/>
  <c r="M24" i="99"/>
  <c r="L11" i="99"/>
  <c r="L13" i="99"/>
  <c r="L47" i="99" s="1"/>
  <c r="J46" i="80"/>
  <c r="O32" i="80"/>
  <c r="O46" i="80" s="1"/>
  <c r="E99" i="81"/>
  <c r="D85" i="81"/>
  <c r="E85" i="81" s="1"/>
  <c r="E119" i="81"/>
  <c r="F119" i="81" s="1"/>
  <c r="G124" i="57"/>
  <c r="G123" i="57" s="1"/>
  <c r="L23" i="99"/>
  <c r="L10" i="99" s="1"/>
  <c r="L44" i="99" s="1"/>
  <c r="F184" i="96"/>
  <c r="G182" i="96"/>
  <c r="G72" i="96"/>
  <c r="E184" i="96"/>
  <c r="BB87" i="82"/>
  <c r="BD87" i="82"/>
  <c r="BD89" i="82"/>
  <c r="BF89" i="82" s="1"/>
  <c r="BE89" i="82"/>
  <c r="G87" i="82"/>
  <c r="BE87" i="82" s="1"/>
  <c r="N24" i="80"/>
  <c r="O24" i="80" s="1"/>
  <c r="D63" i="36"/>
  <c r="P20" i="101"/>
  <c r="R20" i="101" s="1"/>
  <c r="R39" i="101" s="1"/>
  <c r="B17" i="99"/>
  <c r="B11" i="99" s="1"/>
  <c r="B45" i="99" s="1"/>
  <c r="F36" i="81"/>
  <c r="C71" i="81"/>
  <c r="D119" i="57"/>
  <c r="C47" i="80"/>
  <c r="C136" i="81"/>
  <c r="F136" i="81" s="1"/>
  <c r="F124" i="57"/>
  <c r="F123" i="57" s="1"/>
  <c r="E90" i="58"/>
  <c r="C15" i="52"/>
  <c r="F70" i="36"/>
  <c r="C113" i="81"/>
  <c r="D16" i="80" s="1"/>
  <c r="D10" i="80" s="1"/>
  <c r="E116" i="57"/>
  <c r="G113" i="57"/>
  <c r="E89" i="83"/>
  <c r="E120" i="81"/>
  <c r="F120" i="81" s="1"/>
  <c r="K35" i="80"/>
  <c r="B13" i="92"/>
  <c r="C14" i="92"/>
  <c r="N15" i="80"/>
  <c r="K9" i="80"/>
  <c r="N9" i="80" s="1"/>
  <c r="E95" i="91"/>
  <c r="E102" i="91" s="1"/>
  <c r="D102" i="91"/>
  <c r="R38" i="101"/>
  <c r="C74" i="39"/>
  <c r="D36" i="95"/>
  <c r="P36" i="95" s="1"/>
  <c r="D29" i="95"/>
  <c r="C133" i="81"/>
  <c r="F133" i="81" s="1"/>
  <c r="F15" i="80"/>
  <c r="F9" i="80" s="1"/>
  <c r="F42" i="80" s="1"/>
  <c r="C91" i="58"/>
  <c r="M28" i="99"/>
  <c r="C73" i="81"/>
  <c r="F37" i="81"/>
  <c r="Y99" i="82"/>
  <c r="Y101" i="82" s="1"/>
  <c r="E114" i="57"/>
  <c r="C124" i="57"/>
  <c r="C123" i="57" s="1"/>
  <c r="C98" i="82"/>
  <c r="BA98" i="82" s="1"/>
  <c r="BC98" i="82"/>
  <c r="BF98" i="82" s="1"/>
  <c r="E124" i="57"/>
  <c r="C135" i="81"/>
  <c r="F135" i="81" s="1"/>
  <c r="D113" i="57"/>
  <c r="C99" i="81"/>
  <c r="B29" i="80"/>
  <c r="R100" i="83"/>
  <c r="C67" i="36"/>
  <c r="D67" i="97" s="1"/>
  <c r="F121" i="57"/>
  <c r="D115" i="81"/>
  <c r="D67" i="36"/>
  <c r="S89" i="83"/>
  <c r="C72" i="81"/>
  <c r="F12" i="81"/>
  <c r="C54" i="36"/>
  <c r="B16" i="53"/>
  <c r="E121" i="57"/>
  <c r="D114" i="81"/>
  <c r="D36" i="80" s="1"/>
  <c r="D30" i="80" s="1"/>
  <c r="C28" i="80"/>
  <c r="E107" i="81"/>
  <c r="B9" i="80"/>
  <c r="C121" i="57"/>
  <c r="D112" i="81"/>
  <c r="D34" i="80" s="1"/>
  <c r="F103" i="81"/>
  <c r="B20" i="80"/>
  <c r="B14" i="80" s="1"/>
  <c r="B47" i="80" s="1"/>
  <c r="E98" i="81"/>
  <c r="C70" i="36"/>
  <c r="D71" i="97"/>
  <c r="E108" i="81"/>
  <c r="F108" i="81" s="1"/>
  <c r="C37" i="80"/>
  <c r="C31" i="80" s="1"/>
  <c r="C45" i="80" s="1"/>
  <c r="M27" i="53"/>
  <c r="N26" i="53"/>
  <c r="C113" i="57"/>
  <c r="F115" i="57"/>
  <c r="F113" i="57" s="1"/>
  <c r="D101" i="81"/>
  <c r="C26" i="81"/>
  <c r="F34" i="81"/>
  <c r="F13" i="81"/>
  <c r="B13" i="99"/>
  <c r="B47" i="99" s="1"/>
  <c r="D117" i="81"/>
  <c r="G121" i="57"/>
  <c r="V85" i="83"/>
  <c r="N12" i="80"/>
  <c r="D73" i="97"/>
  <c r="D85" i="97"/>
  <c r="K47" i="80"/>
  <c r="N33" i="80"/>
  <c r="F15" i="81"/>
  <c r="B21" i="99"/>
  <c r="B15" i="99" s="1"/>
  <c r="C9" i="80"/>
  <c r="D35" i="80"/>
  <c r="D29" i="80" s="1"/>
  <c r="E113" i="81"/>
  <c r="C9" i="36"/>
  <c r="O9" i="53" s="1"/>
  <c r="O19" i="53" s="1"/>
  <c r="C8" i="57"/>
  <c r="BE71" i="82"/>
  <c r="BA96" i="82"/>
  <c r="B12" i="80"/>
  <c r="N34" i="80" l="1"/>
  <c r="F63" i="36"/>
  <c r="H63" i="36" s="1"/>
  <c r="T89" i="83"/>
  <c r="X89" i="83" s="1"/>
  <c r="X85" i="83"/>
  <c r="F67" i="81"/>
  <c r="C31" i="81"/>
  <c r="C75" i="81" s="1"/>
  <c r="K45" i="80"/>
  <c r="N45" i="80"/>
  <c r="E100" i="81"/>
  <c r="D86" i="81"/>
  <c r="E86" i="81" s="1"/>
  <c r="B30" i="80"/>
  <c r="J36" i="80"/>
  <c r="M18" i="99"/>
  <c r="G12" i="99"/>
  <c r="M23" i="99"/>
  <c r="E67" i="36"/>
  <c r="F107" i="81"/>
  <c r="B49" i="99"/>
  <c r="E123" i="57"/>
  <c r="C100" i="81"/>
  <c r="L45" i="99"/>
  <c r="D98" i="82"/>
  <c r="F16" i="80"/>
  <c r="F10" i="80" s="1"/>
  <c r="F43" i="80" s="1"/>
  <c r="D54" i="81"/>
  <c r="D26" i="81" s="1"/>
  <c r="R101" i="83"/>
  <c r="E96" i="82"/>
  <c r="G17" i="99"/>
  <c r="G11" i="99" s="1"/>
  <c r="C99" i="82"/>
  <c r="BA99" i="82" s="1"/>
  <c r="C66" i="36" s="1"/>
  <c r="S100" i="83"/>
  <c r="T100" i="83"/>
  <c r="X100" i="83" s="1"/>
  <c r="F113" i="81"/>
  <c r="E113" i="57"/>
  <c r="C134" i="81"/>
  <c r="F134" i="81" s="1"/>
  <c r="D124" i="57"/>
  <c r="D123" i="57" s="1"/>
  <c r="D112" i="57" s="1"/>
  <c r="D132" i="57" s="1"/>
  <c r="N35" i="80"/>
  <c r="K29" i="80"/>
  <c r="H85" i="81"/>
  <c r="D84" i="81"/>
  <c r="E84" i="81" s="1"/>
  <c r="C42" i="80"/>
  <c r="N47" i="80"/>
  <c r="D89" i="81"/>
  <c r="E89" i="81" s="1"/>
  <c r="E117" i="81"/>
  <c r="H89" i="81" s="1"/>
  <c r="D39" i="80"/>
  <c r="D37" i="80"/>
  <c r="D31" i="80" s="1"/>
  <c r="E115" i="81"/>
  <c r="J35" i="80"/>
  <c r="J34" i="80"/>
  <c r="B28" i="80"/>
  <c r="B42" i="80" s="1"/>
  <c r="G19" i="99"/>
  <c r="G13" i="99" s="1"/>
  <c r="M13" i="99" s="1"/>
  <c r="D43" i="80"/>
  <c r="N16" i="53"/>
  <c r="N19" i="53" s="1"/>
  <c r="N27" i="53" s="1"/>
  <c r="N28" i="53" s="1"/>
  <c r="B19" i="53"/>
  <c r="B27" i="53" s="1"/>
  <c r="B28" i="53" s="1"/>
  <c r="C28" i="53" s="1"/>
  <c r="D28" i="53" s="1"/>
  <c r="E28" i="53" s="1"/>
  <c r="F28" i="53" s="1"/>
  <c r="G28" i="53" s="1"/>
  <c r="H28" i="53" s="1"/>
  <c r="I28" i="53" s="1"/>
  <c r="J28" i="53" s="1"/>
  <c r="K28" i="53" s="1"/>
  <c r="L28" i="53" s="1"/>
  <c r="M28" i="53" s="1"/>
  <c r="C111" i="57"/>
  <c r="C10" i="81"/>
  <c r="B16" i="99" s="1"/>
  <c r="G16" i="99" s="1"/>
  <c r="N28" i="80"/>
  <c r="K42" i="80"/>
  <c r="C8" i="36"/>
  <c r="C63" i="36" s="1"/>
  <c r="D9" i="97"/>
  <c r="D8" i="97" s="1"/>
  <c r="D63" i="97" s="1"/>
  <c r="V89" i="83"/>
  <c r="V100" i="83" s="1"/>
  <c r="G67" i="36"/>
  <c r="F67" i="36"/>
  <c r="F98" i="81"/>
  <c r="B16" i="80"/>
  <c r="F99" i="81"/>
  <c r="G21" i="99"/>
  <c r="G15" i="99" s="1"/>
  <c r="M15" i="99" s="1"/>
  <c r="D87" i="81"/>
  <c r="E87" i="81" s="1"/>
  <c r="E101" i="81"/>
  <c r="B37" i="80"/>
  <c r="D70" i="97"/>
  <c r="E112" i="81"/>
  <c r="H84" i="81" s="1"/>
  <c r="D28" i="80"/>
  <c r="E114" i="81"/>
  <c r="C120" i="57"/>
  <c r="BF99" i="82"/>
  <c r="BF101" i="82"/>
  <c r="BE45" i="82"/>
  <c r="G96" i="82"/>
  <c r="H86" i="81" l="1"/>
  <c r="J63" i="36"/>
  <c r="H72" i="96"/>
  <c r="O36" i="80"/>
  <c r="J30" i="80"/>
  <c r="O30" i="80" s="1"/>
  <c r="F100" i="81"/>
  <c r="B17" i="80"/>
  <c r="M12" i="99"/>
  <c r="E99" i="82"/>
  <c r="BC99" i="82" s="1"/>
  <c r="E66" i="36" s="1"/>
  <c r="E65" i="36" s="1"/>
  <c r="E64" i="36" s="1"/>
  <c r="E84" i="36" s="1"/>
  <c r="BC96" i="82"/>
  <c r="E120" i="57" s="1"/>
  <c r="D56" i="81"/>
  <c r="E56" i="81" s="1"/>
  <c r="T101" i="83"/>
  <c r="X101" i="83" s="1"/>
  <c r="M17" i="99"/>
  <c r="M11" i="99"/>
  <c r="E54" i="81"/>
  <c r="F76" i="81" s="1"/>
  <c r="E36" i="99"/>
  <c r="E30" i="99" s="1"/>
  <c r="E44" i="99" s="1"/>
  <c r="D55" i="81"/>
  <c r="E37" i="99" s="1"/>
  <c r="E31" i="99" s="1"/>
  <c r="E45" i="99" s="1"/>
  <c r="S101" i="83"/>
  <c r="C101" i="82"/>
  <c r="BA101" i="82" s="1"/>
  <c r="D133" i="57"/>
  <c r="D136" i="57" s="1"/>
  <c r="B10" i="99"/>
  <c r="B44" i="99" s="1"/>
  <c r="I98" i="81"/>
  <c r="BB98" i="82"/>
  <c r="D99" i="82"/>
  <c r="N29" i="80"/>
  <c r="N43" i="80" s="1"/>
  <c r="K43" i="80"/>
  <c r="B31" i="80"/>
  <c r="B45" i="80" s="1"/>
  <c r="J37" i="80"/>
  <c r="H87" i="81"/>
  <c r="F101" i="81"/>
  <c r="M21" i="99"/>
  <c r="J29" i="80"/>
  <c r="O35" i="80"/>
  <c r="J28" i="80"/>
  <c r="O28" i="80" s="1"/>
  <c r="O34" i="80"/>
  <c r="D59" i="81"/>
  <c r="E41" i="99" s="1"/>
  <c r="N42" i="80"/>
  <c r="D70" i="81"/>
  <c r="E70" i="81" s="1"/>
  <c r="G54" i="81" s="1"/>
  <c r="E26" i="81"/>
  <c r="F26" i="81" s="1"/>
  <c r="M19" i="99"/>
  <c r="G10" i="99"/>
  <c r="M16" i="99"/>
  <c r="B10" i="80"/>
  <c r="D57" i="81"/>
  <c r="E39" i="99" s="1"/>
  <c r="F10" i="81"/>
  <c r="C70" i="81"/>
  <c r="F54" i="81"/>
  <c r="G15" i="80" s="1"/>
  <c r="G9" i="80" s="1"/>
  <c r="G42" i="80" s="1"/>
  <c r="D33" i="80"/>
  <c r="J39" i="80"/>
  <c r="G99" i="82"/>
  <c r="BE96" i="82"/>
  <c r="G120" i="57" s="1"/>
  <c r="C88" i="36"/>
  <c r="C65" i="36"/>
  <c r="D66" i="97"/>
  <c r="D65" i="97" s="1"/>
  <c r="D64" i="97" s="1"/>
  <c r="D83" i="97" s="1"/>
  <c r="BD96" i="82"/>
  <c r="C112" i="81"/>
  <c r="D15" i="80" s="1"/>
  <c r="C119" i="57"/>
  <c r="F120" i="57" l="1"/>
  <c r="C115" i="81" s="1"/>
  <c r="BF96" i="82"/>
  <c r="F78" i="81"/>
  <c r="G17" i="80"/>
  <c r="G11" i="80" s="1"/>
  <c r="G44" i="80" s="1"/>
  <c r="B11" i="80"/>
  <c r="D28" i="81"/>
  <c r="D72" i="81" s="1"/>
  <c r="E72" i="81" s="1"/>
  <c r="G56" i="81" s="1"/>
  <c r="E101" i="82"/>
  <c r="BC101" i="82" s="1"/>
  <c r="C114" i="81"/>
  <c r="E90" i="36"/>
  <c r="E87" i="36"/>
  <c r="E38" i="99"/>
  <c r="G38" i="99" s="1"/>
  <c r="M38" i="99" s="1"/>
  <c r="E119" i="57"/>
  <c r="G36" i="99"/>
  <c r="G30" i="99" s="1"/>
  <c r="M30" i="99" s="1"/>
  <c r="O29" i="80"/>
  <c r="D27" i="81"/>
  <c r="E27" i="81" s="1"/>
  <c r="F27" i="81" s="1"/>
  <c r="E55" i="81"/>
  <c r="F55" i="81" s="1"/>
  <c r="G37" i="99"/>
  <c r="G31" i="99" s="1"/>
  <c r="G45" i="99" s="1"/>
  <c r="F56" i="81"/>
  <c r="C64" i="36"/>
  <c r="C84" i="36" s="1"/>
  <c r="C89" i="36" s="1"/>
  <c r="O21" i="53"/>
  <c r="O28" i="53" s="1"/>
  <c r="O29" i="53" s="1"/>
  <c r="BB99" i="82"/>
  <c r="D66" i="36" s="1"/>
  <c r="D65" i="36" s="1"/>
  <c r="D64" i="36" s="1"/>
  <c r="D84" i="36" s="1"/>
  <c r="D101" i="82"/>
  <c r="BB101" i="82" s="1"/>
  <c r="B43" i="80"/>
  <c r="F92" i="81"/>
  <c r="O39" i="80"/>
  <c r="J33" i="80"/>
  <c r="O33" i="80" s="1"/>
  <c r="F90" i="81"/>
  <c r="C140" i="81"/>
  <c r="F140" i="81" s="1"/>
  <c r="M10" i="99"/>
  <c r="E57" i="81"/>
  <c r="D29" i="81"/>
  <c r="D31" i="81"/>
  <c r="E59" i="81"/>
  <c r="J31" i="80"/>
  <c r="O31" i="80" s="1"/>
  <c r="O37" i="80"/>
  <c r="F70" i="81"/>
  <c r="D84" i="97"/>
  <c r="D86" i="97"/>
  <c r="G101" i="82"/>
  <c r="BE101" i="82" s="1"/>
  <c r="BE99" i="82"/>
  <c r="G66" i="36" s="1"/>
  <c r="G65" i="36" s="1"/>
  <c r="G64" i="36" s="1"/>
  <c r="G84" i="36" s="1"/>
  <c r="C133" i="57"/>
  <c r="C136" i="57" s="1"/>
  <c r="C112" i="57"/>
  <c r="C132" i="57" s="1"/>
  <c r="BD101" i="82"/>
  <c r="BD99" i="82"/>
  <c r="F66" i="36" s="1"/>
  <c r="F65" i="36" s="1"/>
  <c r="F64" i="36" s="1"/>
  <c r="F84" i="36" s="1"/>
  <c r="H84" i="36" s="1"/>
  <c r="C117" i="81"/>
  <c r="G119" i="57"/>
  <c r="F112" i="81"/>
  <c r="F119" i="57" l="1"/>
  <c r="F133" i="57" s="1"/>
  <c r="C142" i="81"/>
  <c r="F142" i="81" s="1"/>
  <c r="J84" i="36"/>
  <c r="F114" i="81"/>
  <c r="D17" i="80"/>
  <c r="B44" i="80"/>
  <c r="F72" i="81"/>
  <c r="E28" i="81"/>
  <c r="F28" i="81" s="1"/>
  <c r="E133" i="57"/>
  <c r="E32" i="99"/>
  <c r="E46" i="99" s="1"/>
  <c r="E112" i="57"/>
  <c r="E132" i="57" s="1"/>
  <c r="G32" i="99"/>
  <c r="E33" i="99"/>
  <c r="E47" i="99" s="1"/>
  <c r="G39" i="99"/>
  <c r="M39" i="99" s="1"/>
  <c r="M31" i="99"/>
  <c r="M45" i="99"/>
  <c r="E35" i="99"/>
  <c r="E49" i="99" s="1"/>
  <c r="G41" i="99"/>
  <c r="M41" i="99" s="1"/>
  <c r="M36" i="99"/>
  <c r="G16" i="80"/>
  <c r="G10" i="80" s="1"/>
  <c r="G43" i="80" s="1"/>
  <c r="D71" i="81"/>
  <c r="E71" i="81" s="1"/>
  <c r="G55" i="81" s="1"/>
  <c r="F77" i="81"/>
  <c r="M37" i="99"/>
  <c r="H182" i="96"/>
  <c r="C90" i="36"/>
  <c r="C85" i="36"/>
  <c r="C86" i="81"/>
  <c r="F86" i="81" s="1"/>
  <c r="G86" i="81"/>
  <c r="C87" i="36"/>
  <c r="C84" i="81"/>
  <c r="F84" i="81" s="1"/>
  <c r="D90" i="36"/>
  <c r="D87" i="36"/>
  <c r="G84" i="81"/>
  <c r="I84" i="81"/>
  <c r="D73" i="81"/>
  <c r="E73" i="81" s="1"/>
  <c r="E29" i="81"/>
  <c r="F29" i="81" s="1"/>
  <c r="F81" i="81"/>
  <c r="G20" i="80"/>
  <c r="G14" i="80" s="1"/>
  <c r="G47" i="80" s="1"/>
  <c r="F59" i="81"/>
  <c r="G44" i="99"/>
  <c r="M44" i="99" s="1"/>
  <c r="F57" i="81"/>
  <c r="F79" i="81"/>
  <c r="M50" i="99" s="1"/>
  <c r="G18" i="80"/>
  <c r="G12" i="80" s="1"/>
  <c r="G45" i="80" s="1"/>
  <c r="E31" i="81"/>
  <c r="F31" i="81" s="1"/>
  <c r="D75" i="81"/>
  <c r="E75" i="81" s="1"/>
  <c r="F115" i="81"/>
  <c r="D18" i="80"/>
  <c r="G112" i="57"/>
  <c r="G132" i="57" s="1"/>
  <c r="G133" i="57"/>
  <c r="D9" i="80"/>
  <c r="J15" i="80"/>
  <c r="O15" i="80" s="1"/>
  <c r="D20" i="80"/>
  <c r="F117" i="81"/>
  <c r="F90" i="36"/>
  <c r="F87" i="36"/>
  <c r="G90" i="36"/>
  <c r="D9" i="92"/>
  <c r="D10" i="92" s="1"/>
  <c r="D14" i="92" s="1"/>
  <c r="G87" i="36"/>
  <c r="B9" i="92"/>
  <c r="B10" i="92" s="1"/>
  <c r="G85" i="36"/>
  <c r="F112" i="57" l="1"/>
  <c r="F132" i="57" s="1"/>
  <c r="M32" i="99"/>
  <c r="G46" i="99"/>
  <c r="M46" i="99" s="1"/>
  <c r="D11" i="80"/>
  <c r="J17" i="80"/>
  <c r="G35" i="99"/>
  <c r="G49" i="99" s="1"/>
  <c r="M49" i="99" s="1"/>
  <c r="G33" i="99"/>
  <c r="G47" i="99" s="1"/>
  <c r="M47" i="99" s="1"/>
  <c r="M51" i="99" s="1"/>
  <c r="F91" i="81"/>
  <c r="J16" i="80"/>
  <c r="J10" i="80"/>
  <c r="F71" i="81"/>
  <c r="C141" i="81"/>
  <c r="G57" i="81"/>
  <c r="F73" i="81"/>
  <c r="F82" i="81" s="1"/>
  <c r="F93" i="81"/>
  <c r="O48" i="80" s="1"/>
  <c r="C143" i="81"/>
  <c r="G59" i="81"/>
  <c r="F75" i="81"/>
  <c r="F95" i="81"/>
  <c r="C145" i="81"/>
  <c r="D14" i="80"/>
  <c r="J20" i="80"/>
  <c r="O20" i="80" s="1"/>
  <c r="D42" i="80"/>
  <c r="J9" i="80"/>
  <c r="D12" i="80"/>
  <c r="J18" i="80"/>
  <c r="O18" i="80" s="1"/>
  <c r="M35" i="99" l="1"/>
  <c r="D44" i="80"/>
  <c r="J11" i="80"/>
  <c r="M33" i="99"/>
  <c r="J43" i="80"/>
  <c r="O10" i="80"/>
  <c r="O43" i="80" s="1"/>
  <c r="F141" i="81"/>
  <c r="G85" i="81" s="1"/>
  <c r="C85" i="81"/>
  <c r="F85" i="81" s="1"/>
  <c r="F145" i="81"/>
  <c r="G89" i="81" s="1"/>
  <c r="C89" i="81"/>
  <c r="F89" i="81" s="1"/>
  <c r="F143" i="81"/>
  <c r="G87" i="81" s="1"/>
  <c r="C87" i="81"/>
  <c r="F87" i="81" s="1"/>
  <c r="F96" i="81" s="1"/>
  <c r="D45" i="80"/>
  <c r="J12" i="80"/>
  <c r="D47" i="80"/>
  <c r="J14" i="80"/>
  <c r="J42" i="80"/>
  <c r="O9" i="80"/>
  <c r="O42" i="80" s="1"/>
  <c r="J44" i="80" l="1"/>
  <c r="O11" i="80"/>
  <c r="O44" i="80" s="1"/>
  <c r="O14" i="80"/>
  <c r="O47" i="80" s="1"/>
  <c r="J47" i="80"/>
  <c r="O12" i="80"/>
  <c r="O45" i="80" s="1"/>
  <c r="O49" i="80" s="1"/>
  <c r="J45" i="80"/>
</calcChain>
</file>

<file path=xl/sharedStrings.xml><?xml version="1.0" encoding="utf-8"?>
<sst xmlns="http://schemas.openxmlformats.org/spreadsheetml/2006/main" count="2280" uniqueCount="1476">
  <si>
    <t>ezer Ft-ban</t>
  </si>
  <si>
    <t>II. Felújítások</t>
  </si>
  <si>
    <t xml:space="preserve">     1. Európai Uniós támogatásból megvalósuló felújítások</t>
  </si>
  <si>
    <t xml:space="preserve">    1. Többcélú kistérségi társulásnak és költségvetési szerveinek</t>
  </si>
  <si>
    <t xml:space="preserve">    1. Vállalkozásoknak</t>
  </si>
  <si>
    <t>I. Beruházások</t>
  </si>
  <si>
    <t>Működési célú bevételek összesen</t>
  </si>
  <si>
    <t>Költségvetési kiadások összesen</t>
  </si>
  <si>
    <t xml:space="preserve">I. Működési kiadások </t>
  </si>
  <si>
    <r>
      <t xml:space="preserve">      </t>
    </r>
    <r>
      <rPr>
        <sz val="10"/>
        <rFont val="Times New Roman"/>
        <family val="1"/>
        <charset val="238"/>
      </rPr>
      <t>1. Önkormányzat működési kiadásai</t>
    </r>
  </si>
  <si>
    <t>Működési célú kiadások összesen</t>
  </si>
  <si>
    <t>Felhalmozási célú bevételek összesen</t>
  </si>
  <si>
    <t>Felhalmozási célú kiadások összesen</t>
  </si>
  <si>
    <t>III.  Egyéb felhalmozási célú kiadások</t>
  </si>
  <si>
    <t>Működési célú támogatások, pénzeszközátadások</t>
  </si>
  <si>
    <t>I. Működési célú pénzeszközátadások</t>
  </si>
  <si>
    <t>II. Működési célú támogatások</t>
  </si>
  <si>
    <t xml:space="preserve">               Óvodai nevelés</t>
  </si>
  <si>
    <t xml:space="preserve">               Családsegítés, gyermekjóléti feladatok</t>
  </si>
  <si>
    <t xml:space="preserve">               Házi segítségnyújtás</t>
  </si>
  <si>
    <t xml:space="preserve">               Jelzőrendszeres házi segítésnyújtás</t>
  </si>
  <si>
    <t xml:space="preserve">               Pénzügyi Gondnokság iroda működtetés</t>
  </si>
  <si>
    <t xml:space="preserve">               Háziorvosi ügyeleti ellátás</t>
  </si>
  <si>
    <t xml:space="preserve">               Egészségügyi laboratóriumi szolgáltatás</t>
  </si>
  <si>
    <t xml:space="preserve">               Kistérségi TV működtetés</t>
  </si>
  <si>
    <t xml:space="preserve">               Kistérségi Társulás tagdíj (500 Ft/fő)</t>
  </si>
  <si>
    <t xml:space="preserve">    3. Civil szervezeteknek </t>
  </si>
  <si>
    <t xml:space="preserve">Balatonföldvár Város Önkormányzatának </t>
  </si>
  <si>
    <t xml:space="preserve">                      ezer Ft-ban</t>
  </si>
  <si>
    <t>Kiadások</t>
  </si>
  <si>
    <t xml:space="preserve">    Szociális hozzájárulási adó</t>
  </si>
  <si>
    <t>Dologi kiadások összesen</t>
  </si>
  <si>
    <t>Működési kiadások összesen</t>
  </si>
  <si>
    <t xml:space="preserve">    Cafeteria</t>
  </si>
  <si>
    <t>Személyi jellegű kiadások</t>
  </si>
  <si>
    <t>Működési célú kiadások</t>
  </si>
  <si>
    <t>Működési célú kiadások mind
összesen</t>
  </si>
  <si>
    <t>Felhalmozási célú kiadások</t>
  </si>
  <si>
    <t>Személyi juttatás</t>
  </si>
  <si>
    <t>Dologi kiadások</t>
  </si>
  <si>
    <t>Egyéb működési célú kiadások</t>
  </si>
  <si>
    <t>Beruházás</t>
  </si>
  <si>
    <t>Felújítás</t>
  </si>
  <si>
    <t>Egyéb felhalmozási célú kiadás</t>
  </si>
  <si>
    <t>Önkormányzat</t>
  </si>
  <si>
    <t>Intézmények</t>
  </si>
  <si>
    <t>Bevételek / kiadások</t>
  </si>
  <si>
    <t>Összesen</t>
  </si>
  <si>
    <t>Önkormányzat 
mindösszesen</t>
  </si>
  <si>
    <t>Önkormányzati
 hivatal</t>
  </si>
  <si>
    <t>Finanszírozási bevételek</t>
  </si>
  <si>
    <t>Intézményfinanszírozás 
önkormányzati saját bevételből</t>
  </si>
  <si>
    <t xml:space="preserve">Bevételek összesen </t>
  </si>
  <si>
    <t xml:space="preserve">Intézményfinanszírozás </t>
  </si>
  <si>
    <t xml:space="preserve">Bevételek nettósítva összesen </t>
  </si>
  <si>
    <t>Kiadások összesen</t>
  </si>
  <si>
    <t>Kiadások nettósítva összesen</t>
  </si>
  <si>
    <t>Finanszírozási kiadások</t>
  </si>
  <si>
    <t xml:space="preserve">    Egyéb dologi kiadások</t>
  </si>
  <si>
    <t>Létszám (fő)</t>
  </si>
  <si>
    <t xml:space="preserve">    Közlekedési költségtérítés</t>
  </si>
  <si>
    <t xml:space="preserve">     Reprezentáció</t>
  </si>
  <si>
    <t>Működési célú bevételek</t>
  </si>
  <si>
    <t>Bevételek mindösszesen</t>
  </si>
  <si>
    <t>1. Beruházások</t>
  </si>
  <si>
    <t>2. Felújítások</t>
  </si>
  <si>
    <t>-</t>
  </si>
  <si>
    <t>3. Egyéb felhalmozási kiadások</t>
  </si>
  <si>
    <t>Felvétel éve</t>
  </si>
  <si>
    <t>Összege</t>
  </si>
  <si>
    <t>Mindösszesen: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</si>
  <si>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</si>
  <si>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</si>
  <si>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</si>
  <si>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</si>
  <si>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</si>
  <si>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</si>
  <si>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</si>
  <si>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</si>
  <si>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</si>
  <si>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</si>
  <si>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</si>
  <si>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</si>
  <si>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</si>
  <si>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1.Bevételek</t>
  </si>
  <si>
    <t xml:space="preserve">   Bevételek összesen</t>
  </si>
  <si>
    <t>2.Kiadások</t>
  </si>
  <si>
    <t xml:space="preserve">   Működési célú kiadások</t>
  </si>
  <si>
    <t xml:space="preserve">   Beruházás, fejlesztés</t>
  </si>
  <si>
    <t xml:space="preserve">   Kiadások összesen</t>
  </si>
  <si>
    <t>Havi egyenleg</t>
  </si>
  <si>
    <t>Göngyölített egyenleg</t>
  </si>
  <si>
    <t xml:space="preserve">        Fogorvosi alapellátás</t>
  </si>
  <si>
    <t>Balatonföldvár Város Önkormányzata</t>
  </si>
  <si>
    <t>III. Közvetett támogatások</t>
  </si>
  <si>
    <t>Ellátottak térítési díjának méltányossági alapon elengedett összege</t>
  </si>
  <si>
    <t>Lakosság részére lakásépítéshez, felújításhoz nyújtott kölcsön elengedése</t>
  </si>
  <si>
    <t>Építményadó mentesség helyi lakosok számára</t>
  </si>
  <si>
    <t>Építményadó törlés méltányosságból</t>
  </si>
  <si>
    <t>Idegenforgalmi adó kedvezmény elő- utószezonban</t>
  </si>
  <si>
    <t>Egyéb nyújtott kedvezmény vagy kölcsön elengedésének összege</t>
  </si>
  <si>
    <t>Intézmények 
összesen</t>
  </si>
  <si>
    <t xml:space="preserve">       Államigazgatási feladatok</t>
  </si>
  <si>
    <t>Munkaadót terhelő járulékok és szociális hozzájárulási adó</t>
  </si>
  <si>
    <t>III. Közhatalmi bevételek</t>
  </si>
  <si>
    <t>Telekadó mentesség, kedvezmény m2 alapján</t>
  </si>
  <si>
    <t>EU-s projekt, program megnevezése</t>
  </si>
  <si>
    <t>Projekt azonosító</t>
  </si>
  <si>
    <t>Igényelt támogatás összege</t>
  </si>
  <si>
    <t>Megítélt támogatás összege</t>
  </si>
  <si>
    <t>Projekthez kapcsolódó kiadások</t>
  </si>
  <si>
    <t>Projekt megvalósításhoz kapcsolódó egyéb költségek</t>
  </si>
  <si>
    <t>Projekt megvalósítás során felmerült költségek</t>
  </si>
  <si>
    <t>Elszámolható</t>
  </si>
  <si>
    <t>Nem elszámolható</t>
  </si>
  <si>
    <t>Tám.-i intenzitás
%</t>
  </si>
  <si>
    <r>
      <t>Balatonföldvár Város</t>
    </r>
    <r>
      <rPr>
        <b/>
        <i/>
        <u/>
        <sz val="12"/>
        <rFont val="Arial CE"/>
        <family val="2"/>
        <charset val="238"/>
      </rPr>
      <t xml:space="preserve">Önkormányzatának </t>
    </r>
  </si>
  <si>
    <t xml:space="preserve">    Munkáltatót terhelő szja</t>
  </si>
  <si>
    <t>064010 Közvilágítás</t>
  </si>
  <si>
    <t>072112 Háziorvosi ügyeleti ellátás</t>
  </si>
  <si>
    <t>Rovat</t>
  </si>
  <si>
    <t>B1-B7</t>
  </si>
  <si>
    <t>B1</t>
  </si>
  <si>
    <t>B11</t>
  </si>
  <si>
    <t>B13</t>
  </si>
  <si>
    <t>B14</t>
  </si>
  <si>
    <t>B15</t>
  </si>
  <si>
    <t>B16</t>
  </si>
  <si>
    <t xml:space="preserve">      1.3. Működési és garancia- és kezességvállalásból származó bevételek</t>
  </si>
  <si>
    <t xml:space="preserve">      1.4. Működési célú visszatérítendő támogatások, kölcsönök visszatérülése</t>
  </si>
  <si>
    <t xml:space="preserve">      1.5. Működési célú visszatérítendő támogatások, kölcsönök igénybevétele</t>
  </si>
  <si>
    <t xml:space="preserve">      1.1. Önkormányzatok működési támogatásai</t>
  </si>
  <si>
    <t xml:space="preserve">      1.6. Egyéb működési célú támogatások</t>
  </si>
  <si>
    <t>B2</t>
  </si>
  <si>
    <t>B21</t>
  </si>
  <si>
    <t>B23</t>
  </si>
  <si>
    <t>B24</t>
  </si>
  <si>
    <t>B25</t>
  </si>
  <si>
    <t xml:space="preserve">      2.3. Felhalmozási célú visszatérítendő támogatások, kölcsönök visszatérülése</t>
  </si>
  <si>
    <t xml:space="preserve">      2.4. Felhalmozási célú visszatérítendő támogatások, kölcsönök igénybevétele</t>
  </si>
  <si>
    <t xml:space="preserve">      2.5. Egyéb felhalmozási célú támogatások</t>
  </si>
  <si>
    <t xml:space="preserve">      2.1. Felhalmozási célú önkormányzati támogatások</t>
  </si>
  <si>
    <t>B3</t>
  </si>
  <si>
    <t>B31</t>
  </si>
  <si>
    <t>B32</t>
  </si>
  <si>
    <t>B33</t>
  </si>
  <si>
    <t>B34</t>
  </si>
  <si>
    <t>B35</t>
  </si>
  <si>
    <t>B36</t>
  </si>
  <si>
    <t xml:space="preserve">      3.1. Jövedelemadók</t>
  </si>
  <si>
    <t xml:space="preserve">      3.2. Szociális hozzájárulási adók és járulékok</t>
  </si>
  <si>
    <t xml:space="preserve">      3.3. Bérhez és foglalkoztatáshoz kapcsolódó adók</t>
  </si>
  <si>
    <t xml:space="preserve">      3.6. Egyéb közhatalmi bevételek</t>
  </si>
  <si>
    <t>B4</t>
  </si>
  <si>
    <t xml:space="preserve">      4.1. Készletértékesítés ellenértéke</t>
  </si>
  <si>
    <t xml:space="preserve">      4.2. Szolgáltatások ellenértéke</t>
  </si>
  <si>
    <t>B401</t>
  </si>
  <si>
    <t>B402</t>
  </si>
  <si>
    <t>B403</t>
  </si>
  <si>
    <t>B404</t>
  </si>
  <si>
    <t>B405</t>
  </si>
  <si>
    <t xml:space="preserve">      4.3. Közvetített szolgáltatások ellenértéke</t>
  </si>
  <si>
    <t xml:space="preserve">      4.4. Tulajdonosi bevételek</t>
  </si>
  <si>
    <t xml:space="preserve">      4.5. Ellátási díjak</t>
  </si>
  <si>
    <t>B406</t>
  </si>
  <si>
    <t xml:space="preserve">      4.6. Kiszámlázott ÁFA</t>
  </si>
  <si>
    <t>B407</t>
  </si>
  <si>
    <t xml:space="preserve">      4.7. ÁFA visszatérítése</t>
  </si>
  <si>
    <t>B408</t>
  </si>
  <si>
    <t xml:space="preserve">      4.8. Kamatbevételek</t>
  </si>
  <si>
    <t>B409</t>
  </si>
  <si>
    <t xml:space="preserve">      4.9. Egyéb pénzügyi műveletek bevételei</t>
  </si>
  <si>
    <t>B12-16</t>
  </si>
  <si>
    <t xml:space="preserve">      1.2. Egyéb működési célú támogatások</t>
  </si>
  <si>
    <t>B22-25</t>
  </si>
  <si>
    <t xml:space="preserve">      2.2. Egyéb felhalmozási célú támogatások</t>
  </si>
  <si>
    <t>B410</t>
  </si>
  <si>
    <t xml:space="preserve">      4.10. Egyéb működési bevételek</t>
  </si>
  <si>
    <t xml:space="preserve">      3.4. Vagyoni típusú adók (építményadó, telekadó)</t>
  </si>
  <si>
    <t xml:space="preserve">      3.5. Termékek és szolgáltatások adói (iparűzési adó, gépjárműadó)</t>
  </si>
  <si>
    <t>B5</t>
  </si>
  <si>
    <t>B51</t>
  </si>
  <si>
    <t>B52</t>
  </si>
  <si>
    <t>B53</t>
  </si>
  <si>
    <t>B54</t>
  </si>
  <si>
    <t>B55</t>
  </si>
  <si>
    <t xml:space="preserve">      5.1. Immateriális javak értékesítése</t>
  </si>
  <si>
    <t xml:space="preserve">      5.2. Ingatlanok értékesítése</t>
  </si>
  <si>
    <t xml:space="preserve">      5.3. Egyéb tárgyi eszközök értékesítése</t>
  </si>
  <si>
    <t xml:space="preserve">      5.4. Részesedések értékesítése</t>
  </si>
  <si>
    <t xml:space="preserve">      5.5. Részesedések megszűnéséhez kapcsolódó bevételek</t>
  </si>
  <si>
    <t>B6</t>
  </si>
  <si>
    <t>B7</t>
  </si>
  <si>
    <r>
      <t xml:space="preserve">B8
</t>
    </r>
    <r>
      <rPr>
        <sz val="6"/>
        <rFont val="Times New Roman"/>
        <family val="1"/>
        <charset val="238"/>
      </rPr>
      <t>(B81-B83)</t>
    </r>
  </si>
  <si>
    <t xml:space="preserve">      6.1. Működési célú garancia- és kezességvállalásból származó megtérülések</t>
  </si>
  <si>
    <t xml:space="preserve">      6.2. Működési célú visszatérítendő támogatások, kölcsönök visszatérülése</t>
  </si>
  <si>
    <t xml:space="preserve">      6.3. Egyéb működési célú átvett pénzeszközök</t>
  </si>
  <si>
    <t>B61</t>
  </si>
  <si>
    <t>B62</t>
  </si>
  <si>
    <t>B63</t>
  </si>
  <si>
    <t>B71</t>
  </si>
  <si>
    <t>B72</t>
  </si>
  <si>
    <t>B73</t>
  </si>
  <si>
    <t xml:space="preserve">      7.1. Felhalmozási célú garancia- és kezességvállalásból származó megtérülések</t>
  </si>
  <si>
    <t xml:space="preserve">      7.2. Felhalmozási célú visszatérítendő támogatások, kölcsönök visszatérülése</t>
  </si>
  <si>
    <t xml:space="preserve">      7.3. Felhalmozási célú átvett pénzeszközök</t>
  </si>
  <si>
    <t>K1-K5</t>
  </si>
  <si>
    <t>K6-K8</t>
  </si>
  <si>
    <t>K9</t>
  </si>
  <si>
    <t xml:space="preserve">      3. Működési célú tartalék</t>
  </si>
  <si>
    <t>Működési bevételek - kiadások</t>
  </si>
  <si>
    <t>Felhalmozási bevételek - kiadások</t>
  </si>
  <si>
    <t>B111</t>
  </si>
  <si>
    <t>B112</t>
  </si>
  <si>
    <t>B113</t>
  </si>
  <si>
    <t>B114</t>
  </si>
  <si>
    <t>B115</t>
  </si>
  <si>
    <t xml:space="preserve">B116 </t>
  </si>
  <si>
    <t>K1</t>
  </si>
  <si>
    <t>K2</t>
  </si>
  <si>
    <t>K3</t>
  </si>
  <si>
    <t>K4</t>
  </si>
  <si>
    <t>K5</t>
  </si>
  <si>
    <t>I. Működési célú támogatások államháztartáson belülről</t>
  </si>
  <si>
    <t>II. Felhalmozási célú támogatások államháztartáson belülről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</si>
  <si>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</si>
  <si>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</si>
  <si>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</si>
  <si>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</si>
  <si>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 xml:space="preserve">II. Felhalmozási kiadások </t>
  </si>
  <si>
    <t>II. Közhatalmi bevételek</t>
  </si>
  <si>
    <t xml:space="preserve">     2. Termékek és szolgáltatások adói</t>
  </si>
  <si>
    <t xml:space="preserve">          2.1. Iparűzési adó</t>
  </si>
  <si>
    <t>III. Működési bevételek</t>
  </si>
  <si>
    <t xml:space="preserve">      1. Készletértékesítés ellenértéke</t>
  </si>
  <si>
    <t xml:space="preserve">      2. Szolgáltatások ellenértéke</t>
  </si>
  <si>
    <t xml:space="preserve">      3. Közvetített szolgáltatások ellenértéke</t>
  </si>
  <si>
    <t xml:space="preserve">      4. Tulajdonosi bevételek</t>
  </si>
  <si>
    <t xml:space="preserve">      5. Ellátási díjak</t>
  </si>
  <si>
    <t xml:space="preserve">      6. Kiszámlázott ÁFA</t>
  </si>
  <si>
    <t xml:space="preserve">      7. ÁFA visszatérítése</t>
  </si>
  <si>
    <t xml:space="preserve">      8. Kamatbevételek</t>
  </si>
  <si>
    <t xml:space="preserve">      9. Egyéb pénzügyi műveletek bevételei</t>
  </si>
  <si>
    <t>IV. Működési célú átvett pénzeszközök</t>
  </si>
  <si>
    <t xml:space="preserve">      1. Működési célú garancia- és kezességvállalásból származó megtérülések</t>
  </si>
  <si>
    <t xml:space="preserve">      2. Működési célú visszatérítendő támogatások, kölcsönök visszatérülése</t>
  </si>
  <si>
    <t xml:space="preserve">      3. Egyéb működési célú átvett pénzeszközök</t>
  </si>
  <si>
    <t>I. Személyi juttatások</t>
  </si>
  <si>
    <t>II. Munkaadót terhelő járulékok és szociális hozzájárulási adó</t>
  </si>
  <si>
    <t>III. Dologi kiadások</t>
  </si>
  <si>
    <t xml:space="preserve">        2.1. Működési célú hitel</t>
  </si>
  <si>
    <t xml:space="preserve">        2.2. Felhalmozási célú hitel</t>
  </si>
  <si>
    <t>I. Felhalmozási célú támogatások államháztartáson belülről</t>
  </si>
  <si>
    <t>II. Felhalmozási bevételek</t>
  </si>
  <si>
    <t xml:space="preserve">      4. Részesedések értékesítése</t>
  </si>
  <si>
    <t xml:space="preserve">      5. Részesedések megszűnéséhez kapcsolódó bevételek</t>
  </si>
  <si>
    <t>K6</t>
  </si>
  <si>
    <t xml:space="preserve">    1. Költségvetési hiány belső finanszírozására szolgáló eszközök</t>
  </si>
  <si>
    <t xml:space="preserve">    2. Költségvetési hiány külső finanszírozására szolgáló eszközök</t>
  </si>
  <si>
    <t>5. melléklet</t>
  </si>
  <si>
    <t>6. melléklet</t>
  </si>
  <si>
    <t>7. melléklet</t>
  </si>
  <si>
    <t>Kiküldetések, reklám- és propagandakiadások</t>
  </si>
  <si>
    <t>Különféle befizetések és egyéb dologi kiadások</t>
  </si>
  <si>
    <t>K 31</t>
  </si>
  <si>
    <t>K 311</t>
  </si>
  <si>
    <t>K 312</t>
  </si>
  <si>
    <t>K 32</t>
  </si>
  <si>
    <t>K 321</t>
  </si>
  <si>
    <t>K 322</t>
  </si>
  <si>
    <t>K 33</t>
  </si>
  <si>
    <t>K 331</t>
  </si>
  <si>
    <t>K 333</t>
  </si>
  <si>
    <t>K 334</t>
  </si>
  <si>
    <t>K 335</t>
  </si>
  <si>
    <t>K 336</t>
  </si>
  <si>
    <t>K 337</t>
  </si>
  <si>
    <t>K 34</t>
  </si>
  <si>
    <t>K 341</t>
  </si>
  <si>
    <t>K 342</t>
  </si>
  <si>
    <t>K 35</t>
  </si>
  <si>
    <t>K 351</t>
  </si>
  <si>
    <t>K 352</t>
  </si>
  <si>
    <t>K 353</t>
  </si>
  <si>
    <t>K 354</t>
  </si>
  <si>
    <t>K 355</t>
  </si>
  <si>
    <t>Készletbeszerzés</t>
  </si>
  <si>
    <t xml:space="preserve">     Üzemeltetési anyagok</t>
  </si>
  <si>
    <t>Kommunikációs szolgáltatások</t>
  </si>
  <si>
    <t xml:space="preserve">      Informatikai szolgáltatások</t>
  </si>
  <si>
    <t>Szolgáltatási kiadások</t>
  </si>
  <si>
    <t xml:space="preserve">    Működési célú előzetesen felszámított ÁFA</t>
  </si>
  <si>
    <t xml:space="preserve">    Fizetendő ÁFA</t>
  </si>
  <si>
    <t xml:space="preserve">    Kamatkiadások</t>
  </si>
  <si>
    <t xml:space="preserve">    Egyéb pénzügyi műveletek kiadásai</t>
  </si>
  <si>
    <t xml:space="preserve">K4 </t>
  </si>
  <si>
    <t xml:space="preserve">K3 </t>
  </si>
  <si>
    <t>Személyi juttatások összesen</t>
  </si>
  <si>
    <t>K11</t>
  </si>
  <si>
    <t>Foglalkoztatottak személyi juttatásai</t>
  </si>
  <si>
    <t>K12</t>
  </si>
  <si>
    <t xml:space="preserve">     Kiküldetések </t>
  </si>
  <si>
    <t xml:space="preserve">     Egyéb szolgáltatások</t>
  </si>
  <si>
    <t xml:space="preserve">     Szakmai tevékenységet segítő szolgáltatások</t>
  </si>
  <si>
    <t xml:space="preserve">     Közvetített szolgáltatások</t>
  </si>
  <si>
    <t xml:space="preserve">     Karbantartás, kisjavítás</t>
  </si>
  <si>
    <t xml:space="preserve">     Bérleti és lízingdíjak</t>
  </si>
  <si>
    <t xml:space="preserve">     Közüzemi díjak</t>
  </si>
  <si>
    <t xml:space="preserve">        Festékpatron</t>
  </si>
  <si>
    <t xml:space="preserve">        Hajtó- és kenőanyagok</t>
  </si>
  <si>
    <t xml:space="preserve">        Tisztítószer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</si>
  <si>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(telefon, mobiltelefon)</t>
    </r>
  </si>
  <si>
    <t xml:space="preserve">        Könyvvizsgálat</t>
  </si>
  <si>
    <t xml:space="preserve">        Főépítészi szolgáltatás</t>
  </si>
  <si>
    <t xml:space="preserve">     Reklám- és propagandakiadások </t>
  </si>
  <si>
    <t xml:space="preserve">        Betegszállítás</t>
  </si>
  <si>
    <t>áfa</t>
  </si>
  <si>
    <t xml:space="preserve">        Szemétszállítás</t>
  </si>
  <si>
    <t xml:space="preserve">        Különféle adók, díjak, adójellegű befizetések, hozzájárulások</t>
  </si>
  <si>
    <t>013350 Önk.-i vagyonnal való gazdálkodással kapcs. fel.</t>
  </si>
  <si>
    <t>(önkormányzat)</t>
  </si>
  <si>
    <t>K 332</t>
  </si>
  <si>
    <t xml:space="preserve">     Vásárolt élelmezés</t>
  </si>
  <si>
    <t xml:space="preserve">        Munkaruha</t>
  </si>
  <si>
    <t xml:space="preserve">K5 </t>
  </si>
  <si>
    <t xml:space="preserve">K6 </t>
  </si>
  <si>
    <t xml:space="preserve">        Foglalkozás- egészségügyi alapellátás</t>
  </si>
  <si>
    <t xml:space="preserve">        Továbbképzés, oktatás</t>
  </si>
  <si>
    <t>011220 Adó-, vám- és jövedéki igazgatás</t>
  </si>
  <si>
    <t xml:space="preserve">        Fénymásoló üzemeltetés</t>
  </si>
  <si>
    <t xml:space="preserve">        Jogi szolgáltatás</t>
  </si>
  <si>
    <t xml:space="preserve">         Telefonközpont szolgáltatás</t>
  </si>
  <si>
    <t xml:space="preserve">         Telefonközpont eseti díj</t>
  </si>
  <si>
    <r>
      <t xml:space="preserve">     Szakmai anyagok beszerzése </t>
    </r>
    <r>
      <rPr>
        <sz val="8"/>
        <rFont val="Times New Roman"/>
        <family val="1"/>
        <charset val="238"/>
      </rPr>
      <t>(könyv, folyóirat, napilap, egyéb)</t>
    </r>
  </si>
  <si>
    <t xml:space="preserve">      1. Hazai forrásból származó bevételek</t>
  </si>
  <si>
    <t xml:space="preserve">      2. Európai Uniós forrásból származó bevételek</t>
  </si>
  <si>
    <t xml:space="preserve">      3. Egyéb közhatalmi bevételek (igazgatási szolgáltatási díj, bírságok)</t>
  </si>
  <si>
    <t xml:space="preserve">        Szirén program követése</t>
  </si>
  <si>
    <t xml:space="preserve">        Belső ellenőr</t>
  </si>
  <si>
    <t xml:space="preserve">               Óvodai nevelés </t>
  </si>
  <si>
    <r>
      <t>Külső személyi juttatások</t>
    </r>
    <r>
      <rPr>
        <sz val="10"/>
        <rFont val="Times New Roman"/>
        <family val="1"/>
        <charset val="238"/>
      </rPr>
      <t xml:space="preserve"> </t>
    </r>
  </si>
  <si>
    <t xml:space="preserve">        Nyomtatvány, papír, irodaszer</t>
  </si>
  <si>
    <r>
      <t xml:space="preserve">     Bérleti és lízingdíjak </t>
    </r>
    <r>
      <rPr>
        <sz val="8"/>
        <rFont val="Times New Roman"/>
        <family val="1"/>
        <charset val="238"/>
      </rPr>
      <t>(Safe bérlet)</t>
    </r>
  </si>
  <si>
    <t xml:space="preserve">    Alkalmazottak illetménye </t>
  </si>
  <si>
    <t xml:space="preserve">V. Egyéb működési célú kiadások </t>
  </si>
  <si>
    <t xml:space="preserve">    2. Működési célú tartalék</t>
  </si>
  <si>
    <t>egyenleg</t>
  </si>
  <si>
    <t>Össz.</t>
  </si>
  <si>
    <t xml:space="preserve">      1. Beruházások</t>
  </si>
  <si>
    <t xml:space="preserve">      2. Felújítások</t>
  </si>
  <si>
    <t xml:space="preserve">      3. Egyéb felhalmozási célú kiadások</t>
  </si>
  <si>
    <t xml:space="preserve">    Városi ünnepségek reprezentációja</t>
  </si>
  <si>
    <t xml:space="preserve">        Postaköltség</t>
  </si>
  <si>
    <t xml:space="preserve">A. K ö l t s é g v e t é s i   b e v é t e l e k </t>
  </si>
  <si>
    <t xml:space="preserve">B. F i n a n s z í r o z á s i   b e v é t e l e k </t>
  </si>
  <si>
    <t xml:space="preserve">A. K ö l t s é g v e t é s i   k i a d á s o k </t>
  </si>
  <si>
    <t xml:space="preserve">   1. Önkormányzati beruházások</t>
  </si>
  <si>
    <t xml:space="preserve">     2. Hazai támogatásból, saját forrásból megvalósuló felújítások</t>
  </si>
  <si>
    <t xml:space="preserve">B. F i n a n s z í r o z á s i   k i a d á s o k </t>
  </si>
  <si>
    <t xml:space="preserve">      1.2. Hazai támogatásból, saját forrásból megvalósítandó beruházások</t>
  </si>
  <si>
    <t xml:space="preserve">      1.1. Európai Uniós támogatásból megvalósuló beruházások</t>
  </si>
  <si>
    <t xml:space="preserve">         3.1. Felhalmozási célú pénzeszköz átadás</t>
  </si>
  <si>
    <r>
      <t xml:space="preserve">     </t>
    </r>
    <r>
      <rPr>
        <i/>
        <sz val="10"/>
        <rFont val="Times New Roman"/>
        <family val="1"/>
        <charset val="238"/>
      </rPr>
      <t xml:space="preserve">    3.2. Felhalmozási célú tartalék (céltartalék)</t>
    </r>
  </si>
  <si>
    <t xml:space="preserve">A. K ö l t s é g v e t é s i  b e v é t e l e k </t>
  </si>
  <si>
    <t xml:space="preserve">A. K ö l t s é g v e t é s i  k i a d á s o k </t>
  </si>
  <si>
    <t xml:space="preserve">B. F i n a n s z í r o z á s i  b e v é t e l e k </t>
  </si>
  <si>
    <t>B. F i n a n s z í r o z á s i  k i a d á s o k</t>
  </si>
  <si>
    <t>K1-8</t>
  </si>
  <si>
    <t>B1-7</t>
  </si>
  <si>
    <t>K8</t>
  </si>
  <si>
    <t>K7</t>
  </si>
  <si>
    <t>Felhalmozási kiadások
 (beruházás, felújítás, felh. pénzeszk. átadás)</t>
  </si>
  <si>
    <t>Tartalék (működés + felhalmozás)</t>
  </si>
  <si>
    <t>8. melléklet</t>
  </si>
  <si>
    <t>Adósságot keletkeztető ügyletnél figyelembe veendő bevételek (Stabilitási tv. 45.§ (1) a., 10.§ (5) bek. szerint)</t>
  </si>
  <si>
    <t>12. melléklet</t>
  </si>
  <si>
    <t xml:space="preserve">   Közhatalmi bevételek</t>
  </si>
  <si>
    <t xml:space="preserve">   Működési bevételek</t>
  </si>
  <si>
    <t xml:space="preserve">   Működési célú átvett pénzeszközök</t>
  </si>
  <si>
    <t xml:space="preserve">   Felhalmozási bevételek</t>
  </si>
  <si>
    <t>2018. évi eredeti előirányzat</t>
  </si>
  <si>
    <t>Önerő</t>
  </si>
  <si>
    <t>Projekt megvalósítás költsége mindösszesen</t>
  </si>
  <si>
    <t>Működési célú bevételek/közhatalmi bevételek</t>
  </si>
  <si>
    <t>Felhalmozási bevételek, átvett pénzeszközök</t>
  </si>
  <si>
    <t>Működési célú tartalék</t>
  </si>
  <si>
    <t>Várható/figyelembe vehető saját bevételek</t>
  </si>
  <si>
    <t>Többéves kihatással járó feladatok</t>
  </si>
  <si>
    <t>Felhalmozási célú bevételek</t>
  </si>
  <si>
    <t>Bevételek összesen</t>
  </si>
  <si>
    <t>Önkormányzati bevételek - kiadások</t>
  </si>
  <si>
    <t>Felhalmozási bevételek összesen</t>
  </si>
  <si>
    <t>Működési bevételek összesen</t>
  </si>
  <si>
    <t>Felhalmozási  kiadások összesen</t>
  </si>
  <si>
    <t xml:space="preserve">  1. Belföldi finanszírozás kiadásai</t>
  </si>
  <si>
    <t xml:space="preserve">      1.2. Felhalmozási célú hitel-, kölcsöntörlesztés</t>
  </si>
  <si>
    <t xml:space="preserve">  2. Külföldi finanszírozás kiadásai</t>
  </si>
  <si>
    <t xml:space="preserve">  3. Adóssághoz nem kapcsolódó származékos ügyletek kiadásai</t>
  </si>
  <si>
    <t>Önkormány
zati önerő
 %</t>
  </si>
  <si>
    <r>
      <t xml:space="preserve">     2. Intézményi beruházások</t>
    </r>
    <r>
      <rPr>
        <sz val="10"/>
        <rFont val="Times New Roman"/>
        <family val="1"/>
        <charset val="238"/>
      </rPr>
      <t xml:space="preserve"> </t>
    </r>
  </si>
  <si>
    <t>B411</t>
  </si>
  <si>
    <t>K914</t>
  </si>
  <si>
    <t>Felh. célú támogatások áht-n belülről</t>
  </si>
  <si>
    <t xml:space="preserve">    2. Háztartásoknak </t>
  </si>
  <si>
    <t xml:space="preserve">III. Felhalmozási célú átvett pénzeszközök </t>
  </si>
  <si>
    <t>ÁHB megelőlegezések visszafizetése</t>
  </si>
  <si>
    <t xml:space="preserve">     10. Biztosító által fizetett kártérítés</t>
  </si>
  <si>
    <t>B65</t>
  </si>
  <si>
    <t xml:space="preserve">    Egészségügyi hozzájárulás</t>
  </si>
  <si>
    <t xml:space="preserve">Balatonföldvár Város Önkormányzata </t>
  </si>
  <si>
    <t xml:space="preserve">      7.1. Felhalmozási célú visszatérítendő támogatások, kölcsönök visszatérülése ÁH-n kívülről</t>
  </si>
  <si>
    <t>nettó</t>
  </si>
  <si>
    <t>Bajor Gizi K. H. - konyha és pince felújítása - közbeszerzés</t>
  </si>
  <si>
    <t>Bajor Gizi K. H. - konyha és pince felújítása - műszaki ellenőrzés</t>
  </si>
  <si>
    <t xml:space="preserve">        Egyéb pénzügyi műveletek kiadásai (bankköltség)</t>
  </si>
  <si>
    <t xml:space="preserve">     Bajor Gizi Közösségi Ház karbantartás (hőszivattyú)</t>
  </si>
  <si>
    <t xml:space="preserve">       1.1. Önkormányzat által igényelt állami támogatás továbbadása Többcélú Társulásnak</t>
  </si>
  <si>
    <t>(Balatonföldvári Közös Önkormányzati Hivatal)</t>
  </si>
  <si>
    <t xml:space="preserve">        Fizikoterápiás szolgáltatás </t>
  </si>
  <si>
    <t xml:space="preserve">      1. Immateriális javak értékesítése </t>
  </si>
  <si>
    <t>Beruházások, felújítások, egyéb felh. kiadások</t>
  </si>
  <si>
    <t>Egyéb működési célú kiadások (támogatások, átadások)</t>
  </si>
  <si>
    <t xml:space="preserve">        ÁHB megelőlegezések visszafizetése</t>
  </si>
  <si>
    <t>Saját bevétel</t>
  </si>
  <si>
    <t xml:space="preserve">IV. Felhalmozási célú tartalék </t>
  </si>
  <si>
    <t xml:space="preserve">     Önkormányzat</t>
  </si>
  <si>
    <t xml:space="preserve">      Önkormányzat</t>
  </si>
  <si>
    <t xml:space="preserve">               Szennyvíztársulás működési hozzájárulás</t>
  </si>
  <si>
    <r>
      <t xml:space="preserve">       1.2. Pénzeszközátadás társulásban közösen ellátott feladatokra
               </t>
    </r>
    <r>
      <rPr>
        <sz val="10"/>
        <rFont val="Times New Roman"/>
        <family val="1"/>
        <charset val="238"/>
      </rPr>
      <t>(TKT felosztás külön táblán bemutatva)</t>
    </r>
  </si>
  <si>
    <t>intézményfinanszírozás</t>
  </si>
  <si>
    <t>Működési célú átvett pénzeszközök</t>
  </si>
  <si>
    <t>Működési bevételek</t>
  </si>
  <si>
    <t>közfoglalkoztatottak létszáma</t>
  </si>
  <si>
    <t>önkormányzati bevételek nettósítva</t>
  </si>
  <si>
    <t>önkormányzati kiadások nettósítva</t>
  </si>
  <si>
    <t>ezer Ft</t>
  </si>
  <si>
    <t>Mind
összesen</t>
  </si>
  <si>
    <t>Mindösszesen</t>
  </si>
  <si>
    <t xml:space="preserve">                 Működési célú maradvány</t>
  </si>
  <si>
    <t xml:space="preserve">                 Felhalmozási célú maradvány</t>
  </si>
  <si>
    <t>Működési célú maradvány</t>
  </si>
  <si>
    <t>Intézmény
finanszírozás</t>
  </si>
  <si>
    <t>Belföldi finanszírozás
kiadásai</t>
  </si>
  <si>
    <t>Felhalmozási célú
maradvány</t>
  </si>
  <si>
    <t xml:space="preserve">         1.1. Előző évi felhalmozási célú maradvány igénybevétele</t>
  </si>
  <si>
    <t>Előző évi maradvány</t>
  </si>
  <si>
    <t xml:space="preserve">   Előző évi maradvány</t>
  </si>
  <si>
    <t xml:space="preserve">   2. Költségvetési hiány külső finanszírozására szolgáló eszközök</t>
  </si>
  <si>
    <t xml:space="preserve">            Intézményfinanszírozás módosítása Művelődési ház időarányos állami támogatása miatt</t>
  </si>
  <si>
    <t xml:space="preserve">   1. Belföldi finanszírozás bevételei</t>
  </si>
  <si>
    <t xml:space="preserve">        1.1. Előző év költségvetési maradványának igénybevétele</t>
  </si>
  <si>
    <t>Ellátottak 
pénzbeli juttatásai</t>
  </si>
  <si>
    <t xml:space="preserve">        Tisztítószer </t>
  </si>
  <si>
    <t xml:space="preserve">        Nyomtatvány, irodaszer </t>
  </si>
  <si>
    <t xml:space="preserve">III. A helyi önkormányzatok előző évi elszámolásából származó kiadások </t>
  </si>
  <si>
    <t>Egyéb működési célú kiadások mindösszesen (I+II+III)</t>
  </si>
  <si>
    <t>Munkaadót terhelő jár., szoc. hozzájárulási adó</t>
  </si>
  <si>
    <t xml:space="preserve">              DRV Zrt. lakossági víz és csatornaszolgáltatás támogatás továbbutalása</t>
  </si>
  <si>
    <t>IV. Ellátottak pénzbeli juttatásai</t>
  </si>
  <si>
    <t>Ellátottak pénzbeli juttatásai</t>
  </si>
  <si>
    <t xml:space="preserve">     Közlekedési költségtérítés (munkábajárás)</t>
  </si>
  <si>
    <t xml:space="preserve">        Bankköltség</t>
  </si>
  <si>
    <t xml:space="preserve">        Földvár TV (Elek Dezső)</t>
  </si>
  <si>
    <t xml:space="preserve">   Finanszírozási kiadások</t>
  </si>
  <si>
    <t xml:space="preserve">        Informatikai kellékek (pl. festékpatron)</t>
  </si>
  <si>
    <r>
      <t xml:space="preserve">      1. Vagyoni típusú adók                 </t>
    </r>
    <r>
      <rPr>
        <sz val="8"/>
        <rFont val="Times New Roman"/>
        <family val="1"/>
        <charset val="238"/>
      </rPr>
      <t xml:space="preserve"> </t>
    </r>
  </si>
  <si>
    <t xml:space="preserve">          1.1. Építményadó                                       </t>
  </si>
  <si>
    <t xml:space="preserve">          2.2. Gépjárműadó (40%)</t>
  </si>
  <si>
    <t xml:space="preserve">      Intézmény  (KÖH)</t>
  </si>
  <si>
    <t xml:space="preserve">      Intézmény (KÖH)</t>
  </si>
  <si>
    <t xml:space="preserve">     Intézmény (KÖH)</t>
  </si>
  <si>
    <t xml:space="preserve">      3. Egyéb tárgyi eszközök értékesítése </t>
  </si>
  <si>
    <t xml:space="preserve">               Gyermekétkeztetési feladatok támogatása</t>
  </si>
  <si>
    <t xml:space="preserve">               Család és gyermekjóléti feladatok, házi segítségnyújtás támogatása </t>
  </si>
  <si>
    <t xml:space="preserve">    Reprezentációs kiadás (egyéb)</t>
  </si>
  <si>
    <t xml:space="preserve">        Biztosítás (kötelező, casco: NXG-772 Dacia Duster)</t>
  </si>
  <si>
    <t xml:space="preserve">        Autópálya matrica (NXG-772 Dacia Duster)</t>
  </si>
  <si>
    <t xml:space="preserve">     IFA ellenőrök megbízási díja</t>
  </si>
  <si>
    <t xml:space="preserve">     Cafeteria</t>
  </si>
  <si>
    <t xml:space="preserve">        Egyéb</t>
  </si>
  <si>
    <t xml:space="preserve">           Telefonközpont</t>
  </si>
  <si>
    <t xml:space="preserve">           Egyéb eszközök javítása, karbantartása</t>
  </si>
  <si>
    <t xml:space="preserve">              Illemhely építése (posta melletti terület)</t>
  </si>
  <si>
    <t xml:space="preserve">      2. Önkormányzati intézmények működési kiadásai (hivatal)</t>
  </si>
  <si>
    <r>
      <t xml:space="preserve">              TV stúdió eszközbeszerzés </t>
    </r>
    <r>
      <rPr>
        <sz val="8"/>
        <rFont val="Times New Roman"/>
        <family val="1"/>
        <charset val="238"/>
      </rPr>
      <t>(2 db digitális kamera, keverőpult, 4 db stúdiómikrofon)</t>
    </r>
  </si>
  <si>
    <t xml:space="preserve">        Kézműves, gyermekfoglalkozások, könyvbemutatók</t>
  </si>
  <si>
    <t xml:space="preserve">        Foglalkozás eü alapellátás</t>
  </si>
  <si>
    <t xml:space="preserve">    Költségtérítés (polgármester, alpolgármesterek)</t>
  </si>
  <si>
    <t xml:space="preserve">    Képviselői, alpolgármesteri, bizottsági tagi tiszteletdíjak</t>
  </si>
  <si>
    <t xml:space="preserve">               Pénzügyi Gondnokság konyha működtetés, karbantartás (intézményi étkeztetés)</t>
  </si>
  <si>
    <t xml:space="preserve">                     Kilátó</t>
  </si>
  <si>
    <t xml:space="preserve">                                Működési támogatás</t>
  </si>
  <si>
    <t xml:space="preserve">                                 Állami támogatás továbbadása</t>
  </si>
  <si>
    <t xml:space="preserve">                                 Működési támogatás</t>
  </si>
  <si>
    <t>Működési és felhalmozási célú tartalék</t>
  </si>
  <si>
    <t>13. melléklet</t>
  </si>
  <si>
    <t>Feladat
finanszírozás
(intézményi)</t>
  </si>
  <si>
    <t>Egyéb átvett pénzeszköz</t>
  </si>
  <si>
    <t>Finanszírozási bevétel 
(intézményi)</t>
  </si>
  <si>
    <t xml:space="preserve">    Felh. célú támogatások áh-n belülről</t>
  </si>
  <si>
    <t xml:space="preserve">   Felhalmozási célú átvett pénzeszközök</t>
  </si>
  <si>
    <t xml:space="preserve">    Működési célú támogatások áht-n belülről</t>
  </si>
  <si>
    <t>Felhalmozási célú hitel</t>
  </si>
  <si>
    <t>107051 Szociális étkeztetés</t>
  </si>
  <si>
    <t xml:space="preserve">Beruházásokhoz, felújításokhoz kapcsolódó, </t>
  </si>
  <si>
    <t>Hitel felvétel</t>
  </si>
  <si>
    <t>ezerFt</t>
  </si>
  <si>
    <t xml:space="preserve">    Készenléti, ügyeleti, helyettesítési díj, túlóra</t>
  </si>
  <si>
    <t xml:space="preserve">Ellátottak pénzbeli juttatásai </t>
  </si>
  <si>
    <t xml:space="preserve">Balatonföldvár "Zöld város program" </t>
  </si>
  <si>
    <t xml:space="preserve">TOP-2.1.2-15-SO1-2016-00002  </t>
  </si>
  <si>
    <t>100</t>
  </si>
  <si>
    <t>B75</t>
  </si>
  <si>
    <r>
      <t xml:space="preserve">             Előadó és Alkotóművészetért Alapítvány</t>
    </r>
    <r>
      <rPr>
        <sz val="8"/>
        <rFont val="Times New Roman"/>
        <family val="1"/>
        <charset val="238"/>
      </rPr>
      <t xml:space="preserve"> (állami támogatás továbbadása közszolg. szerz. szerint)</t>
    </r>
  </si>
  <si>
    <t xml:space="preserve">              Laboratóriumi szolg.működési ktg.támogatás (82/2017.(IV.11.))</t>
  </si>
  <si>
    <t xml:space="preserve">               DBRHÖT működési hozzájárulás</t>
  </si>
  <si>
    <t xml:space="preserve">               Munka- és tűzvédelmi Társulás tagdíj</t>
  </si>
  <si>
    <t>Beszámoló előtti ei.mód.</t>
  </si>
  <si>
    <t xml:space="preserve">        1.2. ÁHB megelőlegezések bevétele</t>
  </si>
  <si>
    <t>14. melléklet</t>
  </si>
  <si>
    <t>Maradványkimutatás</t>
  </si>
  <si>
    <t>Közös Hivatal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</si>
  <si>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</si>
  <si>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</si>
  <si>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</si>
  <si>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</si>
  <si>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</si>
  <si>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</si>
  <si>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</si>
  <si>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</si>
  <si>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</si>
  <si>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</si>
  <si>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</si>
  <si>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</si>
  <si>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</si>
  <si>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</si>
  <si>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C)        Összes maradvány (=A+B)</t>
  </si>
  <si>
    <t>09</t>
  </si>
  <si>
    <t>D)        Alaptevékenység kötelezettségvállalással terhelt maradványa</t>
  </si>
  <si>
    <t>E)        Alaptevékenység szabad maradványa (=A-D)</t>
  </si>
  <si>
    <t>15. melléklet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</si>
  <si>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</si>
  <si>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</si>
  <si>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</si>
  <si>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</si>
  <si>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</si>
  <si>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</si>
  <si>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</si>
  <si>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</si>
  <si>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08</t>
  </si>
  <si>
    <t>A/II/4 Beruházások, felújítások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</si>
  <si>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</si>
  <si>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</si>
  <si>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</si>
  <si>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</si>
  <si>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</si>
  <si>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16</t>
  </si>
  <si>
    <t>A/III/1e - ebből: egyéb tartós részesedések</t>
  </si>
  <si>
    <t>A/III/2 Tartós hitelviszonyt megtestesítő értékpapírok</t>
  </si>
  <si>
    <t>A/III Befektetett pénzügyi eszközök (=A/III/1+A/III/2+A/III/3)</t>
  </si>
  <si>
    <t>A) NEMZETI VAGYONBA TARTOZÓ BEFEKTETETT ESZKÖZÖK (=A/I+A/II+A/III+A/IV)</t>
  </si>
  <si>
    <t>B/I/1 Vásárolt készletek</t>
  </si>
  <si>
    <t>B) NEMZETI VAGYONBA TARTOZÓ FORGÓESZKÖZÖK (= B/I+B/II)</t>
  </si>
  <si>
    <t>C/I/1 Éven túli lejáratú forint lekötött bankbetétek</t>
  </si>
  <si>
    <t>C/I Lekötött bankbetétek (=C/I/1+…+C/I/2)</t>
  </si>
  <si>
    <t>C/II/1 Forintpénztár</t>
  </si>
  <si>
    <t>C/II Pénztárak, csekkek, betétkönyvek (=C/II/1+C/II/2+C/II/3)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</si>
  <si>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</si>
  <si>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</si>
  <si>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</si>
  <si>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</si>
  <si>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</si>
  <si>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</si>
  <si>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</si>
  <si>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</si>
  <si>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</si>
  <si>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</si>
  <si>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</si>
  <si>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</si>
  <si>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 Költségvetési évben esedékes követelések (=D/I/1+…+D/I/8)</t>
  </si>
  <si>
    <t>D/II/5 Költségvetési évet követően esedékes követelések felhalmozási bevételre (=D/II/5a+…+D/II/5e)</t>
  </si>
  <si>
    <t>D/II/5b - ebből: költségvetési évet követően esedékes követelések ingatlanok értékesítésére</t>
  </si>
  <si>
    <t>D/II Költségvetési évet követően esedékes követelések (=D/II/1+…+D/II/8)</t>
  </si>
  <si>
    <t>D/III/1 Adott előlegek (=D/III/1a+…+D/III/1f)</t>
  </si>
  <si>
    <t xml:space="preserve">D/III/1e - ebből: foglalkoztatottaknak adott előlegek 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</si>
  <si>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</si>
  <si>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</si>
  <si>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</si>
  <si>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</si>
  <si>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</si>
  <si>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</si>
  <si>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</si>
  <si>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</si>
  <si>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</si>
  <si>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</si>
  <si>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F/1  Eredményszemléletű bevételek aktív időbeli elhatárolása</t>
  </si>
  <si>
    <t>F/2  Költségek, ráfordítások aktív időbeli elhatárolása</t>
  </si>
  <si>
    <t>F) AKTÍV IDŐBELI  ELHATÁROLÁSOK  (=F/1+F/2+F/3)</t>
  </si>
  <si>
    <t>ESZKÖZÖK ÖSSZESEN (=A+B+C+D+E+F)</t>
  </si>
  <si>
    <t>G/III/3 Pénzeszközön kívüli egyéb eszközök induláskori értéke és változásai</t>
  </si>
  <si>
    <t>G/IV Felhalmozott eredmény</t>
  </si>
  <si>
    <t>G/VI Mérleg szerinti eredmény</t>
  </si>
  <si>
    <t>G/ SAJÁT TŐKE  (= G/I+…+G/VI)</t>
  </si>
  <si>
    <t>H/I/9 Költségvetési évben esedékes kötelezettségek finanszírozási kiadásokra (&gt;=H/I/9a+…+H/I/9l)</t>
  </si>
  <si>
    <t>H/I Költségvetési évben esedékes kötelezettségek (=H/I/1+…+H/I/9)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</si>
  <si>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</si>
  <si>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</si>
  <si>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H/III/1c - ebből: egyéb túlfizetések, téves és visszajáró befizetések, egyéb kapott előlegek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</si>
  <si>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</si>
  <si>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</si>
  <si>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</si>
  <si>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</si>
  <si>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</si>
  <si>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</si>
  <si>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16. melléklet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</si>
  <si>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</si>
  <si>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</si>
  <si>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</si>
  <si>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</si>
  <si>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</si>
  <si>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</si>
  <si>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</si>
  <si>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</si>
  <si>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</si>
  <si>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</si>
  <si>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</si>
  <si>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</si>
  <si>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</si>
  <si>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</si>
  <si>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</si>
  <si>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</si>
  <si>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</si>
  <si>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</si>
  <si>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</si>
  <si>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</si>
  <si>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</si>
  <si>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20 Egyéb kapott (járó) kamatok és kamatjellegű eredményszemléletű bevételek</t>
  </si>
  <si>
    <t>21 Pénzügyi műveletek egyéb eredményszemléletű bevételei</t>
  </si>
  <si>
    <t>VIII Pénzügyi műveletek eredményszemléletű bevételei (=17+18+19+20+21)</t>
  </si>
  <si>
    <t>24 Fizetendő kamatok és kamatjellegű ráfordítások</t>
  </si>
  <si>
    <t xml:space="preserve">26 Pénzügyi műveletek egyéb ráfordításai </t>
  </si>
  <si>
    <t>IX Pénzügyi műveletek ráfordításai (=22+23+24+25+26)</t>
  </si>
  <si>
    <t>B)  PÉNZÜGYI MŰVELETEK EREDMÉNYE (=VIII-IX)</t>
  </si>
  <si>
    <t>C)  MÉRLEG SZERINTI EREDMÉNY (=±A±B)</t>
  </si>
  <si>
    <t>17. melléklet</t>
  </si>
  <si>
    <r>
      <t xml:space="preserve"> </t>
    </r>
    <r>
      <rPr>
        <b/>
        <sz val="10"/>
        <rFont val="Times New Roman"/>
        <family val="1"/>
        <charset val="238"/>
      </rPr>
      <t xml:space="preserve"> ESZKÖZÖK                                                                                     </t>
    </r>
    <r>
      <rPr>
        <i/>
        <sz val="10"/>
        <rFont val="Times New Roman"/>
        <family val="1"/>
        <charset val="238"/>
      </rPr>
      <t xml:space="preserve"> </t>
    </r>
  </si>
  <si>
    <t>Nettó érték</t>
  </si>
  <si>
    <t>Bruttó érték</t>
  </si>
  <si>
    <t>A</t>
  </si>
  <si>
    <t>NEMZETI VAGYONBA TARTOZÓ BEFEKTETETT ESZKÖZÖK (I + II +III + IV)</t>
  </si>
  <si>
    <t>I.</t>
  </si>
  <si>
    <t>Immateriális javak (a + b)</t>
  </si>
  <si>
    <t xml:space="preserve"> Ebből: </t>
  </si>
  <si>
    <t xml:space="preserve">     a) Törzsvagyon (aa + ab)</t>
  </si>
  <si>
    <t xml:space="preserve">         Ebből: </t>
  </si>
  <si>
    <t xml:space="preserve">          aa) Forgalom képtelen</t>
  </si>
  <si>
    <t xml:space="preserve">                aaa) Kizárólagosan önkormányzati tulajdonú vagyon</t>
  </si>
  <si>
    <t xml:space="preserve">                aab)Nemzetgazdasági szempontból kiemelt jelentőségű vagyon</t>
  </si>
  <si>
    <t xml:space="preserve">          ab) Korlátozottan forgalomképes</t>
  </si>
  <si>
    <t xml:space="preserve">     b) Üzleti vagyon                   </t>
  </si>
  <si>
    <t>II.</t>
  </si>
  <si>
    <t>Tárgyi eszközök (1 + 2 + 3 + 4 + 5 )</t>
  </si>
  <si>
    <t>1. Ingatlanok és a kapcsolódó vagyoni értékű jogok</t>
  </si>
  <si>
    <t xml:space="preserve">     Ebből: </t>
  </si>
  <si>
    <t xml:space="preserve">          Ebből: </t>
  </si>
  <si>
    <t xml:space="preserve">               aaa) Kizárólagosan önkormányzati tulajdonú vagyon</t>
  </si>
  <si>
    <t xml:space="preserve">               aab)Nemzetgazdasági szempontból kiemelt jelentőségű vagyon</t>
  </si>
  <si>
    <t xml:space="preserve">     b) Üzleti vagyon </t>
  </si>
  <si>
    <t>2. Gépek, berendezések és felszerelések, járművek (a + b)</t>
  </si>
  <si>
    <t xml:space="preserve">     Ebből:</t>
  </si>
  <si>
    <t>3. Tenyészállatok (a + b)</t>
  </si>
  <si>
    <t>4. Beruházások, felújítások</t>
  </si>
  <si>
    <t xml:space="preserve">      b) Üzleti vagyon </t>
  </si>
  <si>
    <r>
      <t xml:space="preserve">5. Tárgyi eszközök értékhelyesbítése                                    </t>
    </r>
    <r>
      <rPr>
        <b/>
        <i/>
        <sz val="10"/>
        <rFont val="Times New Roman"/>
        <family val="1"/>
        <charset val="238"/>
      </rPr>
      <t xml:space="preserve"> </t>
    </r>
  </si>
  <si>
    <t>III.</t>
  </si>
  <si>
    <t>Befektetett pénzügyi eszközök (1 + 2 + 3 + 4 + 5 + 6)</t>
  </si>
  <si>
    <t>1. Tartós részesedés (a + b)</t>
  </si>
  <si>
    <t>2. Tartós hitelviszonyt megtestesítő értékpapír (a + b)</t>
  </si>
  <si>
    <t xml:space="preserve">          Ebből:</t>
  </si>
  <si>
    <r>
      <t xml:space="preserve">3. Befektetett pénzügyi eszközök értékhelyesbítése              </t>
    </r>
    <r>
      <rPr>
        <i/>
        <sz val="10"/>
        <rFont val="Times New Roman"/>
        <family val="1"/>
        <charset val="238"/>
      </rPr>
      <t xml:space="preserve"> </t>
    </r>
  </si>
  <si>
    <t>IV.</t>
  </si>
  <si>
    <t>Koncesszióba, vagyonkezelésbe adott eszközök</t>
  </si>
  <si>
    <t>B</t>
  </si>
  <si>
    <t>NEMZETI VAGYONBA TARTOZÓ FORGÓESZKÖZÖK (I + II)</t>
  </si>
  <si>
    <t>Készletek</t>
  </si>
  <si>
    <t>Értékpapírok</t>
  </si>
  <si>
    <t>C</t>
  </si>
  <si>
    <t>PÉNZESZKÖZÖK</t>
  </si>
  <si>
    <t>D</t>
  </si>
  <si>
    <t xml:space="preserve">KÖVETELÉSEK </t>
  </si>
  <si>
    <t>Költségvetési évben esedékes követelések</t>
  </si>
  <si>
    <t>Kötlségvetési évet követően esedékes követelések</t>
  </si>
  <si>
    <t>Követelés jellegű sajátos elszámolások</t>
  </si>
  <si>
    <t>E</t>
  </si>
  <si>
    <t>EGYÉB SAJÁTOS  ELSZÁMOLÁSOK</t>
  </si>
  <si>
    <t>F</t>
  </si>
  <si>
    <t>AKTÍV IDŐBELI ELHATÁROLÁSOK</t>
  </si>
  <si>
    <t>ESZKÖZÖK ÖSSZESEN:</t>
  </si>
  <si>
    <t>II. Az önkormányzat könyviteli mérlegében nem szereplő eszközök</t>
  </si>
  <si>
    <t>1.</t>
  </si>
  <si>
    <t xml:space="preserve">"0"-ra leírt eszközök </t>
  </si>
  <si>
    <t>2.</t>
  </si>
  <si>
    <t>Használatban lévő kis értékű immateriális javak</t>
  </si>
  <si>
    <t>3.</t>
  </si>
  <si>
    <t xml:space="preserve">                                                    tárgyi eszközök</t>
  </si>
  <si>
    <t>4.</t>
  </si>
  <si>
    <t xml:space="preserve">                                                    készletek</t>
  </si>
  <si>
    <t>5.</t>
  </si>
  <si>
    <t>01-02. számlacsoportban nyilvántartott eszközök</t>
  </si>
  <si>
    <t>Összesen:</t>
  </si>
  <si>
    <t>III. Az önkormányzat tulajdonában lévő</t>
  </si>
  <si>
    <t>külön jogszabály alapján</t>
  </si>
  <si>
    <t>érték nélkül nyilvántartott eszközök állománya</t>
  </si>
  <si>
    <t>egység</t>
  </si>
  <si>
    <t>mennyiség</t>
  </si>
  <si>
    <t>Képzőművészeti alkotások</t>
  </si>
  <si>
    <t>Gyűjtemények</t>
  </si>
  <si>
    <t>Kulturális javak (kéziratok, levelek, stb.)</t>
  </si>
  <si>
    <t>Régészeti leletek</t>
  </si>
  <si>
    <t xml:space="preserve">   Bevételek </t>
  </si>
  <si>
    <t>Bevételek mindösszesen (költségvetési + finanszírozási)</t>
  </si>
  <si>
    <t>Kiadások mindösszesen (költségvetési + finanszírozási)</t>
  </si>
  <si>
    <t>Bevétel-kiadás egyenlege</t>
  </si>
  <si>
    <t xml:space="preserve">Idegen pénzeszközök </t>
  </si>
  <si>
    <t>Pénzeszközök változása</t>
  </si>
  <si>
    <t>1. Önkormányzat tulajdonában álló gazdálkodó szervezetek 
működéséből származó kötelezettségek</t>
  </si>
  <si>
    <t xml:space="preserve">   Balatonföldvári Kulturális Szolgáltató és Fenntartó Közhasznú Nonprofit Kft.</t>
  </si>
  <si>
    <t>2. Önkormányzat tulajdonában álló gazdálkodó szervezetekben való részesedése</t>
  </si>
  <si>
    <t>2017. évi maradványkimutatása</t>
  </si>
  <si>
    <t>2017. évi konszolidált mérlege</t>
  </si>
  <si>
    <t>2017. évi konszolidált eredménykimutatása</t>
  </si>
  <si>
    <t>2017. évi vagyonkimutatása</t>
  </si>
  <si>
    <t>2017. év</t>
  </si>
  <si>
    <t>Balatonföldvár Város Önkormányzat 
2017. évi bevétel-kiadási előirányzat-felhasználási ütemterv teljesítése,
pénzeszközök változásának bemutatása</t>
  </si>
  <si>
    <t>Záró pénzkészlet 2017.12.31.</t>
  </si>
  <si>
    <t>Nyitó pénzkészlet 2017.01.01.</t>
  </si>
  <si>
    <t>Balatonföldvár Város Önkormányzat 
 tulajdonában álló gazdálkodó szervezetek működéséből származó 2017. évi kötelezettségek, részesedések alakulása</t>
  </si>
  <si>
    <t>3. Önkormányzat más gazdálkodó szervezetekben való részesedése</t>
  </si>
  <si>
    <t xml:space="preserve">    Önkormányzati részesedés %-a</t>
  </si>
  <si>
    <t>ezerFt-ban</t>
  </si>
  <si>
    <t>C/III-IV Forintszámlák és Devizaszámlák (=C6III/1+C/III/2+C/IV/1+C/IV/2)</t>
  </si>
  <si>
    <t>D/I/4a - ebből: költségvetési évben esedékes követelések készletértékesítés ellenértékére, szolgáltatások ellenértékére, közvetített szolgáltatások ellenértékére</t>
  </si>
  <si>
    <t>D/I/6 Költségvetési évben esedékes követelések működési célú átvett pénzeszközre (&gt;=D/I/6a+D/I/6b+D/I/6c)</t>
  </si>
  <si>
    <t xml:space="preserve">D/I/7c - ebből: költségvetési évben esedékes követelések felhalmozási célú visszatérítendő támogatások, kölcsönök visszatérülésére </t>
  </si>
  <si>
    <t>E) EGYÉB SAJÁTOS ELSZÁMOLÁSOK (=E/I+…+E/II)</t>
  </si>
  <si>
    <t>G/I-III  Nemzeti vagyon és egyéb eszközök induláskori értéke és változásai</t>
  </si>
  <si>
    <t>H/I/3 Költségvetési évben esedékes kötelezettségek dologi kiadásokra</t>
  </si>
  <si>
    <t>H/I/4 Költségvetési évben esedékes kötelezettségek ellátottak pénzbeli juttatásaora</t>
  </si>
  <si>
    <t>199</t>
  </si>
  <si>
    <t>B/II Értékpapírok (=B/II/1+B/II/2)</t>
  </si>
  <si>
    <t>DRV Zrt.</t>
  </si>
  <si>
    <t>Teljesítés 2018.12.31.</t>
  </si>
  <si>
    <t xml:space="preserve">    Egyéb személyi juttatás (bérkomp., betegszabi, táppénz)</t>
  </si>
  <si>
    <t xml:space="preserve">        Fapótlások</t>
  </si>
  <si>
    <t xml:space="preserve">   Felhalmozási célú pénzeszközátadás</t>
  </si>
  <si>
    <t>EU-s pályázati projektek részletezése</t>
  </si>
  <si>
    <t>Kulipinytó villa turisztikai hasznosítása - TOP-1.2.1-15-SO1-2016-00008   -  Támogatási összeg : 120 000 000.- Ft</t>
  </si>
  <si>
    <t>Balatonföldváron a nyugati strand turisztikai infrastruktúrájának fejlesztése - TOP-1.2.1-15-SO1-2016-00009 Támogatási összeg : 150 000 000.- Ft</t>
  </si>
  <si>
    <t>Balatonföldvár "Zöld város program" megvalósítása  TOP-2.1.2-15-SO1-2016-00002  Támogatási összeg : 680 000 000.- Ft</t>
  </si>
  <si>
    <t>Balatonföldvári önkormányzati hivatal épületének energetikai korszerűsítése - TOP-3.2.1-15-SO1-2016-00012 Támogatási összeg : 234 794 998.- Ft</t>
  </si>
  <si>
    <t>Projekt megnevezése / 
költség</t>
  </si>
  <si>
    <t>Zöld város</t>
  </si>
  <si>
    <t>Kulipintyó villa</t>
  </si>
  <si>
    <t>Nyugati strand</t>
  </si>
  <si>
    <t>Hivatal ép.korsz.</t>
  </si>
  <si>
    <t>Nettó</t>
  </si>
  <si>
    <t>ÁFA</t>
  </si>
  <si>
    <t>Bruttó</t>
  </si>
  <si>
    <t>Építési költségek</t>
  </si>
  <si>
    <t>Építési költségek összesen</t>
  </si>
  <si>
    <t>Eszközbeszerzés</t>
  </si>
  <si>
    <t>Műszaki tervek</t>
  </si>
  <si>
    <t>Hatósági díjak</t>
  </si>
  <si>
    <t>Kiviteli tervek</t>
  </si>
  <si>
    <t>Közbeszerzés ktg.</t>
  </si>
  <si>
    <t>Műszaki ellenőrzés</t>
  </si>
  <si>
    <t>Nyilvánosság</t>
  </si>
  <si>
    <t>ITS és Akcióterületi Terv</t>
  </si>
  <si>
    <t>Könyvvizsgálat</t>
  </si>
  <si>
    <t>Képzéshez kapcsolódó ktg. (tananyag fejlesztése)</t>
  </si>
  <si>
    <t>Marketing, egyéb kommunikáció</t>
  </si>
  <si>
    <t>Személyi jellegű kiadások (projektmenedzsment ktg.)</t>
  </si>
  <si>
    <t>Összesen (tám.szerz.szerint,
 önkormányzat</t>
  </si>
  <si>
    <t>Kapott előleg</t>
  </si>
  <si>
    <t>Még várható támogatás</t>
  </si>
  <si>
    <t>már kifizetett tételek 
(2016, 2017), dologiból</t>
  </si>
  <si>
    <t xml:space="preserve">Dologi 2018. évi 
költségvetésbe </t>
  </si>
  <si>
    <t xml:space="preserve">        Szúnyogirtás</t>
  </si>
  <si>
    <t>046020 Vezetékes műsorelosztás, kábel TV</t>
  </si>
  <si>
    <t xml:space="preserve">        Munkaruha, egyenruha</t>
  </si>
  <si>
    <t xml:space="preserve">        Vagyonkataszter felmérés, felülvizsgálat</t>
  </si>
  <si>
    <t xml:space="preserve">Beruházások </t>
  </si>
  <si>
    <t xml:space="preserve">                     Közösségi ház + Kulipintyó</t>
  </si>
  <si>
    <t xml:space="preserve">                                Állami támogatás továbbadása (kulturális feladatok)</t>
  </si>
  <si>
    <t xml:space="preserve">          "Zöld város program megvalósítása" (TOP-2.1.2-15-2016-00002)</t>
  </si>
  <si>
    <t xml:space="preserve">          "Hivatal épületének energetikai korszerűsítése" (TOP-3.2.1-15-SO-2016-00012)</t>
  </si>
  <si>
    <t xml:space="preserve">              Gépbeszerzés pályázat</t>
  </si>
  <si>
    <t xml:space="preserve">              Kelta túra táblák készítése (8 db)</t>
  </si>
  <si>
    <t xml:space="preserve">              Zsolnay pirogránit kerámia stáció felirat (14 db)</t>
  </si>
  <si>
    <t xml:space="preserve">      1.3.  Meglévő részesedések növeléséhez kapcsolódó kiadások (BAHART)</t>
  </si>
  <si>
    <t xml:space="preserve">      1. Felhalmozási célú pénzeszközátadás Nonprofit Kft. részére</t>
  </si>
  <si>
    <t xml:space="preserve">          1.2. Kommunális adó                                      </t>
  </si>
  <si>
    <t xml:space="preserve">          1.3. Telekadó                                                   </t>
  </si>
  <si>
    <t>előleg</t>
  </si>
  <si>
    <t>kulipintyó</t>
  </si>
  <si>
    <t>Városháza</t>
  </si>
  <si>
    <t>Előirányzatok változása 
Bevételek/kiadások változása</t>
  </si>
  <si>
    <t>KÖH</t>
  </si>
  <si>
    <t>B8</t>
  </si>
  <si>
    <t>I. Költségvetési bevételek belső finanszírozására szolgáló eszközök</t>
  </si>
  <si>
    <t xml:space="preserve">   ÁHB megelőlegezések bevétele</t>
  </si>
  <si>
    <t>II. Költségvetési bevételek külső finanszírozására szolgáló eszközök</t>
  </si>
  <si>
    <t>Költségvetési bevételek mindösszesen</t>
  </si>
  <si>
    <t>K1-K8</t>
  </si>
  <si>
    <t>K1101</t>
  </si>
  <si>
    <t>K1113</t>
  </si>
  <si>
    <t>K122</t>
  </si>
  <si>
    <t>K331</t>
  </si>
  <si>
    <t>K336</t>
  </si>
  <si>
    <t>K337</t>
  </si>
  <si>
    <t>K351</t>
  </si>
  <si>
    <t xml:space="preserve">     Működési ÁFA</t>
  </si>
  <si>
    <t>K355</t>
  </si>
  <si>
    <t>K506</t>
  </si>
  <si>
    <t>K512</t>
  </si>
  <si>
    <t>K513</t>
  </si>
  <si>
    <t xml:space="preserve">    Céltartalék</t>
  </si>
  <si>
    <t xml:space="preserve">     Felhalmozási célú céltartalék </t>
  </si>
  <si>
    <t>Költségvetési kiadások mindösszesen</t>
  </si>
  <si>
    <t>K71</t>
  </si>
  <si>
    <t xml:space="preserve">              Útkarbantartáshoz szükséges eszközpark fejlesztése VP6-7.2.1-7.4.1.2-16</t>
  </si>
  <si>
    <t>K123</t>
  </si>
  <si>
    <t xml:space="preserve">           Kvassay sétány fejlesztésének támogatása (BFT)</t>
  </si>
  <si>
    <t xml:space="preserve">              Kamerák (Kápolna park) (115/2018.(V.31.))</t>
  </si>
  <si>
    <t xml:space="preserve">              Hematológiai automata beszerzés (145/2018.(VII.31.))</t>
  </si>
  <si>
    <t xml:space="preserve">         " Kulipintyó villa turisztikai hasznosítása" eszközbeszerzés  (TOP-1.2.1-15-15-SO1-2016-00008)</t>
  </si>
  <si>
    <t xml:space="preserve">         " Nyugati strand turisztikai infrastruktúrájának fejl.": kerítés, pad, hull.gyűjtő, játszóeszk., inf.tábla</t>
  </si>
  <si>
    <t xml:space="preserve">      " Kulipintyó villa turisztikai hasznosítása" kivitelezés + eszköz  (átcsop. K6-ra)</t>
  </si>
  <si>
    <t xml:space="preserve">      " Nyugati strand turisztikai infrastruktúrájának fejl." kivitelezés (átcsop. K6-ra)</t>
  </si>
  <si>
    <t xml:space="preserve">              Mobiltelefon beszerzés</t>
  </si>
  <si>
    <t xml:space="preserve">              Műszerállvány, szék (védőnő)</t>
  </si>
  <si>
    <t xml:space="preserve">       Nyilvános illemhely útszakasz burkolása</t>
  </si>
  <si>
    <t>K1107</t>
  </si>
  <si>
    <t xml:space="preserve">     Megbízási díj </t>
  </si>
  <si>
    <t>13/2. melléklet a 4/2018.(II.28.) önkormányzati rendelethez</t>
  </si>
  <si>
    <t xml:space="preserve">             Emberi Erőforrás Támogatáskezelő (BURSA)</t>
  </si>
  <si>
    <t>B351</t>
  </si>
  <si>
    <t>K352</t>
  </si>
  <si>
    <t xml:space="preserve">     Fizetendő ÁFA</t>
  </si>
  <si>
    <t xml:space="preserve">              Irodabútor vásárlás</t>
  </si>
  <si>
    <t xml:space="preserve">              Kamerák (Kulipintyó épülete) </t>
  </si>
  <si>
    <t xml:space="preserve">              Matrac beszerzés (2 db)</t>
  </si>
  <si>
    <t>K1109</t>
  </si>
  <si>
    <t>K1106</t>
  </si>
  <si>
    <t>2019. évi felhalmozási bevételei, kiadásai</t>
  </si>
  <si>
    <t>3. melléklet a /2019.(....) önkormányzati rendelethez</t>
  </si>
  <si>
    <t xml:space="preserve">      2. Ingatlanok értékesítése</t>
  </si>
  <si>
    <t xml:space="preserve">         2.2. Felhalmozási célú hitel parkolók kialakításához</t>
  </si>
  <si>
    <t xml:space="preserve">             Közös Önkormányzati Hivatal (szoftverek, telefonközpont, egyéb tárgyi eszk. beszerzés)</t>
  </si>
  <si>
    <t xml:space="preserve">            Ebből céltartalék:</t>
  </si>
  <si>
    <t xml:space="preserve">                     Közterületek, utak, zöldfelület fenntartása (GAMESZ) </t>
  </si>
  <si>
    <t>lakás</t>
  </si>
  <si>
    <t>(Pub-Lik előtti terület +)</t>
  </si>
  <si>
    <t xml:space="preserve">        Műszaki jellegű szolgáltatások</t>
  </si>
  <si>
    <t xml:space="preserve">        Gyermek- és felnőtt eü szolgáltatás</t>
  </si>
  <si>
    <t xml:space="preserve">            Felhalmozási célra elkülönített tartalék </t>
  </si>
  <si>
    <t xml:space="preserve">              Hivatal épületében kábelhálózat (internet) korszerűsítése</t>
  </si>
  <si>
    <t xml:space="preserve">        Egyéb szakmai tevékenységet segítő szolgáltatás</t>
  </si>
  <si>
    <t xml:space="preserve">               EFOP projekt</t>
  </si>
  <si>
    <t>bruttó</t>
  </si>
  <si>
    <t xml:space="preserve">               Hivatal energetikai felújítása</t>
  </si>
  <si>
    <r>
      <t xml:space="preserve">        Beruházásokhoz kapcsolódó előkészítési 
        és egyéb járulékos költségek, dologi kiadások* </t>
    </r>
    <r>
      <rPr>
        <b/>
        <sz val="8"/>
        <rFont val="Times New Roman"/>
        <family val="1"/>
        <charset val="238"/>
      </rPr>
      <t xml:space="preserve">alább </t>
    </r>
  </si>
  <si>
    <t xml:space="preserve">             TDM Egyesület</t>
  </si>
  <si>
    <t xml:space="preserve">               Működési célú maradvány</t>
  </si>
  <si>
    <t xml:space="preserve">         " Hivatal épületének energetikai korszerűsítése" többletköltsége önerőből (nettó)</t>
  </si>
  <si>
    <t>Műszaki ellenőrzés (Zöld Város)</t>
  </si>
  <si>
    <t>Nyilvánosság (Zöld Város)</t>
  </si>
  <si>
    <t>Szemléletformálás (Zöld Város)</t>
  </si>
  <si>
    <t xml:space="preserve">        Felhalmozási célú átvett pénzeszközök (Nonprofit Kft. hiteltörlesztés)</t>
  </si>
  <si>
    <t xml:space="preserve">         " Hivatal épületének energetikai korszerűsítése" (TOP-3.2.1-15-SO-2016-00012) (nettó)</t>
  </si>
  <si>
    <t xml:space="preserve">              Dísz- és térvilágítás kivitelezése</t>
  </si>
  <si>
    <t xml:space="preserve">              Játszótér építés</t>
  </si>
  <si>
    <t xml:space="preserve">              Új buszvárók telepítése (2 db, központban)</t>
  </si>
  <si>
    <t xml:space="preserve">              Temető kerítés</t>
  </si>
  <si>
    <t xml:space="preserve">              Óvoda tetőszerkezet felújítása</t>
  </si>
  <si>
    <t xml:space="preserve">              Iskola padlóburkolat felújítása</t>
  </si>
  <si>
    <t xml:space="preserve">              Út- és járdafelújítások</t>
  </si>
  <si>
    <t xml:space="preserve">              Kvassay sétány partvédőmű rekonstrukciója (II. ütem) (nettó)</t>
  </si>
  <si>
    <t xml:space="preserve">                  Zöld Város projekt</t>
  </si>
  <si>
    <t xml:space="preserve">                  Hivatal energetikai felújítása</t>
  </si>
  <si>
    <t xml:space="preserve">              Széchényi Imre mellszobor</t>
  </si>
  <si>
    <t xml:space="preserve">         2.1. Felhalmozási célú hitel  2019. évi út- és járdafejlesztéshez</t>
  </si>
  <si>
    <t xml:space="preserve">         Hitel törlesztés (OTP 100+100 M Ft-os fejlesztési hitel)</t>
  </si>
  <si>
    <t xml:space="preserve">         " Hivatal épületének energetikai korszerűsítése" többletköltsége önerőből (tető pótmunka, nettó)</t>
  </si>
  <si>
    <t xml:space="preserve">              Új buszvárók telepítése (2 db, Kőröshegy u.)</t>
  </si>
  <si>
    <t xml:space="preserve">              Csapadékvízelvezető árok burkolása (Panoráma körút)</t>
  </si>
  <si>
    <t xml:space="preserve">          "Balatonföldvár zöld város program megval.-a" (TOP-2.1.2-15-2016-00002) építés (nettó)</t>
  </si>
  <si>
    <t xml:space="preserve">          "Balatonföldvár zöld város program megval.-a" (TOP-2.1.2-15-2016-00002) többletktg önerő (nettő)</t>
  </si>
  <si>
    <t>br. 60 m</t>
  </si>
  <si>
    <t>EU-s 
össz.</t>
  </si>
  <si>
    <t>Saját
 forrásból</t>
  </si>
  <si>
    <t>EU-s
önerő</t>
  </si>
  <si>
    <t>EU-s 
támogatott</t>
  </si>
  <si>
    <t>Fejlesztések 2019-ben</t>
  </si>
  <si>
    <t>2022. évi eredeti előirányzat</t>
  </si>
  <si>
    <t xml:space="preserve">   Számítástechnikai szoftverek,  egyéb tárgyi e. beszerzése </t>
  </si>
  <si>
    <t xml:space="preserve"> Állami támogatás</t>
  </si>
  <si>
    <t>Futamidő (fizetési kötelezettség, tőke + kamat)</t>
  </si>
  <si>
    <t>Önkormány
zati önerő összege
beadott pályázat szerint</t>
  </si>
  <si>
    <t xml:space="preserve">      1.3.  Meglévő részesedések növeléséhez kapcsolódó kiadások</t>
  </si>
  <si>
    <t>I. Működési célú támogatások államháztartáson belülről (A+B+C+D)</t>
  </si>
  <si>
    <t xml:space="preserve">             Közös Önkormányzati Hivatal (szoftverek, számítástech. és egyéb tárgyi eszk. beszerzés)</t>
  </si>
  <si>
    <t>Pénzmaradvány</t>
  </si>
  <si>
    <t>Átvett pénzeszköz (TKT)</t>
  </si>
  <si>
    <t>Átvett pénzeszköz (közös hivatali önkormányzatok)</t>
  </si>
  <si>
    <t xml:space="preserve">        Autópályadíj (éves)</t>
  </si>
  <si>
    <t xml:space="preserve">    Kamatkiadások (hitelkamat)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</si>
  <si>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(telefon)</t>
    </r>
  </si>
  <si>
    <t xml:space="preserve">     Alkalmazottak illetménye, illetménykiegészítése (34+4+2 fő)</t>
  </si>
  <si>
    <r>
      <t xml:space="preserve">        Egyéb szakmai szolgáltatások</t>
    </r>
    <r>
      <rPr>
        <sz val="8"/>
        <rFont val="Times New Roman"/>
        <family val="1"/>
        <charset val="238"/>
      </rPr>
      <t xml:space="preserve"> (pl. adóhatározatok, értesítő levelek nyomtatása)</t>
    </r>
  </si>
  <si>
    <r>
      <t xml:space="preserve">                             </t>
    </r>
    <r>
      <rPr>
        <sz val="8"/>
        <rFont val="Times New Roman"/>
        <family val="1"/>
        <charset val="238"/>
      </rPr>
      <t xml:space="preserve">   (gépjármű casco)</t>
    </r>
  </si>
  <si>
    <t xml:space="preserve">    Fizetendő ÁFA ** alább részletezve</t>
  </si>
  <si>
    <t>Zöld város program építés (fordított áfa)</t>
  </si>
  <si>
    <t>bevétel-kiadás egyenlege előző évi maradvány, 
tartalék és működésben jelentkező beruh. ktg-ek nélkül</t>
  </si>
  <si>
    <t xml:space="preserve">        Különféle adók, díjak, adójellegű befiz., hj.-ok, egyéb dologi</t>
  </si>
  <si>
    <t>Egyéb</t>
  </si>
  <si>
    <t>működési többlet (pénzmaradvány, tartalék nélkül)</t>
  </si>
  <si>
    <t xml:space="preserve">             Összpróba Alapítvány</t>
  </si>
  <si>
    <t xml:space="preserve">             Nyári rendezvények finanszírozása</t>
  </si>
  <si>
    <t xml:space="preserve">               Szociális étkeztetés állami tám. átadása</t>
  </si>
  <si>
    <t>Egyéb szolgáltatások (Bölcsőde pályázat)</t>
  </si>
  <si>
    <t>Nyilvánosság (Bölcsőde pályázat)</t>
  </si>
  <si>
    <t>Műszaki ellenőrzés (Bölcsőde pályázat)</t>
  </si>
  <si>
    <t>2023. évi eredeti előirányzat</t>
  </si>
  <si>
    <t xml:space="preserve">         Hitel törlesztés (tőke rész, kamat a működésben)</t>
  </si>
  <si>
    <t xml:space="preserve">Bölcsődei férőhelyek kialakítása, fejlesztése </t>
  </si>
  <si>
    <t>Adósságot keletkeztető ügylet
(kiadás)
Stabilitási tv. 8.§ (2) bek.</t>
  </si>
  <si>
    <t>Tőke</t>
  </si>
  <si>
    <t>Kamat</t>
  </si>
  <si>
    <t>Fejlesztési célú hitel (közterületi parkolók kialakítása)</t>
  </si>
  <si>
    <t>Fejlesztési célú hitel (útfelújítás)</t>
  </si>
  <si>
    <t>K1103</t>
  </si>
  <si>
    <t xml:space="preserve">     Jutalom</t>
  </si>
  <si>
    <t>B355</t>
  </si>
  <si>
    <t xml:space="preserve">      Önerős felújítások elmaradása</t>
  </si>
  <si>
    <t xml:space="preserve">             3. Bérkompenzáció</t>
  </si>
  <si>
    <t xml:space="preserve">               Szociális étkeztetés (csomagolás)</t>
  </si>
  <si>
    <t xml:space="preserve"> </t>
  </si>
  <si>
    <t>1. melléklet</t>
  </si>
  <si>
    <t>2. melléklet</t>
  </si>
  <si>
    <t>3. melléklet</t>
  </si>
  <si>
    <t>4. melléklet</t>
  </si>
  <si>
    <t>011130 Önk. és önk.-i hivatalok jogalkotói és ált. igazgatási tevékenysége</t>
  </si>
  <si>
    <t>9. melléklet</t>
  </si>
  <si>
    <t>10. melléklet</t>
  </si>
  <si>
    <r>
      <rPr>
        <b/>
        <i/>
        <sz val="12"/>
        <rFont val="Arial CE"/>
        <charset val="238"/>
      </rPr>
      <t xml:space="preserve"> </t>
    </r>
    <r>
      <rPr>
        <b/>
        <i/>
        <u/>
        <sz val="12"/>
        <rFont val="Arial CE"/>
        <charset val="238"/>
      </rPr>
      <t xml:space="preserve">Balatonföldvár Város Önkormányzatának </t>
    </r>
  </si>
  <si>
    <t>K312</t>
  </si>
  <si>
    <t xml:space="preserve">     Hivatal működésének támogatása (kiegészítő támogatás)</t>
  </si>
  <si>
    <t xml:space="preserve">     Béren kívüli juttatás (kiegészítő támogatásból)</t>
  </si>
  <si>
    <t xml:space="preserve">     Települési önk.-ok egyes köznevelési feladatainak tám.-a (óvoda) (kiegészítő támogatás)</t>
  </si>
  <si>
    <t xml:space="preserve">     Iparűzési adó</t>
  </si>
  <si>
    <t>K341</t>
  </si>
  <si>
    <t xml:space="preserve">     Kiküldetések: EFOP (átcsoportosítás K1101-re)</t>
  </si>
  <si>
    <t xml:space="preserve">     2. Egyéb működési célú pénzeszközátadás </t>
  </si>
  <si>
    <t xml:space="preserve">     Települési önk.-ok egyes köznevelési feladatainak tám.-a (óvoda) (októberi felmérés)</t>
  </si>
  <si>
    <t>intézmény finanszírozás növelése</t>
  </si>
  <si>
    <t xml:space="preserve">              Bölcsőde fejlesztés (TOP-1.4.1-19-SO1-20169-00013) (eszközbeszerzés)</t>
  </si>
  <si>
    <t xml:space="preserve">     Fizetendő ÁFA Zöld város projekt</t>
  </si>
  <si>
    <t>Teljesítés 2021.12.31.</t>
  </si>
  <si>
    <t>Önk.mindösszesen (Teljesítés 2021.12.31.)</t>
  </si>
  <si>
    <t xml:space="preserve">       Teljesítés 2021.12.31.</t>
  </si>
  <si>
    <t>Önkormányzat: Teljesítés 2021.12.31.</t>
  </si>
  <si>
    <t>KÖH: Teljesítés 2021.12.31.</t>
  </si>
  <si>
    <t xml:space="preserve">    1. A helyi önkormányzatok általános működésének és ágazati feladatainak támogatása</t>
  </si>
  <si>
    <t xml:space="preserve">        1.1. A települési önkormányzatok működésének általános támogatása</t>
  </si>
  <si>
    <t xml:space="preserve">           1.1.1. A települési önkormányzatok működésének támogatása</t>
  </si>
  <si>
    <t xml:space="preserve">              1.1.1.1. Önkormányzati hivatal működésének támogatása</t>
  </si>
  <si>
    <t xml:space="preserve">              1.1.1.3. Településüzemeltetés - közvilágítás támogatása </t>
  </si>
  <si>
    <t xml:space="preserve">              1.1.1.6. Egyéb önkormányzati feladatok támogatása </t>
  </si>
  <si>
    <t xml:space="preserve">              1.1.1.7. Lakott külterülettel kapcsolatos feladatok támogatása</t>
  </si>
  <si>
    <t xml:space="preserve">           1.1.2. Nem közművel összegyűjtött háztartási szennyvíz ártalmatlanítása</t>
  </si>
  <si>
    <t xml:space="preserve">           1.1.3. Határátkelőhelyek fenntartásának támogatása</t>
  </si>
  <si>
    <r>
      <t xml:space="preserve">       1.2. A települési önkormányzatok egyes köznevelési feladatainak támogatása</t>
    </r>
    <r>
      <rPr>
        <sz val="8"/>
        <rFont val="Times New Roman"/>
        <family val="1"/>
        <charset val="238"/>
      </rPr>
      <t xml:space="preserve"> (TKT)</t>
    </r>
  </si>
  <si>
    <t xml:space="preserve">       1.3. A települési önkormányzatok egyes szociális és gyermekjóléti feladatainak támogatása</t>
  </si>
  <si>
    <t xml:space="preserve">          1.3.1. A települési önkormányzatok szociális és gyermekjóléti feladatainak egyéb támogatása</t>
  </si>
  <si>
    <t xml:space="preserve">          1.3.2. Egyes szociális és gyermekjóléti feladatok támogatása</t>
  </si>
  <si>
    <r>
      <t xml:space="preserve">             1.3.2.1. Család- és gyermekjóléti szolgálatt </t>
    </r>
    <r>
      <rPr>
        <sz val="8"/>
        <rFont val="Times New Roman"/>
        <family val="1"/>
        <charset val="238"/>
      </rPr>
      <t>(TKT)</t>
    </r>
  </si>
  <si>
    <t xml:space="preserve">             1.3.2.3. Szociális étkeztetés </t>
  </si>
  <si>
    <t xml:space="preserve">             1.3.2.4. Házi segítségnyújtás </t>
  </si>
  <si>
    <r>
      <t xml:space="preserve">                1.3.2.4.3. Személyi gondozás - társulás által történő feladatellátás </t>
    </r>
    <r>
      <rPr>
        <sz val="8"/>
        <rFont val="Times New Roman"/>
        <family val="1"/>
        <charset val="238"/>
      </rPr>
      <t>(TKT)</t>
    </r>
  </si>
  <si>
    <t xml:space="preserve">             1.3.2.5. Falugondnoki vagy tanyagondnoki szolgáltatás</t>
  </si>
  <si>
    <t xml:space="preserve">       1.4. A települési önkormányzatok gyermekétkeztetési feladatainak támogatása</t>
  </si>
  <si>
    <t xml:space="preserve">          1.4.1. Intézményi gyermekétkeztetés támogatása</t>
  </si>
  <si>
    <t xml:space="preserve">             1.4.1.1. Intézményi gyermekétkeztetés - bértámogatás (TKT)</t>
  </si>
  <si>
    <t xml:space="preserve">             1.4.1.2. Intézményi gyermekétkeztetés - üzemeltetési támogatás (TKT)</t>
  </si>
  <si>
    <t xml:space="preserve">          1.4.2. Szünidei étkeztetés támogatása </t>
  </si>
  <si>
    <t xml:space="preserve">       1.5. A települési önkormányzatok kulturális feladatainak támogatása</t>
  </si>
  <si>
    <t xml:space="preserve">       2. Működési célú költségvetési támogatások és kiegészítő támogatások</t>
  </si>
  <si>
    <t xml:space="preserve">       2.1. A helyi önkormányzatok kiegészítő támogatásai</t>
  </si>
  <si>
    <t xml:space="preserve">          2.1.1. Lakossági víz- és csatornaszolgáltatás támogatása</t>
  </si>
  <si>
    <t xml:space="preserve">          2.1.4. A nem közművel összegyűjtött háztartási szennyvíz ideiglenes begyűjtésére kijelölt közérdekű közszolgáltató meg nem térülő költségeinek támogatása</t>
  </si>
  <si>
    <t xml:space="preserve">          2.1.5. Önkormányzatok rendkívüli támogatása        </t>
  </si>
  <si>
    <t xml:space="preserve">          2.2.1. A települési önkormányzatok szociális célú tüzelőanyag vásárlásához kapcsolódó támogatása</t>
  </si>
  <si>
    <t xml:space="preserve">          2.2.3. Óvodai és iskolai szociális segítő tevékenység támogatása</t>
  </si>
  <si>
    <t xml:space="preserve">      Egyéb működési célú támogatások államháztartáson belülről </t>
  </si>
  <si>
    <t xml:space="preserve">          Közfoglalkoztatás támogatása </t>
  </si>
  <si>
    <t xml:space="preserve">          2.2.2. Szociális ágazati összevont pótlék és egészségügyi kiegészítő pótlék (TKT)</t>
  </si>
  <si>
    <t xml:space="preserve">       2.2. A települési önkormányzatok egyes szociális és gyermekjóléti feladatainak működési célú támogatása</t>
  </si>
  <si>
    <t xml:space="preserve">       2.3. A települési önkormányzatok kulturális feladatainak működési célú támogatása</t>
  </si>
  <si>
    <t xml:space="preserve">              Nonprofit Kft. működési támogatás (állami)</t>
  </si>
  <si>
    <t xml:space="preserve">              Nonprofit Kft. működési támogatás (saját)</t>
  </si>
  <si>
    <t xml:space="preserve">                1.3.2.3.1. Szociális étkeztetés - önálló feladatellátás</t>
  </si>
  <si>
    <t xml:space="preserve">              1.1.1.2. Településüzemeltetés - zöldterület-gazdálkodás támogatása (Nonprofit Kft.)</t>
  </si>
  <si>
    <t xml:space="preserve">              1.1.1.4. Településüzemeltetés - köztemető támogatása (Nonprofit Kft.)</t>
  </si>
  <si>
    <t xml:space="preserve">              1.1.1.5. Településüzemeltetés - közutak támogatása (Nonprofit Kft.)</t>
  </si>
  <si>
    <t xml:space="preserve">    1. Működési célú pénzeszközátadások, támogatások</t>
  </si>
  <si>
    <t>Állami támogatás</t>
  </si>
  <si>
    <t xml:space="preserve">          Pénzeszközátvétel Többcélú Társulástól (Hivatal) </t>
  </si>
  <si>
    <r>
      <t xml:space="preserve">          1.5.2. Települési önk.-ok nyilvános könyvtári és a közművelődési feladatainak tám.-a </t>
    </r>
    <r>
      <rPr>
        <sz val="8"/>
        <rFont val="Times New Roman"/>
        <family val="1"/>
        <charset val="238"/>
      </rPr>
      <t>(Nonprofit Kft.)</t>
    </r>
  </si>
  <si>
    <t xml:space="preserve">        Szociális célú tűzifa besz. </t>
  </si>
  <si>
    <t xml:space="preserve">      Informatikai szolgáltatások  (rendszerkövetések: honlap, kártyarendszer, IFA szoftver, védőnő, könyvtár)</t>
  </si>
  <si>
    <t>074031 Család és nővédelmi egészségügyi gondozás</t>
  </si>
  <si>
    <t xml:space="preserve">       Előirányzott támogatási keret (ebből polgármesteri keret:  1000 e Ft)</t>
  </si>
  <si>
    <t>Kiviteli terv végszámla (Zöld Város)</t>
  </si>
  <si>
    <t>zö</t>
  </si>
  <si>
    <t>előleg kifiz.</t>
  </si>
  <si>
    <t>visszalévő</t>
  </si>
  <si>
    <t>váll. díj</t>
  </si>
  <si>
    <t xml:space="preserve">fordított áfa </t>
  </si>
  <si>
    <t>opcióval, ráemeléssel</t>
  </si>
  <si>
    <t>ráemelés</t>
  </si>
  <si>
    <t>Fizetendő áfa **</t>
  </si>
  <si>
    <t>működésben jelentkező költségek tételesen *</t>
  </si>
  <si>
    <t>Bölcsőde építés (fordított áfa)</t>
  </si>
  <si>
    <t xml:space="preserve">               Bérkompenzáció, ágazati pótlék, Tb, átadás</t>
  </si>
  <si>
    <t>korrekció (beruházásokhoz kapcsolódó működésben jelentkező kapcsolódó kiadások)</t>
  </si>
  <si>
    <t>korrekció (beruházások fordított áfa fizetési kötelezettsége)</t>
  </si>
  <si>
    <t xml:space="preserve">    Megbízási díj (egyéb fel., polgármesteri hatáskör)</t>
  </si>
  <si>
    <t xml:space="preserve">           Ebből felhalmozási célú céltartalék</t>
  </si>
  <si>
    <t xml:space="preserve">           2020. évi áthúzódó bérkompenzáció</t>
  </si>
  <si>
    <t xml:space="preserve">          2.2. Idegenforgalmi adó</t>
  </si>
  <si>
    <t xml:space="preserve">        Főszerkesztői feladatok ellátása</t>
  </si>
  <si>
    <t xml:space="preserve">        Intarzia</t>
  </si>
  <si>
    <t>működési egyenleg</t>
  </si>
  <si>
    <t>Partvédőmű tervezés, engedélyeztetés (IV.ütem)</t>
  </si>
  <si>
    <t xml:space="preserve">Egyéb elvonások, befizetések </t>
  </si>
  <si>
    <t>Költségfelosztás 2021. Összesítő (2021.02.03.)</t>
  </si>
  <si>
    <t>Települések</t>
  </si>
  <si>
    <t>Lakosságszám 
(fő)</t>
  </si>
  <si>
    <t xml:space="preserve">TKT </t>
  </si>
  <si>
    <t>2020. évi hozzájárulás (módosított)</t>
  </si>
  <si>
    <t>2020. évi
 hátralék</t>
  </si>
  <si>
    <t>Társulási díj   
500Ft/fő/év</t>
  </si>
  <si>
    <t>TKT működési h.jár</t>
  </si>
  <si>
    <t xml:space="preserve">Ügyelet  </t>
  </si>
  <si>
    <t xml:space="preserve">Labor  </t>
  </si>
  <si>
    <t>TKT
összesen</t>
  </si>
  <si>
    <t xml:space="preserve">BTKT TV </t>
  </si>
  <si>
    <t>JHS</t>
  </si>
  <si>
    <t xml:space="preserve">Családseg.,Gyerm.jólét </t>
  </si>
  <si>
    <t xml:space="preserve">Óvodák (Bf. Bálv.) </t>
  </si>
  <si>
    <t xml:space="preserve">PÜG iroda, étkeztetés </t>
  </si>
  <si>
    <t xml:space="preserve">Intézmények
összesen                         </t>
  </si>
  <si>
    <t>különb
ség</t>
  </si>
  <si>
    <t>B.földvár</t>
  </si>
  <si>
    <t>B.őszöd</t>
  </si>
  <si>
    <t>B.szárszó</t>
  </si>
  <si>
    <t>B.szemes</t>
  </si>
  <si>
    <t>Bálványos</t>
  </si>
  <si>
    <t>Kereki</t>
  </si>
  <si>
    <t>Kőröshegy</t>
  </si>
  <si>
    <t>Kötcse</t>
  </si>
  <si>
    <t>N.csepely</t>
  </si>
  <si>
    <t>P.szemes</t>
  </si>
  <si>
    <t>Szántód</t>
  </si>
  <si>
    <t>Szólád</t>
  </si>
  <si>
    <t>Teleki</t>
  </si>
  <si>
    <t>Balatonendréd</t>
  </si>
  <si>
    <t>Házi segítség
nyújtás 
2021</t>
  </si>
  <si>
    <t xml:space="preserve">előző év
</t>
  </si>
  <si>
    <t>TKT ügyeleti díj / labor díj alakulása</t>
  </si>
  <si>
    <t>ügyelet 
2020. I.</t>
  </si>
  <si>
    <t>ügyelet 2020. II.</t>
  </si>
  <si>
    <t>többletfin.
ügyelet
2020.II-2021</t>
  </si>
  <si>
    <t>labor 
2020. I.</t>
  </si>
  <si>
    <t>labor 
2020. II.</t>
  </si>
  <si>
    <t>többletfin.
labor
2020.II-2021</t>
  </si>
  <si>
    <t>Eü-i feladatok többlete összesen</t>
  </si>
  <si>
    <t>EÜ feladatokon kívül 
változás előző évhez képes</t>
  </si>
  <si>
    <t>többletfin. 2020. évi
eredetihez</t>
  </si>
  <si>
    <t>Bölcsőde fejlesztés</t>
  </si>
  <si>
    <t>2024. évi eredeti előirányzat</t>
  </si>
  <si>
    <t xml:space="preserve">          Ágazati pótlék</t>
  </si>
  <si>
    <t xml:space="preserve">           Táncművészeti szervek támogatása (Előadó és Alkotóművészetért Alapítvány)</t>
  </si>
  <si>
    <t xml:space="preserve">     Közutak támogatása (kiegészítő támogatás)</t>
  </si>
  <si>
    <t xml:space="preserve">     Intézményi gyermekétkeztetés - bértámogatás (májusi felmérés alapján)</t>
  </si>
  <si>
    <t xml:space="preserve">            Szociális ágazati pótlék</t>
  </si>
  <si>
    <t xml:space="preserve">     Egyéb személyi juttatás: védőnő OEP fin.</t>
  </si>
  <si>
    <t>K121</t>
  </si>
  <si>
    <t>K332</t>
  </si>
  <si>
    <t>K311</t>
  </si>
  <si>
    <t>K322</t>
  </si>
  <si>
    <t>K334</t>
  </si>
  <si>
    <t xml:space="preserve">         3.1. Egyéb felh.-i célú tám. visszafizetés</t>
  </si>
  <si>
    <t xml:space="preserve">    Egyéb felhalmozási célú kiadások</t>
  </si>
  <si>
    <t xml:space="preserve">031030 Közterület felügyelet </t>
  </si>
  <si>
    <t>K84</t>
  </si>
  <si>
    <t>Egészségügyi 
ellátások 072111, 074011, 072112</t>
  </si>
  <si>
    <t xml:space="preserve">      Vízisport és Vitorlás Egyesület támogatása</t>
  </si>
  <si>
    <t xml:space="preserve">     IFA ellenőrök megbízási djía </t>
  </si>
  <si>
    <t xml:space="preserve">        Biztosítások (vagyon, jogvédelem, felelősségbizt.)</t>
  </si>
  <si>
    <t xml:space="preserve">    Kitüntetéssel, címmel, díjjal járó juttatás </t>
  </si>
  <si>
    <t xml:space="preserve">          2.1.6. Önkormányzati elszámolások (iparűzési adó kieg.tám.)</t>
  </si>
  <si>
    <t xml:space="preserve">     Nyilvános könyvtári és közművelődési feladatainak támogatása (kerekítés)</t>
  </si>
  <si>
    <t xml:space="preserve">     Idegenforgalmi adó bevételek</t>
  </si>
  <si>
    <t xml:space="preserve">     Bírság és pótlék bevételek</t>
  </si>
  <si>
    <t>Építészeti vázlatterv/koncepcióterv (Boldog Békeidők) 34/2021.(IX.9.)</t>
  </si>
  <si>
    <t xml:space="preserve">         3.2. Felhalmozási célú támogatások ÁHK-re</t>
  </si>
  <si>
    <t>K89</t>
  </si>
  <si>
    <t xml:space="preserve">     Kiszámlázott ÁFA</t>
  </si>
  <si>
    <t>K335</t>
  </si>
  <si>
    <t xml:space="preserve">     Murva elterítés (útjavítás)</t>
  </si>
  <si>
    <t xml:space="preserve">               Települési Önkormányzatok Országos Szövetsége tagdíj</t>
  </si>
  <si>
    <t xml:space="preserve">      Bajcsy-Zs. u. járdaszegély építése (szivattyúpark pályázaton kívüli rész)</t>
  </si>
  <si>
    <t xml:space="preserve">              Ingatlan vásárlás (7/2021.(VI.24.)) (Keringő épületegyüttes)</t>
  </si>
  <si>
    <t xml:space="preserve">         2.1. Fejlesztési célú hitel  felvétele (ingatlan vásárlás)  (8/2021.(VI.24.))</t>
  </si>
  <si>
    <t xml:space="preserve">    Fejlesztési célú hitel  felvétele (ingatlan vásárlás)  (8/2021.(VI.24.))</t>
  </si>
  <si>
    <t xml:space="preserve">     Idegenforgalmi adóhoz kapcsolódó kieg.tám. (2020. évről 2.532 e Ft) átcsop.B116-ra</t>
  </si>
  <si>
    <t>Fejlesztési célú hitel (ingatlan vásárlás)</t>
  </si>
  <si>
    <t xml:space="preserve">   </t>
  </si>
  <si>
    <t xml:space="preserve">      Egyéb működési támogatás ÁHK-ről</t>
  </si>
  <si>
    <t>Változás (összeg)</t>
  </si>
  <si>
    <t xml:space="preserve">   Felhalmozási célú hitel felvétele</t>
  </si>
  <si>
    <t>11. melléklet</t>
  </si>
  <si>
    <t xml:space="preserve">2022. évi költségvetésének módosítása - indoklás </t>
  </si>
  <si>
    <t>2022. évi összevont mérlege</t>
  </si>
  <si>
    <t>2022. évi működési célú bevételei, kiadásai</t>
  </si>
  <si>
    <t>2022. évi felhalmozási bevételei, kiadásai</t>
  </si>
  <si>
    <t>2022. évi működési célú támogatásai, pénzeszközátadásai, közvetett támogatásai</t>
  </si>
  <si>
    <r>
      <rPr>
        <b/>
        <i/>
        <u/>
        <sz val="14"/>
        <rFont val="Times New Roman"/>
        <family val="1"/>
        <charset val="238"/>
      </rPr>
      <t>Balatonföldvár Város Önkormányzatának 2022. évi bevételei kiemelt előirányzatonként, feladatonként</t>
    </r>
    <r>
      <rPr>
        <b/>
        <i/>
        <sz val="14"/>
        <rFont val="Times New Roman"/>
        <family val="1"/>
        <charset val="238"/>
      </rPr>
      <t xml:space="preserve"> </t>
    </r>
  </si>
  <si>
    <t>Balatonföldvár Város Önkormányzatának 2022. évi kiadásai intézményenként, kiemelt előirányzatonként, 
feladatonkénti bontásban</t>
  </si>
  <si>
    <t>Önkormányzat (eredeti előirányzat 2022)</t>
  </si>
  <si>
    <t xml:space="preserve">       Kötelező (eredeti előirányzat 2022)</t>
  </si>
  <si>
    <t xml:space="preserve">       Nem kötelező (eredeti előirányzat 2022)</t>
  </si>
  <si>
    <t>KÖH (eredeti előirányzat 2022)</t>
  </si>
  <si>
    <t xml:space="preserve">       Nem kötelező (eredeti előirányzat 2022. év)</t>
  </si>
  <si>
    <t xml:space="preserve">       Kötelező (eredeti előirányzat 2022. év)</t>
  </si>
  <si>
    <t xml:space="preserve">       Államigazgatási feladatok (eredeti előirányzat 2022. év)</t>
  </si>
  <si>
    <t xml:space="preserve">Balatonföldvár Város Önkormányzatának 2022. évi intézményi szintű összes kiadásai, intézményfinanszírozása
</t>
  </si>
  <si>
    <t>2022. évi költségvetési kiadásainak részletezése kormányzati funkciók szerint</t>
  </si>
  <si>
    <t>2021 és korábbi évek</t>
  </si>
  <si>
    <t>2022. évi adósságot keletkeztető ügyleteiből eredő fizetési kötelezettségek, várható saját bevételek</t>
  </si>
  <si>
    <t>2026 és további évek</t>
  </si>
  <si>
    <t>1 Ft kerekítés</t>
  </si>
  <si>
    <t xml:space="preserve">          Állami támogatás visszatérítése TKT-tól</t>
  </si>
  <si>
    <t xml:space="preserve">      1. Egyéb működési célú átvett pénzeszközök (Földvár kártya értékesítés terv. bevétele 2022. évi)</t>
  </si>
  <si>
    <t xml:space="preserve">          Pénzeszközátvétel Balatonszemestől (oktatási per)</t>
  </si>
  <si>
    <t xml:space="preserve">               Pénzeszközátadás Pénzügyi Gondnokság részére (COVID tám. felhasználása)</t>
  </si>
  <si>
    <t xml:space="preserve">      2. Ingatlanok értékesítése, lakásrészletek befizetései (1 db telek értékesítés + lakásrészletek)</t>
  </si>
  <si>
    <t>Telek eladás áfa</t>
  </si>
  <si>
    <t xml:space="preserve">     3. K507 Működési célú garancia- és kezességvállalásból származó kifizetés államházt.-on kívülre</t>
  </si>
  <si>
    <t xml:space="preserve">          Zöld Város projekt - támogatás ráemelés két üteme</t>
  </si>
  <si>
    <t xml:space="preserve">              Városháza díszkivilágítása</t>
  </si>
  <si>
    <t xml:space="preserve">           Városháza előtti tér (parkoló, park) felújítása</t>
  </si>
  <si>
    <t xml:space="preserve">           Partfal megerősítése (Kemping utca)</t>
  </si>
  <si>
    <t xml:space="preserve">         Hitel törlesztés (OTP  fejlesztési hitelek)</t>
  </si>
  <si>
    <t>fordított áfa (működésben)</t>
  </si>
  <si>
    <t>projekthez kapcsolódó egyéb kiadások (működésben)</t>
  </si>
  <si>
    <t xml:space="preserve">                    Kiegészítő állami támogatás (Polgármesteri béremelés fedezeteként)</t>
  </si>
  <si>
    <t xml:space="preserve">          Pénzeszközátvétel önkormányzatoktól (Hivatal ebből előző évi hátralék 4470 e Ft)</t>
  </si>
  <si>
    <t xml:space="preserve">         Hitel törlesztés (OTP fejlesztési hitelek)</t>
  </si>
  <si>
    <t xml:space="preserve">              Földvár TV eszközfejlesztés</t>
  </si>
  <si>
    <t>Geodéziai felmérés (Boldog Békeidők)</t>
  </si>
  <si>
    <t xml:space="preserve">        Szavazásnapi működési kiadások</t>
  </si>
  <si>
    <t xml:space="preserve">     Tiszteletdíjak (választások)</t>
  </si>
  <si>
    <t xml:space="preserve">     Reprezentáció (választások)</t>
  </si>
  <si>
    <t>Választás támogatása</t>
  </si>
  <si>
    <t xml:space="preserve">    Megbízási díj (városi zenekari feladatok)</t>
  </si>
  <si>
    <t xml:space="preserve">               2021. évi normatíva elszámolás többlettámogatás átadása (szoc./személyi gondozás)</t>
  </si>
  <si>
    <t>Állami támogatás visszafizetés (2020-2021. évi állami elszámolásból)</t>
  </si>
  <si>
    <t xml:space="preserve">          BFT támogatás (Európa park felújítása (65% támogatás)</t>
  </si>
  <si>
    <t xml:space="preserve">        Fűvószenekar működtetés</t>
  </si>
  <si>
    <t xml:space="preserve">           Európa park felújítása (35% önerővel)</t>
  </si>
  <si>
    <t>2025. évi eredeti előirányzat</t>
  </si>
  <si>
    <t>2022-2025. évi gördülő tervezése</t>
  </si>
  <si>
    <t>2022. évi Európai Uniós forrásból finanszírozott támogatással megvalósuló projektek kiadásai, 
projekt megvalósításhoz történő önkormányzati hozzájárulásai</t>
  </si>
  <si>
    <t>2022. évi költségvetés érintő várható önerő összege</t>
  </si>
  <si>
    <t>Projekt eredeti összköltsége
(Bföldvárra jutó)
további a konzorciumi partnereknél</t>
  </si>
  <si>
    <t xml:space="preserve">          Kulturális támogatás bérfejesztés fedezetére</t>
  </si>
  <si>
    <r>
      <t xml:space="preserve">                                           </t>
    </r>
    <r>
      <rPr>
        <b/>
        <i/>
        <u/>
        <sz val="12"/>
        <rFont val="Times New Roman"/>
        <family val="1"/>
        <charset val="238"/>
      </rPr>
      <t>Balatonföldvár Város Önkormányzat 2022. évi bevétel-kiadási előirányzat-felhasználási ütemterve</t>
    </r>
  </si>
  <si>
    <t xml:space="preserve">      1. Egyéb felh.-i célú tám. visszafizetés</t>
  </si>
  <si>
    <t xml:space="preserve">      2. Felhalmozási célú támogatások államháztartáson kívülre</t>
  </si>
  <si>
    <t xml:space="preserve">14. melléklet </t>
  </si>
  <si>
    <t>Balatonföldvár Város Önkormányzat bevételeinek és kiadásainak mérlegszerű kimutatása
2020-2022. év</t>
  </si>
  <si>
    <t>Költségvetési bevételek</t>
  </si>
  <si>
    <t>2021. évi várható teljesítés</t>
  </si>
  <si>
    <t>2020. évi
 teljesítés</t>
  </si>
  <si>
    <t>Költségvetési kiadások</t>
  </si>
  <si>
    <t xml:space="preserve">A. Költségvetési bevételek </t>
  </si>
  <si>
    <t xml:space="preserve">A. Költségvetési kiadások </t>
  </si>
  <si>
    <t>I. Működési költségvetési bevételek</t>
  </si>
  <si>
    <t xml:space="preserve">I. Működési költségvetési kiadások </t>
  </si>
  <si>
    <t>1.Működési célú támogatások államháztartáson belülről</t>
  </si>
  <si>
    <t>1. Személyi juttatások</t>
  </si>
  <si>
    <t>2. Közhatalmi bevételek</t>
  </si>
  <si>
    <t>2.  Munkaadókat terhelő járulékok és szociális hozzájárulási adó</t>
  </si>
  <si>
    <t>3. Működési bevételek</t>
  </si>
  <si>
    <t>3. Dologi kiadások</t>
  </si>
  <si>
    <t>4. Működési célú átvett pénzeszközök</t>
  </si>
  <si>
    <t>4. Ellátottak pénzbeli juttatásai</t>
  </si>
  <si>
    <t>5. Egyéb működési célú kiadások</t>
  </si>
  <si>
    <t>II. Felhalmozási költségvetési bevételek</t>
  </si>
  <si>
    <t xml:space="preserve">II. Felhalmozási költségvetési kiadások </t>
  </si>
  <si>
    <t>1. Felhalmozási célú támogatások államháztartáson belülről</t>
  </si>
  <si>
    <t>2. Felhalmozási bevételek</t>
  </si>
  <si>
    <t>3. Felhalmozási célú átvett pénzeszközök</t>
  </si>
  <si>
    <t>3. Egyéb felhalmozási célú kiadások</t>
  </si>
  <si>
    <t>B. Finanszírozási bevételek</t>
  </si>
  <si>
    <t>B. Finanszírozási kiadások</t>
  </si>
  <si>
    <t>1. Belföldi finanszírozás bevételei</t>
  </si>
  <si>
    <t>1. Belföldi finanszírozás kiadásai</t>
  </si>
  <si>
    <t xml:space="preserve">1.1. Előző év költségvetési maradványának igénybevétele (belső finanszírozás) </t>
  </si>
  <si>
    <t xml:space="preserve">        Hitel törlesztés</t>
  </si>
  <si>
    <t>Felhalmozási célú maradvány</t>
  </si>
  <si>
    <t>3. Külföldi finanszírozás kiadásai</t>
  </si>
  <si>
    <t xml:space="preserve">    1.2. ÁHB megelőlegezés</t>
  </si>
  <si>
    <t>2. Költségvetési hiány külső finanszírozására szolgáló eszközök</t>
  </si>
  <si>
    <t>mód.ei.          2022.06.hó</t>
  </si>
  <si>
    <t>Módosított előirányzat 2022.06.havi</t>
  </si>
  <si>
    <t xml:space="preserve">          MFP: óvodai játszóudvar fejlesztésének támogatása</t>
  </si>
  <si>
    <t xml:space="preserve">        MFP (óvoda): pályázat műszaki tartalmának elkészítése</t>
  </si>
  <si>
    <t xml:space="preserve">      MFP: óvoda játszóudvar fejlesztés </t>
  </si>
  <si>
    <t xml:space="preserve">              MFP: óvoda játszóudvar fejlesztés </t>
  </si>
  <si>
    <t xml:space="preserve">          MFP: útfelújítás támogatása</t>
  </si>
  <si>
    <t xml:space="preserve">           MFP: Eötvös és Székely Bertalan utcák felújítása</t>
  </si>
  <si>
    <t xml:space="preserve">     MFP: útfelújítás támogatása</t>
  </si>
  <si>
    <t>Kiviteli tervek elkészítése (partfal stabilizáció) 31/2022.(II.24.)</t>
  </si>
  <si>
    <t>Projekt-előkészítő tanulmány elkészítése (Boldog Békeidők) 34/2022.(II.24.)</t>
  </si>
  <si>
    <t xml:space="preserve">          Keleti strand felújítás támogatása (Kisfaludy)</t>
  </si>
  <si>
    <t xml:space="preserve">          Nyugati strand felújítás támogatása (Kisfaludy)</t>
  </si>
  <si>
    <t>K342</t>
  </si>
  <si>
    <t xml:space="preserve">     Keleti strand felújítás támogatása (Kisfaludy)</t>
  </si>
  <si>
    <t xml:space="preserve">     Nyugati strand felújítás támogatása (Kisfaludy)</t>
  </si>
  <si>
    <t xml:space="preserve">           Keleti strand felújítása (Kisfaludy) 45/2022.(III.24.)</t>
  </si>
  <si>
    <t xml:space="preserve">              Automata defibrillátor beszerzés (Keleti strand; Kisfaludy) 45/2022.(III.24.)</t>
  </si>
  <si>
    <t xml:space="preserve">           Nyugati strand felújítása (Kisfaludy) 46/2022.(III.24.)</t>
  </si>
  <si>
    <t xml:space="preserve">              Automata defibrillátor, mentő katamarán, kerékpártámasz beszerzés (Nyugati strand; Kisfaludy) 46/2022.(III.24.)</t>
  </si>
  <si>
    <t xml:space="preserve">      Keleti strand felújítása (Kisfaludy) (45/2022.(III.24.))</t>
  </si>
  <si>
    <t xml:space="preserve">      Automata defibrillátor beszerzés (Keleti strand; Kisfaludy) (45/2022.(III.24.))</t>
  </si>
  <si>
    <t>Schilhán J.park környezetrendezési koncepcióterve 66/2022.(V.6.)</t>
  </si>
  <si>
    <t xml:space="preserve">      Partfal megerősítése (Kemping utca) (67/2022.(V.6.))</t>
  </si>
  <si>
    <t xml:space="preserve">      Városháza előtti tér (parkoló, park) felújítása (68/2022.(V.6.))</t>
  </si>
  <si>
    <t xml:space="preserve">     Lakossági víz és csatornaszolgáltatás pályázat támogatása </t>
  </si>
  <si>
    <t xml:space="preserve">          Gyógyító Megelőző Ellátás finanszírozás (védőnő)</t>
  </si>
  <si>
    <t xml:space="preserve">          Egyéb működési célú támogatások </t>
  </si>
  <si>
    <t xml:space="preserve">     Közlekedési költségtérítés (védőnő)</t>
  </si>
  <si>
    <t xml:space="preserve">     11. Egyéb működési bevételek (pl.: perktg)</t>
  </si>
  <si>
    <t xml:space="preserve">          Iskola energetikai korszerűsítése támogatás (előleg)</t>
  </si>
  <si>
    <t xml:space="preserve">     Iskola energetikai korszerűsítése támogatás (előleg)</t>
  </si>
  <si>
    <t xml:space="preserve">          2021. évi lakossági víz tám. elszámolás (DRV-től)</t>
  </si>
  <si>
    <t xml:space="preserve">2021. évi lakossági víz támogatás visszafizetés </t>
  </si>
  <si>
    <t>K353</t>
  </si>
  <si>
    <t xml:space="preserve">    Polgármester illetménye, jutalma</t>
  </si>
  <si>
    <t>K333</t>
  </si>
  <si>
    <t xml:space="preserve">     Közvilágítás bérleti díj</t>
  </si>
  <si>
    <t xml:space="preserve">        Rovarirtás, kártevőírtás, gyepmester</t>
  </si>
  <si>
    <t xml:space="preserve">     Villamos biztonsági felülvizsgálat</t>
  </si>
  <si>
    <t xml:space="preserve">        Egyéb (füvesítés, zöldter.karb.,kamerarend., telepvez., szakvélemény)</t>
  </si>
  <si>
    <t xml:space="preserve">     Reklám- és propagandakiadások: szórólapok készítése (Nyugati strand) saját forrás</t>
  </si>
  <si>
    <t xml:space="preserve">     Reklám- és propagandakiadások: nyilvánosság (Nyugati strand)</t>
  </si>
  <si>
    <t xml:space="preserve">               Emberi Erőforrás Támogatáskezelő (BURSA)</t>
  </si>
  <si>
    <t xml:space="preserve">     Települési Önkormányzatok Országos Szövetsége tagdíj (átcsop.K512-re)</t>
  </si>
  <si>
    <t xml:space="preserve">     Balatoni Szövetség éves tagdíj</t>
  </si>
  <si>
    <t xml:space="preserve">             Balatoni Szövetség éves tagdíj</t>
  </si>
  <si>
    <t xml:space="preserve">             Települési Önkormányzatok Országos Szövetsége tagdíj</t>
  </si>
  <si>
    <t xml:space="preserve">               Hematológiai automata készülék</t>
  </si>
  <si>
    <t xml:space="preserve">               Elektromos vízmelegítő beszerzés</t>
  </si>
  <si>
    <t xml:space="preserve">      Elektromos vízmelegítő beszerzés</t>
  </si>
  <si>
    <t>Finanszírozás</t>
  </si>
  <si>
    <t xml:space="preserve">     Jutalom (választás)</t>
  </si>
  <si>
    <t xml:space="preserve">     Megbízási díjak (választás)</t>
  </si>
  <si>
    <t xml:space="preserve">     Megbízási díj (választás)</t>
  </si>
  <si>
    <t xml:space="preserve">     Reprezentáció (átcsoportosítás K1101-re)</t>
  </si>
  <si>
    <t>K321</t>
  </si>
  <si>
    <t xml:space="preserve">        Irodaszer beszerzés (választás)</t>
  </si>
  <si>
    <t xml:space="preserve">     Irodaszer beszerzés (választás átcsoportosítás K123-ról)</t>
  </si>
  <si>
    <t xml:space="preserve">     Üzemeltetési anyagok: emléklap, alkatrész, porzsák</t>
  </si>
  <si>
    <t xml:space="preserve">           Fénymásolók (Alba-Kontakt)</t>
  </si>
  <si>
    <t xml:space="preserve">           Rendszer és szoftvertanácsadás</t>
  </si>
  <si>
    <t xml:space="preserve">          WinSzoc program (Abacus)</t>
  </si>
  <si>
    <t xml:space="preserve">           Egyéb informatikai szolgáltatások</t>
  </si>
  <si>
    <t xml:space="preserve">     Postaköltség</t>
  </si>
  <si>
    <t xml:space="preserve">     Egyéb szakmai szolgáltatások (átcsoportosítás K337-re)</t>
  </si>
  <si>
    <t xml:space="preserve">     Egyéb szolgáltatások (átcsoportosítás K336-ról)</t>
  </si>
  <si>
    <t>Szakvélemény (Európa park)</t>
  </si>
  <si>
    <t>1. melléklet a 3/2022.(III.1.) önkormányzati rendelethez</t>
  </si>
  <si>
    <t>2. melléklet a 3/2022.(III.1.) önkormányzati rendelethez</t>
  </si>
  <si>
    <t>3. melléklet a 3/2022.(III.1.) önkormányzati rendelethez</t>
  </si>
  <si>
    <t>4. melléklet a 3/2022.(III.1.) önkormányzati rendelethez</t>
  </si>
  <si>
    <t>5. melléklet a 3/2022.(III.1.) önkormányzati rendelethez</t>
  </si>
  <si>
    <t>6. melléklet a 3/2022.(III.1.) önkormányzati rendelethez</t>
  </si>
  <si>
    <t>7. melléklet a 3/2022.(III.1.) önkormányzati rendelethez</t>
  </si>
  <si>
    <t>8. melléklet a 3/2022.(III.1.) önkormányzati rendelethez</t>
  </si>
  <si>
    <t>9. melléklet a 3/2022.(III.1.) önkormányzati rendelethez</t>
  </si>
  <si>
    <t>10. melléklet a 3/2022.(III.1.) önkormányzati rendelethez</t>
  </si>
  <si>
    <t>több éves kihatással járó feladatai</t>
  </si>
  <si>
    <t>11. melléklet a 3/2022.(III.1.) önkormányzati rendelethez</t>
  </si>
  <si>
    <t>12. melléklet a 3/2022.(III.1.) önkormányzati rendelethez</t>
  </si>
  <si>
    <t>13. melléklet a 3/2022.(III.1.) önkormányzati rendelethez</t>
  </si>
  <si>
    <t>14. melléklet a 3/2022.(III.1.) önkormányzati rendelethez</t>
  </si>
  <si>
    <t>Módosított előirányzat 2022.06.hó</t>
  </si>
  <si>
    <t>Önkormányzat (módosított előirányzat 2022.06.havi)</t>
  </si>
  <si>
    <t xml:space="preserve">       Kötelező (módosított előirányzat 2022.06. havi)</t>
  </si>
  <si>
    <t xml:space="preserve">       Nem kötelező (módosított előirányzat 2022.06. havi)</t>
  </si>
  <si>
    <t>KÖH (módosított előirányzat 2022.06. havi)</t>
  </si>
  <si>
    <t>Önk.mindösszesen (módosított ei. 2022.06. havi)</t>
  </si>
  <si>
    <t>Önk.mindösszesen (eredeti előirányzat 2022)</t>
  </si>
  <si>
    <t>K48</t>
  </si>
  <si>
    <t xml:space="preserve">              Bölcsőde fejlesztés (TOP-1.4.1-19-SO1-20169-00013) (építési beruházás) (nettó)</t>
  </si>
  <si>
    <t xml:space="preserve">          "Balatonföldvár zöld város program megval.-a" (TOP-2.1.2-15-2016-00002) (nettó)</t>
  </si>
  <si>
    <t>(TOP_Plusz-2.1.1-21-SO1-2022-00005)</t>
  </si>
  <si>
    <t>Köznevelési intézmény energetikai korszerűsítése Balatonföldváron</t>
  </si>
  <si>
    <t>2022. évi költségvetést érintő kiadás</t>
  </si>
  <si>
    <t xml:space="preserve">   Tartalék felhasználás (céltartalék)</t>
  </si>
  <si>
    <t xml:space="preserve">12. melléklet </t>
  </si>
  <si>
    <t>(TOP-1.4.1-19-SO1-2019-00013)</t>
  </si>
  <si>
    <t>Módosított előirányzat 2022.10.havi</t>
  </si>
  <si>
    <t>mód.ei.          2022.10.hó</t>
  </si>
  <si>
    <t>011130 Önk. és önk.-i hivatalok 
jogalkotói és ált. igazgatási tev.-e  062020, 066020</t>
  </si>
  <si>
    <t xml:space="preserve">     Fúvószenekar támogatása (84/2022.(V.25.))</t>
  </si>
  <si>
    <t>Schilhán J.park játszótér kiviteli tervek 100/2022.(VII.21.)</t>
  </si>
  <si>
    <t>Műszaki tanácsadás (Zöld város) 101/2022.(VII.21.)</t>
  </si>
  <si>
    <t xml:space="preserve">     Schilhán J.park játszótér kiviteli tervek (100/2022.(VII.21.))</t>
  </si>
  <si>
    <t xml:space="preserve">     Műszaki tanácsadás (Zöld város) (101/2022.(VII.21.))</t>
  </si>
  <si>
    <t>Közbeszerzés (útfelújítás) 111/2022.(VIII.12.)</t>
  </si>
  <si>
    <t xml:space="preserve">     Közbeszerzés (útfelújítás) (111/2022.(VIII.12.))</t>
  </si>
  <si>
    <t>Schilhán J.park kiviteli tervek 113/2022.(VIII.12.)</t>
  </si>
  <si>
    <t xml:space="preserve">     Schilhán J.park kiviteli tervek (113/2022.(VIII.12.))</t>
  </si>
  <si>
    <t xml:space="preserve">           Balatonföldvár, lakóutcák burkolat megerősítése 116/2022.(IX.20.)</t>
  </si>
  <si>
    <t xml:space="preserve">      Balatonföldvár, lakóutcák burkolat megerősítése 116/2022.(IX.20.)</t>
  </si>
  <si>
    <t>Műszaki ellenőrzés: útfelújítások 117/2022.(IX.20.)</t>
  </si>
  <si>
    <t xml:space="preserve">     Műszaki ellenőrzés: útfelújítások (117/2022.(IX.20.))</t>
  </si>
  <si>
    <t xml:space="preserve">     Csoportos közbeszerzés (villamos energia) (118/2022.(IX.20.))</t>
  </si>
  <si>
    <t xml:space="preserve">     Házi segítségnyújtás (október havi felmérés alapján)</t>
  </si>
  <si>
    <t xml:space="preserve">     Szociális étkeztetés (októberi felmérés alapján)</t>
  </si>
  <si>
    <t xml:space="preserve">     Önkormányzati elszámolások (iparűzési adó kieg.tám.)</t>
  </si>
  <si>
    <t xml:space="preserve">     Szociális célú tüzelőanyag vásárlásához kapcsolódó támogatás </t>
  </si>
  <si>
    <t xml:space="preserve">     Szociális célú tűzifa szállítási költsége</t>
  </si>
  <si>
    <t xml:space="preserve">     Településrendezési eszközök módosításából származó bevétel</t>
  </si>
  <si>
    <t xml:space="preserve">     Tulajdonosi bevételek: bérleti díjak</t>
  </si>
  <si>
    <t xml:space="preserve">     Ellátási díjak (szoc.étk.díj bev.)</t>
  </si>
  <si>
    <t xml:space="preserve">     Biztosító által fizetett kártérítés (kilátó viharkár)</t>
  </si>
  <si>
    <t xml:space="preserve">     Kilátó üvegkár </t>
  </si>
  <si>
    <t xml:space="preserve">          Város fásítási programjának támogatása</t>
  </si>
  <si>
    <t xml:space="preserve">     Zöld Város projekt - támogatás ráemelés két üteme</t>
  </si>
  <si>
    <t>K1104</t>
  </si>
  <si>
    <t xml:space="preserve">     Készenléti, ügyeleti, helyettesítési díj, túlóra (átcsop. K1101-ről)</t>
  </si>
  <si>
    <t xml:space="preserve">     Informatikai szolgáltatás </t>
  </si>
  <si>
    <t xml:space="preserve">     Műszaki ellenőrzés (Bölcsőde pályázat) (átcsop. K351-ről)</t>
  </si>
  <si>
    <t xml:space="preserve">     Egyéb dologi kiadás: fúvószenekar (átcsoportosítás K337-re)</t>
  </si>
  <si>
    <t xml:space="preserve">     Kamatkiadások (hitelek kamatai)</t>
  </si>
  <si>
    <t>B116</t>
  </si>
  <si>
    <t xml:space="preserve">               Működési hozzájárulás (EFI iroda állami támogatás csökkentés miatt)</t>
  </si>
  <si>
    <t xml:space="preserve">              Automata defibrillátor, mentő katamarán, kerékpártámasz beszerzés (Nyugati strand; Kisfaludy) (átcsop. K7-re)</t>
  </si>
  <si>
    <t xml:space="preserve">      Nyugati strand felújítása (Kisfaludy) (átcsop. K6-ról)</t>
  </si>
  <si>
    <t xml:space="preserve">       MFP támogatás visszafizetése</t>
  </si>
  <si>
    <t xml:space="preserve">        MFP (útfelújítás): tervdok. elkészítése, műszaki ell.</t>
  </si>
  <si>
    <t>Népszámlálás támogatása</t>
  </si>
  <si>
    <t xml:space="preserve">          Népszámlálás támogatása (Hivatal)</t>
  </si>
  <si>
    <t xml:space="preserve">     Megbízási díj (népszámlálás)</t>
  </si>
  <si>
    <t xml:space="preserve">     Népszámlálás támogatása (Hivatal)</t>
  </si>
  <si>
    <t xml:space="preserve">     Megbízási díjak (népszámlálás)</t>
  </si>
  <si>
    <t xml:space="preserve">     Belső ellenőrzés (2021. 12 hó)</t>
  </si>
  <si>
    <t xml:space="preserve">     Egyéb személyi juttatás (bérkomp., betegsz., szabi megv, megbíz.)</t>
  </si>
  <si>
    <t xml:space="preserve">     Anyakönyvvezető helyettesítés</t>
  </si>
  <si>
    <t xml:space="preserve">     Megbízási díj (anyakönyvvezető helyettesítés)</t>
  </si>
  <si>
    <t xml:space="preserve">     Közüzemi díj visszatérítés</t>
  </si>
  <si>
    <t xml:space="preserve">     Helyettesítési díj</t>
  </si>
  <si>
    <t xml:space="preserve">     Tiszteletdíjak (választás átcsoportosítás K1104, K1103-ra)</t>
  </si>
  <si>
    <t xml:space="preserve">     Cafeteria (átcsoportosítás K1109-re)</t>
  </si>
  <si>
    <t xml:space="preserve">     Közlekedési költségtérítés (átcsoportosítás K1107-ről)</t>
  </si>
  <si>
    <t>K1105</t>
  </si>
  <si>
    <t xml:space="preserve">     Végkielégítés</t>
  </si>
  <si>
    <t xml:space="preserve">     Fénymásolók karbantartása (átcsop. K312, K322, K355-ről)</t>
  </si>
  <si>
    <t xml:space="preserve">     Foglalkozás egészségügyi ellátás (átcsop. K312-ről)</t>
  </si>
  <si>
    <t xml:space="preserve">     Külső adatvédelmi tisztviselő (átcsop. K312-ről)</t>
  </si>
  <si>
    <t>Marketing (Zöld város)</t>
  </si>
  <si>
    <t xml:space="preserve">     Marketing (Zöld város)</t>
  </si>
  <si>
    <t xml:space="preserve">     Egyéb személyi juttatás </t>
  </si>
  <si>
    <t xml:space="preserve">     Dacia Daster értékesítése (126/2022. (X.13.))</t>
  </si>
  <si>
    <t xml:space="preserve">      3. Felhalmozási célú tartalék (-ből céltartalék 227.589 ezer Ft; 29.537 ezer Ft)</t>
  </si>
  <si>
    <r>
      <t xml:space="preserve">     </t>
    </r>
    <r>
      <rPr>
        <i/>
        <sz val="10"/>
        <rFont val="Times New Roman"/>
        <family val="1"/>
        <charset val="238"/>
      </rPr>
      <t xml:space="preserve">    3.3. Felhalmozási célú tartalék (céltartalék 227.589 ezer Ft; 29.537 ezer Ft)</t>
    </r>
  </si>
  <si>
    <t xml:space="preserve">       Kötelező (módosított előirányzat 2022.10. havi)</t>
  </si>
  <si>
    <t>Módosított előirányzat 2022.10.hó</t>
  </si>
  <si>
    <t xml:space="preserve">       Nem kötelező (módosított előirányzat 2022.10. havi)</t>
  </si>
  <si>
    <t>Önkormányzat (módosított előirányzat 2022.10.havi)</t>
  </si>
  <si>
    <t>KÖH (módosított előirányzat 2022.10. havi)</t>
  </si>
  <si>
    <t>Önk.mindösszesen (módosított ei. 2022.10. havi)</t>
  </si>
  <si>
    <t>Teljesítés 2022.12.31.</t>
  </si>
  <si>
    <t>Módosított előirányzat 2022.12.31.</t>
  </si>
  <si>
    <t>teljesítés 2022.12.31</t>
  </si>
  <si>
    <t>mód.ei. 2022.12.31</t>
  </si>
  <si>
    <t>mód.előir.
2022.12.31</t>
  </si>
  <si>
    <t>Szakirányú oktatás adókedvezményének visszaigénylése</t>
  </si>
  <si>
    <t xml:space="preserve">          Szakirányú oktatás adókedvezményének visszaigénylése (Hivatal)</t>
  </si>
  <si>
    <t xml:space="preserve">          Választások támogatása (Hivatal)</t>
  </si>
  <si>
    <t xml:space="preserve">     Választások támogatása </t>
  </si>
  <si>
    <t xml:space="preserve">     Szakirányú oktatás adókedvezményének visszaigénylése (Hivatal)</t>
  </si>
  <si>
    <t xml:space="preserve">     Alkalmazottak illetménye </t>
  </si>
  <si>
    <t xml:space="preserve">     Jutalom </t>
  </si>
  <si>
    <t xml:space="preserve">     Jubileumi jutalom</t>
  </si>
  <si>
    <t xml:space="preserve">     Népszámlálás: nyomtatvány, toner</t>
  </si>
  <si>
    <t xml:space="preserve">     Tisztítószer</t>
  </si>
  <si>
    <t xml:space="preserve">     Üzemanyag beszerzés </t>
  </si>
  <si>
    <t xml:space="preserve">     Szakmai könyvsegédlet adó</t>
  </si>
  <si>
    <t xml:space="preserve">     Felnőttoktatás adókonferencia</t>
  </si>
  <si>
    <t xml:space="preserve">     Biztosítási díj: általános felelősségbiztosítás</t>
  </si>
  <si>
    <t xml:space="preserve">     Bankköltség</t>
  </si>
  <si>
    <t xml:space="preserve">     Jubileumi jutalom (3 fő)</t>
  </si>
  <si>
    <t xml:space="preserve">        Irodaszer, toner beszerzés (népszámlálás)</t>
  </si>
  <si>
    <t xml:space="preserve">     Nyomtatvány, irodaszer</t>
  </si>
  <si>
    <t xml:space="preserve">     Üzemeltetési anyagok beszerzése</t>
  </si>
  <si>
    <t>082044 Könyvtári szolgáltatások    082092 Közművelődési feladatok    082094 Közművelődés - kulturális alapú gazdaságfejlesztés</t>
  </si>
  <si>
    <t xml:space="preserve">    Jubileumi jutalom</t>
  </si>
  <si>
    <t xml:space="preserve">               Rendkívüli önkormányzati támogatás átadása</t>
  </si>
  <si>
    <t xml:space="preserve">              Betlehem karácsonyi dekoráció</t>
  </si>
  <si>
    <t xml:space="preserve">               Európa park akadálymentesítése</t>
  </si>
  <si>
    <t xml:space="preserve">     Egyéb szakmai szolgáltatások</t>
  </si>
  <si>
    <t xml:space="preserve">2021. évi szoc.tűzifa támogatás visszafizetés </t>
  </si>
  <si>
    <t xml:space="preserve">     Személyi gondozás - társulás által történő feladatellátás (TKT)</t>
  </si>
  <si>
    <t xml:space="preserve">     Szociális ágazati pótlék </t>
  </si>
  <si>
    <t xml:space="preserve">     Szociális ágazati pótlék</t>
  </si>
  <si>
    <t xml:space="preserve">     Intézményi gyermekétkeztetés - üzemeltetési támogatás </t>
  </si>
  <si>
    <t xml:space="preserve">     Intézményi gyermekétkeztetés - üzemeltetési tám. átadás TKT részére</t>
  </si>
  <si>
    <t xml:space="preserve">     Rendkívüli önkormányzati támogatás</t>
  </si>
  <si>
    <t xml:space="preserve">     Rendkívüli önkormányzati támogatás átadása TKT-nak</t>
  </si>
  <si>
    <r>
      <t xml:space="preserve">      Elszámolásból származó bevételek</t>
    </r>
    <r>
      <rPr>
        <sz val="10"/>
        <rFont val="Times New Roman"/>
        <family val="1"/>
        <charset val="238"/>
      </rPr>
      <t xml:space="preserve"> (HIPA elszámolás miatti póttámogatás)</t>
    </r>
  </si>
  <si>
    <t xml:space="preserve">     HIPA elszámolás miatti póttámogatás</t>
  </si>
  <si>
    <t xml:space="preserve">     Egyéb működési célú támogatások (útiköltség támogatás szűrővizsgálathoz)</t>
  </si>
  <si>
    <t>B3434</t>
  </si>
  <si>
    <t xml:space="preserve">     Telekadó</t>
  </si>
  <si>
    <t xml:space="preserve">     Könyv értékesítés</t>
  </si>
  <si>
    <t xml:space="preserve">     Közvetített szolgáltatások (továbbszámlázott közüzemi díjak)</t>
  </si>
  <si>
    <t xml:space="preserve">     Kötbér érvényesítés, útvonal engedélyek</t>
  </si>
  <si>
    <t xml:space="preserve">     Földvár kártya értékesítéséből származó többletbevétel</t>
  </si>
  <si>
    <t xml:space="preserve">          Működési célú maradvány</t>
  </si>
  <si>
    <t xml:space="preserve">          Felhalmozási célú maradvány</t>
  </si>
  <si>
    <t xml:space="preserve">    Előző évi maradvány igénybevétele</t>
  </si>
  <si>
    <t xml:space="preserve">     Megbízási díjak (átcsoportosítás K121, K1113-ra)</t>
  </si>
  <si>
    <t xml:space="preserve">     Polgármesteri, képviselői tiszteletdíjak (átcsop. K122-ről)</t>
  </si>
  <si>
    <t xml:space="preserve">     Egyéb munkavégzéshez kapcs. juttatás (betegszabi, szabadság megvált. ) (átcsop. K122-ről)</t>
  </si>
  <si>
    <t xml:space="preserve">     Járulékok (átcsop K1101-ről)</t>
  </si>
  <si>
    <t xml:space="preserve">     Közüzemi díjak (átcsop. K322-ről)</t>
  </si>
  <si>
    <t xml:space="preserve">     Telefonköltség (átcsop. K331-re)</t>
  </si>
  <si>
    <t>Rehabilitációs és energetikai szakv.</t>
  </si>
  <si>
    <t xml:space="preserve">     Egyéb dologi kiadás (átcsop. K342-re)</t>
  </si>
  <si>
    <t xml:space="preserve">     Települési támogatások</t>
  </si>
  <si>
    <t xml:space="preserve">     Nyilvánosság biztosítása (átcsop. K355-ről)</t>
  </si>
  <si>
    <t xml:space="preserve">     Állami támogatás átadása Nonprofit Kft.-nek</t>
  </si>
  <si>
    <t xml:space="preserve">     "Mozdulj Balaton" programsorozat támogatása</t>
  </si>
  <si>
    <t xml:space="preserve">      Betlehem karácsonyi dekoráció</t>
  </si>
  <si>
    <t xml:space="preserve">      Európa park akadálymentesítése</t>
  </si>
  <si>
    <t xml:space="preserve">     Októberi felmérés (óvoda és személyi gondozás póttámogatás)</t>
  </si>
  <si>
    <t xml:space="preserve">      Felhalmozási célú tartalék </t>
  </si>
  <si>
    <t xml:space="preserve">     Korábbi évek állami normatíva elszámolás visszafizetése (ovi)</t>
  </si>
  <si>
    <t xml:space="preserve">       Kötelező (módosított előirányzat 2022.12.31)</t>
  </si>
  <si>
    <t xml:space="preserve">       Nem kötelező (módosított előirányzat 2022.12.31)</t>
  </si>
  <si>
    <t>KÖH (módosított előirányzat 2022.12.31)</t>
  </si>
  <si>
    <t>Önk.mindösszesen (módosított ei. 2022.12.31)</t>
  </si>
  <si>
    <t>Önkormányzat (módosított előirányzat 2022.12.31)</t>
  </si>
  <si>
    <t>Módosított előirányzat 2022.12.31</t>
  </si>
  <si>
    <t>ÁHB megelőlegezés</t>
  </si>
  <si>
    <t xml:space="preserve">   ÁHB megelőlegezések</t>
  </si>
  <si>
    <t xml:space="preserve">      Működési célú tartalék</t>
  </si>
  <si>
    <t>a 11/2023.(V.26.) önkormányzati rendelethez</t>
  </si>
  <si>
    <t xml:space="preserve">     Közvetített szolgáltatások ellenértéke (közüzemi díjak továbbszámlázása)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</si>
</sst>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164" formatCode="_-* #,##0.00\ _F_t_-;\-* #,##0.00\ _F_t_-;_-* &quot;-&quot;??\ _F_t_-;_-@_-"/>
    <numFmt numFmtId="165" formatCode="_-* #,##0.00\ _F_t_-;\-* #,##0.00\ _F_t_-;_-* \-??\ _F_t_-;_-@_-"/>
  </numFmts>
  <fonts count="9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4"/>
      <name val="Times New Roman"/>
      <family val="1"/>
      <charset val="238"/>
    </font>
    <font>
      <sz val="14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9"/>
      <name val="Arial CE"/>
      <charset val="238"/>
    </font>
    <font>
      <b/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u/>
      <sz val="12"/>
      <name val="Arial CE"/>
      <charset val="238"/>
    </font>
    <font>
      <b/>
      <i/>
      <sz val="10"/>
      <name val="Arial CE"/>
      <family val="2"/>
      <charset val="238"/>
    </font>
    <font>
      <i/>
      <sz val="12"/>
      <name val="Times New Roman"/>
      <family val="1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sz val="8"/>
      <name val="Times New Roman"/>
      <family val="1"/>
    </font>
    <font>
      <b/>
      <sz val="7"/>
      <name val="Times New Roman"/>
      <family val="1"/>
      <charset val="238"/>
    </font>
    <font>
      <b/>
      <i/>
      <sz val="9"/>
      <name val="Arial CE"/>
      <family val="2"/>
      <charset val="238"/>
    </font>
    <font>
      <sz val="7"/>
      <name val="Arial CE"/>
      <charset val="238"/>
    </font>
    <font>
      <b/>
      <sz val="9"/>
      <name val="Arial CE"/>
      <charset val="238"/>
    </font>
    <font>
      <b/>
      <i/>
      <sz val="8"/>
      <name val="Arial CE"/>
      <family val="2"/>
      <charset val="238"/>
    </font>
    <font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Arial CE"/>
      <charset val="238"/>
    </font>
    <font>
      <sz val="10"/>
      <color theme="0"/>
      <name val="Arial CE"/>
      <charset val="238"/>
    </font>
    <font>
      <sz val="10"/>
      <color rgb="FF00000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  <font>
      <sz val="7"/>
      <color theme="0"/>
      <name val="Times New Roman"/>
      <family val="1"/>
      <charset val="238"/>
    </font>
    <font>
      <sz val="8"/>
      <color theme="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i/>
      <u/>
      <sz val="12"/>
      <name val="Arial"/>
      <family val="2"/>
      <charset val="238"/>
    </font>
    <font>
      <sz val="10"/>
      <name val="Times New Roman"/>
      <family val="1"/>
      <charset val="1"/>
    </font>
    <font>
      <b/>
      <sz val="10"/>
      <color rgb="FFFF0000"/>
      <name val="Times New Roman"/>
      <family val="1"/>
      <charset val="238"/>
    </font>
    <font>
      <sz val="9"/>
      <color rgb="FFFF0000"/>
      <name val="Arial CE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5">
    <xf numFmtId="0" fontId="0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20" fillId="0" borderId="0" applyFill="0" applyBorder="0" applyAlignment="0" applyProtection="0"/>
    <xf numFmtId="0" fontId="11" fillId="0" borderId="0"/>
    <xf numFmtId="0" fontId="11" fillId="0" borderId="0"/>
    <xf numFmtId="0" fontId="71" fillId="0" borderId="0"/>
    <xf numFmtId="0" fontId="51" fillId="0" borderId="0"/>
    <xf numFmtId="0" fontId="53" fillId="0" borderId="0"/>
    <xf numFmtId="0" fontId="62" fillId="0" borderId="0"/>
    <xf numFmtId="0" fontId="20" fillId="0" borderId="0"/>
    <xf numFmtId="0" fontId="6" fillId="0" borderId="0"/>
    <xf numFmtId="0" fontId="65" fillId="0" borderId="0"/>
    <xf numFmtId="0" fontId="11" fillId="0" borderId="0"/>
    <xf numFmtId="0" fontId="1" fillId="0" borderId="0"/>
  </cellStyleXfs>
  <cellXfs count="962">
    <xf numFmtId="0" fontId="0" fillId="0" borderId="0" xfId="0"/>
    <xf numFmtId="0" fontId="2" fillId="2" borderId="0" xfId="0" applyFont="1" applyFill="1"/>
    <xf numFmtId="0" fontId="2" fillId="0" borderId="0" xfId="0" applyFont="1"/>
    <xf numFmtId="0" fontId="0" fillId="2" borderId="0" xfId="0" applyFill="1"/>
    <xf numFmtId="0" fontId="10" fillId="0" borderId="0" xfId="0" applyFont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2" fillId="0" borderId="0" xfId="0" applyNumberFormat="1" applyFont="1"/>
    <xf numFmtId="0" fontId="2" fillId="0" borderId="1" xfId="0" applyFont="1" applyBorder="1"/>
    <xf numFmtId="0" fontId="12" fillId="0" borderId="0" xfId="0" applyFont="1"/>
    <xf numFmtId="0" fontId="2" fillId="2" borderId="0" xfId="0" applyFont="1" applyFill="1" applyAlignment="1">
      <alignment horizontal="right"/>
    </xf>
    <xf numFmtId="3" fontId="2" fillId="0" borderId="1" xfId="0" applyNumberFormat="1" applyFont="1" applyBorder="1"/>
    <xf numFmtId="0" fontId="2" fillId="0" borderId="2" xfId="0" applyFont="1" applyBorder="1"/>
    <xf numFmtId="3" fontId="2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2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/>
    <xf numFmtId="0" fontId="2" fillId="2" borderId="1" xfId="0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left" vertical="center"/>
    </xf>
    <xf numFmtId="0" fontId="5" fillId="0" borderId="2" xfId="0" applyFont="1" applyBorder="1"/>
    <xf numFmtId="0" fontId="4" fillId="0" borderId="1" xfId="0" applyFont="1" applyBorder="1"/>
    <xf numFmtId="0" fontId="5" fillId="2" borderId="1" xfId="0" applyFont="1" applyFill="1" applyBorder="1"/>
    <xf numFmtId="0" fontId="5" fillId="0" borderId="1" xfId="0" applyFont="1" applyBorder="1" applyAlignment="1">
      <alignment wrapText="1"/>
    </xf>
    <xf numFmtId="0" fontId="6" fillId="0" borderId="1" xfId="0" applyFont="1" applyBorder="1"/>
    <xf numFmtId="0" fontId="6" fillId="0" borderId="0" xfId="0" applyFont="1"/>
    <xf numFmtId="0" fontId="15" fillId="0" borderId="0" xfId="0" applyFont="1"/>
    <xf numFmtId="3" fontId="15" fillId="0" borderId="0" xfId="0" applyNumberFormat="1" applyFont="1"/>
    <xf numFmtId="0" fontId="12" fillId="0" borderId="3" xfId="0" applyFont="1" applyBorder="1"/>
    <xf numFmtId="0" fontId="2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/>
    </xf>
    <xf numFmtId="3" fontId="12" fillId="0" borderId="1" xfId="0" applyNumberFormat="1" applyFont="1" applyBorder="1"/>
    <xf numFmtId="0" fontId="14" fillId="2" borderId="0" xfId="0" applyFont="1" applyFill="1"/>
    <xf numFmtId="3" fontId="19" fillId="0" borderId="1" xfId="0" applyNumberFormat="1" applyFont="1" applyBorder="1"/>
    <xf numFmtId="3" fontId="17" fillId="0" borderId="1" xfId="0" applyNumberFormat="1" applyFont="1" applyBorder="1" applyAlignment="1">
      <alignment horizontal="right"/>
    </xf>
    <xf numFmtId="3" fontId="12" fillId="0" borderId="0" xfId="0" applyNumberFormat="1" applyFont="1"/>
    <xf numFmtId="3" fontId="4" fillId="0" borderId="1" xfId="0" applyNumberFormat="1" applyFont="1" applyBorder="1"/>
    <xf numFmtId="3" fontId="2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3" fontId="9" fillId="5" borderId="6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0" fontId="11" fillId="0" borderId="0" xfId="0" applyFont="1"/>
    <xf numFmtId="0" fontId="19" fillId="0" borderId="0" xfId="0" applyFont="1"/>
    <xf numFmtId="0" fontId="2" fillId="0" borderId="3" xfId="0" applyFont="1" applyBorder="1" applyAlignment="1">
      <alignment horizontal="left" vertical="center"/>
    </xf>
    <xf numFmtId="0" fontId="2" fillId="6" borderId="0" xfId="0" applyFont="1" applyFill="1" applyAlignment="1">
      <alignment horizontal="center"/>
    </xf>
    <xf numFmtId="0" fontId="0" fillId="6" borderId="0" xfId="0" applyFill="1"/>
    <xf numFmtId="0" fontId="2" fillId="0" borderId="0" xfId="0" applyFont="1" applyAlignment="1">
      <alignment horizontal="right"/>
    </xf>
    <xf numFmtId="0" fontId="2" fillId="6" borderId="0" xfId="0" applyFont="1" applyFill="1"/>
    <xf numFmtId="3" fontId="2" fillId="0" borderId="0" xfId="0" applyNumberFormat="1" applyFont="1" applyAlignment="1">
      <alignment horizontal="right"/>
    </xf>
    <xf numFmtId="0" fontId="22" fillId="2" borderId="0" xfId="0" applyFont="1" applyFill="1" applyAlignment="1">
      <alignment horizontal="right"/>
    </xf>
    <xf numFmtId="3" fontId="0" fillId="0" borderId="1" xfId="0" applyNumberFormat="1" applyBorder="1"/>
    <xf numFmtId="0" fontId="24" fillId="0" borderId="1" xfId="0" applyFont="1" applyBorder="1"/>
    <xf numFmtId="3" fontId="0" fillId="2" borderId="1" xfId="0" applyNumberFormat="1" applyFill="1" applyBorder="1"/>
    <xf numFmtId="0" fontId="0" fillId="0" borderId="1" xfId="0" applyBorder="1"/>
    <xf numFmtId="0" fontId="0" fillId="2" borderId="1" xfId="0" applyFill="1" applyBorder="1"/>
    <xf numFmtId="0" fontId="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3" fontId="27" fillId="0" borderId="0" xfId="0" applyNumberFormat="1" applyFont="1" applyAlignment="1">
      <alignment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2" fillId="0" borderId="1" xfId="2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2" xfId="2" applyNumberFormat="1" applyFont="1" applyFill="1" applyBorder="1" applyAlignment="1">
      <alignment horizontal="right" vertical="center"/>
    </xf>
    <xf numFmtId="3" fontId="27" fillId="0" borderId="7" xfId="0" applyNumberFormat="1" applyFont="1" applyBorder="1" applyAlignment="1">
      <alignment vertical="center"/>
    </xf>
    <xf numFmtId="0" fontId="16" fillId="3" borderId="8" xfId="0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right"/>
    </xf>
    <xf numFmtId="3" fontId="33" fillId="0" borderId="1" xfId="0" applyNumberFormat="1" applyFont="1" applyBorder="1" applyAlignment="1">
      <alignment horizontal="right"/>
    </xf>
    <xf numFmtId="9" fontId="15" fillId="0" borderId="0" xfId="0" applyNumberFormat="1" applyFont="1"/>
    <xf numFmtId="3" fontId="0" fillId="0" borderId="0" xfId="0" applyNumberFormat="1"/>
    <xf numFmtId="0" fontId="5" fillId="5" borderId="4" xfId="0" applyFont="1" applyFill="1" applyBorder="1" applyAlignment="1">
      <alignment horizontal="left"/>
    </xf>
    <xf numFmtId="0" fontId="25" fillId="0" borderId="3" xfId="0" applyFont="1" applyBorder="1" applyAlignment="1">
      <alignment horizontal="left"/>
    </xf>
    <xf numFmtId="3" fontId="2" fillId="0" borderId="1" xfId="0" applyNumberFormat="1" applyFont="1" applyBorder="1" applyAlignment="1">
      <alignment vertical="center" wrapText="1"/>
    </xf>
    <xf numFmtId="3" fontId="2" fillId="0" borderId="2" xfId="0" applyNumberFormat="1" applyFont="1" applyBorder="1"/>
    <xf numFmtId="0" fontId="7" fillId="0" borderId="1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22" fillId="6" borderId="0" xfId="0" applyFont="1" applyFill="1" applyAlignment="1">
      <alignment horizontal="right"/>
    </xf>
    <xf numFmtId="0" fontId="6" fillId="2" borderId="0" xfId="0" applyFont="1" applyFill="1"/>
    <xf numFmtId="0" fontId="35" fillId="2" borderId="0" xfId="0" applyFont="1" applyFill="1"/>
    <xf numFmtId="0" fontId="22" fillId="2" borderId="0" xfId="0" applyFont="1" applyFill="1"/>
    <xf numFmtId="0" fontId="35" fillId="2" borderId="0" xfId="0" applyFont="1" applyFill="1" applyAlignment="1">
      <alignment horizontal="right"/>
    </xf>
    <xf numFmtId="0" fontId="22" fillId="0" borderId="0" xfId="0" applyFont="1"/>
    <xf numFmtId="0" fontId="22" fillId="0" borderId="0" xfId="0" applyFont="1" applyAlignment="1">
      <alignment horizontal="right"/>
    </xf>
    <xf numFmtId="3" fontId="38" fillId="0" borderId="0" xfId="0" applyNumberFormat="1" applyFont="1" applyAlignment="1">
      <alignment horizontal="center" vertical="center" wrapText="1"/>
    </xf>
    <xf numFmtId="3" fontId="8" fillId="0" borderId="0" xfId="0" applyNumberFormat="1" applyFont="1"/>
    <xf numFmtId="0" fontId="8" fillId="2" borderId="1" xfId="0" applyFont="1" applyFill="1" applyBorder="1"/>
    <xf numFmtId="3" fontId="35" fillId="0" borderId="0" xfId="0" applyNumberFormat="1" applyFont="1"/>
    <xf numFmtId="0" fontId="35" fillId="0" borderId="0" xfId="0" applyFont="1"/>
    <xf numFmtId="0" fontId="41" fillId="2" borderId="0" xfId="0" applyFont="1" applyFill="1"/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9" xfId="0" applyFont="1" applyBorder="1"/>
    <xf numFmtId="0" fontId="8" fillId="0" borderId="10" xfId="0" applyFont="1" applyBorder="1"/>
    <xf numFmtId="0" fontId="0" fillId="0" borderId="11" xfId="0" applyBorder="1"/>
    <xf numFmtId="3" fontId="8" fillId="0" borderId="12" xfId="0" applyNumberFormat="1" applyFont="1" applyBorder="1"/>
    <xf numFmtId="0" fontId="8" fillId="0" borderId="11" xfId="0" applyFont="1" applyBorder="1"/>
    <xf numFmtId="3" fontId="8" fillId="0" borderId="1" xfId="0" applyNumberFormat="1" applyFont="1" applyBorder="1"/>
    <xf numFmtId="0" fontId="8" fillId="0" borderId="13" xfId="0" applyFont="1" applyBorder="1"/>
    <xf numFmtId="3" fontId="8" fillId="2" borderId="8" xfId="0" applyNumberFormat="1" applyFont="1" applyFill="1" applyBorder="1"/>
    <xf numFmtId="3" fontId="8" fillId="2" borderId="14" xfId="0" applyNumberFormat="1" applyFont="1" applyFill="1" applyBorder="1"/>
    <xf numFmtId="0" fontId="8" fillId="2" borderId="0" xfId="0" applyFont="1" applyFill="1"/>
    <xf numFmtId="0" fontId="42" fillId="2" borderId="0" xfId="0" applyFont="1" applyFill="1"/>
    <xf numFmtId="0" fontId="2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5" fillId="5" borderId="15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3" fontId="5" fillId="7" borderId="2" xfId="0" applyNumberFormat="1" applyFont="1" applyFill="1" applyBorder="1"/>
    <xf numFmtId="3" fontId="22" fillId="0" borderId="3" xfId="0" applyNumberFormat="1" applyFont="1" applyBorder="1" applyAlignment="1">
      <alignment horizontal="right"/>
    </xf>
    <xf numFmtId="0" fontId="22" fillId="0" borderId="3" xfId="0" applyFont="1" applyBorder="1" applyAlignment="1">
      <alignment horizontal="right"/>
    </xf>
    <xf numFmtId="0" fontId="43" fillId="7" borderId="1" xfId="0" applyFont="1" applyFill="1" applyBorder="1"/>
    <xf numFmtId="0" fontId="8" fillId="7" borderId="1" xfId="0" applyFont="1" applyFill="1" applyBorder="1" applyAlignment="1">
      <alignment horizontal="center" vertical="center" wrapText="1"/>
    </xf>
    <xf numFmtId="3" fontId="6" fillId="7" borderId="1" xfId="0" applyNumberFormat="1" applyFont="1" applyFill="1" applyBorder="1"/>
    <xf numFmtId="3" fontId="0" fillId="7" borderId="1" xfId="0" applyNumberFormat="1" applyFill="1" applyBorder="1"/>
    <xf numFmtId="0" fontId="0" fillId="0" borderId="11" xfId="0" applyBorder="1" applyAlignment="1">
      <alignment wrapText="1"/>
    </xf>
    <xf numFmtId="3" fontId="5" fillId="8" borderId="4" xfId="0" applyNumberFormat="1" applyFont="1" applyFill="1" applyBorder="1" applyAlignment="1">
      <alignment horizontal="left" vertical="center"/>
    </xf>
    <xf numFmtId="3" fontId="5" fillId="8" borderId="5" xfId="2" applyNumberFormat="1" applyFont="1" applyFill="1" applyBorder="1" applyAlignment="1">
      <alignment horizontal="right" vertical="center"/>
    </xf>
    <xf numFmtId="3" fontId="5" fillId="8" borderId="6" xfId="0" applyNumberFormat="1" applyFont="1" applyFill="1" applyBorder="1" applyAlignment="1">
      <alignment vertical="center"/>
    </xf>
    <xf numFmtId="3" fontId="28" fillId="8" borderId="5" xfId="2" applyNumberFormat="1" applyFont="1" applyFill="1" applyBorder="1" applyAlignment="1">
      <alignment horizontal="right" vertical="center"/>
    </xf>
    <xf numFmtId="3" fontId="28" fillId="8" borderId="6" xfId="2" applyNumberFormat="1" applyFont="1" applyFill="1" applyBorder="1" applyAlignment="1">
      <alignment horizontal="right" vertical="center"/>
    </xf>
    <xf numFmtId="3" fontId="2" fillId="0" borderId="3" xfId="2" applyNumberFormat="1" applyFont="1" applyFill="1" applyBorder="1" applyAlignment="1">
      <alignment horizontal="right" vertical="center"/>
    </xf>
    <xf numFmtId="3" fontId="15" fillId="0" borderId="1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5" fillId="8" borderId="5" xfId="0" applyNumberFormat="1" applyFont="1" applyFill="1" applyBorder="1" applyAlignment="1">
      <alignment vertical="center"/>
    </xf>
    <xf numFmtId="3" fontId="26" fillId="8" borderId="4" xfId="0" applyNumberFormat="1" applyFont="1" applyFill="1" applyBorder="1" applyAlignment="1">
      <alignment horizontal="left" vertical="center" wrapText="1"/>
    </xf>
    <xf numFmtId="3" fontId="26" fillId="8" borderId="5" xfId="0" applyNumberFormat="1" applyFont="1" applyFill="1" applyBorder="1" applyAlignment="1">
      <alignment vertical="center"/>
    </xf>
    <xf numFmtId="3" fontId="26" fillId="8" borderId="6" xfId="0" applyNumberFormat="1" applyFont="1" applyFill="1" applyBorder="1" applyAlignment="1">
      <alignment vertical="center"/>
    </xf>
    <xf numFmtId="3" fontId="5" fillId="0" borderId="1" xfId="2" applyNumberFormat="1" applyFont="1" applyFill="1" applyBorder="1" applyAlignment="1">
      <alignment horizontal="right" vertical="center"/>
    </xf>
    <xf numFmtId="3" fontId="5" fillId="0" borderId="3" xfId="2" applyNumberFormat="1" applyFont="1" applyFill="1" applyBorder="1" applyAlignment="1">
      <alignment horizontal="right" vertical="center"/>
    </xf>
    <xf numFmtId="3" fontId="5" fillId="8" borderId="6" xfId="2" applyNumberFormat="1" applyFont="1" applyFill="1" applyBorder="1" applyAlignment="1">
      <alignment horizontal="right" vertical="center"/>
    </xf>
    <xf numFmtId="0" fontId="35" fillId="6" borderId="0" xfId="0" applyFont="1" applyFill="1"/>
    <xf numFmtId="0" fontId="36" fillId="2" borderId="0" xfId="0" applyFont="1" applyFill="1"/>
    <xf numFmtId="0" fontId="17" fillId="2" borderId="4" xfId="0" applyFont="1" applyFill="1" applyBorder="1"/>
    <xf numFmtId="0" fontId="17" fillId="2" borderId="5" xfId="0" applyFont="1" applyFill="1" applyBorder="1"/>
    <xf numFmtId="3" fontId="17" fillId="2" borderId="5" xfId="0" applyNumberFormat="1" applyFont="1" applyFill="1" applyBorder="1"/>
    <xf numFmtId="3" fontId="17" fillId="2" borderId="6" xfId="0" applyNumberFormat="1" applyFont="1" applyFill="1" applyBorder="1"/>
    <xf numFmtId="49" fontId="2" fillId="0" borderId="2" xfId="0" applyNumberFormat="1" applyFont="1" applyBorder="1" applyAlignment="1">
      <alignment horizontal="right"/>
    </xf>
    <xf numFmtId="3" fontId="6" fillId="0" borderId="1" xfId="0" applyNumberFormat="1" applyFont="1" applyBorder="1"/>
    <xf numFmtId="0" fontId="2" fillId="0" borderId="16" xfId="0" applyFont="1" applyBorder="1" applyAlignment="1">
      <alignment horizontal="left" vertical="center" wrapText="1"/>
    </xf>
    <xf numFmtId="0" fontId="5" fillId="0" borderId="3" xfId="0" applyFont="1" applyBorder="1"/>
    <xf numFmtId="3" fontId="17" fillId="0" borderId="1" xfId="0" applyNumberFormat="1" applyFont="1" applyBorder="1"/>
    <xf numFmtId="3" fontId="5" fillId="7" borderId="1" xfId="0" applyNumberFormat="1" applyFont="1" applyFill="1" applyBorder="1"/>
    <xf numFmtId="0" fontId="0" fillId="0" borderId="17" xfId="0" applyBorder="1"/>
    <xf numFmtId="0" fontId="22" fillId="0" borderId="1" xfId="0" applyFont="1" applyBorder="1"/>
    <xf numFmtId="0" fontId="5" fillId="7" borderId="2" xfId="0" applyFont="1" applyFill="1" applyBorder="1"/>
    <xf numFmtId="0" fontId="7" fillId="0" borderId="17" xfId="0" applyFont="1" applyBorder="1"/>
    <xf numFmtId="3" fontId="22" fillId="0" borderId="3" xfId="0" applyNumberFormat="1" applyFont="1" applyBorder="1"/>
    <xf numFmtId="3" fontId="3" fillId="7" borderId="5" xfId="0" applyNumberFormat="1" applyFont="1" applyFill="1" applyBorder="1"/>
    <xf numFmtId="0" fontId="9" fillId="7" borderId="4" xfId="0" applyFont="1" applyFill="1" applyBorder="1" applyAlignment="1">
      <alignment horizontal="left"/>
    </xf>
    <xf numFmtId="0" fontId="7" fillId="0" borderId="3" xfId="0" applyFont="1" applyBorder="1"/>
    <xf numFmtId="3" fontId="5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/>
    <xf numFmtId="3" fontId="13" fillId="0" borderId="1" xfId="0" applyNumberFormat="1" applyFont="1" applyBorder="1" applyAlignment="1">
      <alignment horizontal="right"/>
    </xf>
    <xf numFmtId="3" fontId="5" fillId="7" borderId="3" xfId="0" applyNumberFormat="1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horizontal="left"/>
    </xf>
    <xf numFmtId="0" fontId="2" fillId="0" borderId="3" xfId="0" applyFont="1" applyBorder="1"/>
    <xf numFmtId="3" fontId="31" fillId="0" borderId="0" xfId="0" applyNumberFormat="1" applyFont="1"/>
    <xf numFmtId="0" fontId="2" fillId="0" borderId="2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wrapText="1"/>
    </xf>
    <xf numFmtId="3" fontId="24" fillId="0" borderId="0" xfId="0" applyNumberFormat="1" applyFont="1"/>
    <xf numFmtId="3" fontId="16" fillId="0" borderId="0" xfId="0" applyNumberFormat="1" applyFont="1"/>
    <xf numFmtId="0" fontId="24" fillId="0" borderId="0" xfId="0" applyFont="1"/>
    <xf numFmtId="3" fontId="3" fillId="0" borderId="2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vertical="center"/>
    </xf>
    <xf numFmtId="3" fontId="3" fillId="0" borderId="3" xfId="0" applyNumberFormat="1" applyFont="1" applyBorder="1"/>
    <xf numFmtId="0" fontId="3" fillId="0" borderId="2" xfId="0" applyFont="1" applyBorder="1" applyAlignment="1">
      <alignment vertical="center"/>
    </xf>
    <xf numFmtId="3" fontId="15" fillId="0" borderId="1" xfId="0" applyNumberFormat="1" applyFont="1" applyBorder="1" applyAlignment="1">
      <alignment horizontal="right"/>
    </xf>
    <xf numFmtId="0" fontId="2" fillId="6" borderId="0" xfId="0" applyFont="1" applyFill="1" applyAlignment="1">
      <alignment horizontal="right"/>
    </xf>
    <xf numFmtId="0" fontId="40" fillId="3" borderId="18" xfId="0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right"/>
    </xf>
    <xf numFmtId="0" fontId="14" fillId="6" borderId="0" xfId="0" applyFont="1" applyFill="1"/>
    <xf numFmtId="3" fontId="2" fillId="6" borderId="0" xfId="0" applyNumberFormat="1" applyFont="1" applyFill="1" applyAlignment="1">
      <alignment horizontal="right"/>
    </xf>
    <xf numFmtId="0" fontId="15" fillId="6" borderId="0" xfId="0" applyFont="1" applyFill="1"/>
    <xf numFmtId="3" fontId="17" fillId="0" borderId="5" xfId="0" applyNumberFormat="1" applyFont="1" applyBorder="1"/>
    <xf numFmtId="3" fontId="7" fillId="2" borderId="1" xfId="0" applyNumberFormat="1" applyFont="1" applyFill="1" applyBorder="1" applyAlignment="1">
      <alignment horizontal="right"/>
    </xf>
    <xf numFmtId="3" fontId="12" fillId="6" borderId="0" xfId="0" applyNumberFormat="1" applyFont="1" applyFill="1"/>
    <xf numFmtId="0" fontId="4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wrapText="1"/>
    </xf>
    <xf numFmtId="3" fontId="5" fillId="0" borderId="0" xfId="0" applyNumberFormat="1" applyFont="1"/>
    <xf numFmtId="3" fontId="3" fillId="0" borderId="1" xfId="0" applyNumberFormat="1" applyFont="1" applyBorder="1" applyAlignment="1">
      <alignment horizontal="right" vertical="center"/>
    </xf>
    <xf numFmtId="3" fontId="32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3" fontId="15" fillId="0" borderId="1" xfId="0" applyNumberFormat="1" applyFont="1" applyBorder="1"/>
    <xf numFmtId="3" fontId="48" fillId="0" borderId="0" xfId="0" applyNumberFormat="1" applyFont="1"/>
    <xf numFmtId="3" fontId="0" fillId="9" borderId="19" xfId="0" applyNumberFormat="1" applyFill="1" applyBorder="1"/>
    <xf numFmtId="0" fontId="5" fillId="0" borderId="4" xfId="0" applyFont="1" applyBorder="1"/>
    <xf numFmtId="0" fontId="5" fillId="0" borderId="0" xfId="0" applyFont="1"/>
    <xf numFmtId="0" fontId="9" fillId="7" borderId="20" xfId="0" applyFont="1" applyFill="1" applyBorder="1" applyAlignment="1">
      <alignment horizontal="left"/>
    </xf>
    <xf numFmtId="3" fontId="3" fillId="7" borderId="21" xfId="0" applyNumberFormat="1" applyFont="1" applyFill="1" applyBorder="1"/>
    <xf numFmtId="0" fontId="72" fillId="0" borderId="0" xfId="0" applyFont="1"/>
    <xf numFmtId="0" fontId="73" fillId="0" borderId="0" xfId="0" applyFont="1"/>
    <xf numFmtId="0" fontId="73" fillId="6" borderId="0" xfId="0" applyFont="1" applyFill="1"/>
    <xf numFmtId="0" fontId="5" fillId="7" borderId="3" xfId="0" applyFont="1" applyFill="1" applyBorder="1"/>
    <xf numFmtId="0" fontId="4" fillId="7" borderId="4" xfId="0" applyFont="1" applyFill="1" applyBorder="1"/>
    <xf numFmtId="0" fontId="32" fillId="0" borderId="1" xfId="0" applyFont="1" applyBorder="1"/>
    <xf numFmtId="0" fontId="4" fillId="7" borderId="7" xfId="0" applyFont="1" applyFill="1" applyBorder="1"/>
    <xf numFmtId="3" fontId="4" fillId="7" borderId="7" xfId="0" applyNumberFormat="1" applyFont="1" applyFill="1" applyBorder="1"/>
    <xf numFmtId="0" fontId="3" fillId="7" borderId="4" xfId="0" applyFont="1" applyFill="1" applyBorder="1"/>
    <xf numFmtId="0" fontId="22" fillId="5" borderId="11" xfId="0" applyFont="1" applyFill="1" applyBorder="1" applyAlignment="1">
      <alignment horizontal="center"/>
    </xf>
    <xf numFmtId="3" fontId="47" fillId="0" borderId="0" xfId="0" applyNumberFormat="1" applyFont="1"/>
    <xf numFmtId="3" fontId="27" fillId="6" borderId="0" xfId="0" applyNumberFormat="1" applyFont="1" applyFill="1" applyAlignment="1">
      <alignment vertical="center"/>
    </xf>
    <xf numFmtId="0" fontId="2" fillId="5" borderId="4" xfId="0" applyFont="1" applyFill="1" applyBorder="1"/>
    <xf numFmtId="0" fontId="9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3" fontId="12" fillId="0" borderId="18" xfId="0" applyNumberFormat="1" applyFont="1" applyBorder="1"/>
    <xf numFmtId="3" fontId="29" fillId="3" borderId="8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vertical="center"/>
    </xf>
    <xf numFmtId="0" fontId="22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3" fontId="9" fillId="5" borderId="5" xfId="0" applyNumberFormat="1" applyFont="1" applyFill="1" applyBorder="1"/>
    <xf numFmtId="0" fontId="15" fillId="0" borderId="1" xfId="0" applyFont="1" applyBorder="1"/>
    <xf numFmtId="3" fontId="32" fillId="0" borderId="1" xfId="0" applyNumberFormat="1" applyFont="1" applyBorder="1" applyAlignment="1">
      <alignment horizontal="left" vertical="center"/>
    </xf>
    <xf numFmtId="0" fontId="0" fillId="0" borderId="0" xfId="0" applyAlignment="1">
      <alignment wrapText="1"/>
    </xf>
    <xf numFmtId="3" fontId="2" fillId="0" borderId="3" xfId="0" applyNumberFormat="1" applyFont="1" applyBorder="1" applyAlignment="1">
      <alignment vertical="center" wrapText="1"/>
    </xf>
    <xf numFmtId="3" fontId="32" fillId="0" borderId="1" xfId="0" applyNumberFormat="1" applyFont="1" applyBorder="1"/>
    <xf numFmtId="0" fontId="0" fillId="0" borderId="5" xfId="0" applyBorder="1"/>
    <xf numFmtId="3" fontId="5" fillId="7" borderId="1" xfId="0" applyNumberFormat="1" applyFont="1" applyFill="1" applyBorder="1" applyAlignment="1">
      <alignment horizontal="right"/>
    </xf>
    <xf numFmtId="3" fontId="5" fillId="7" borderId="2" xfId="0" applyNumberFormat="1" applyFont="1" applyFill="1" applyBorder="1" applyAlignment="1">
      <alignment horizontal="right"/>
    </xf>
    <xf numFmtId="3" fontId="3" fillId="7" borderId="5" xfId="0" applyNumberFormat="1" applyFont="1" applyFill="1" applyBorder="1" applyAlignment="1">
      <alignment horizontal="right"/>
    </xf>
    <xf numFmtId="3" fontId="5" fillId="7" borderId="3" xfId="0" applyNumberFormat="1" applyFont="1" applyFill="1" applyBorder="1" applyAlignment="1">
      <alignment horizontal="right"/>
    </xf>
    <xf numFmtId="3" fontId="33" fillId="0" borderId="1" xfId="0" applyNumberFormat="1" applyFont="1" applyBorder="1"/>
    <xf numFmtId="3" fontId="22" fillId="0" borderId="1" xfId="0" applyNumberFormat="1" applyFont="1" applyBorder="1"/>
    <xf numFmtId="3" fontId="5" fillId="5" borderId="22" xfId="0" applyNumberFormat="1" applyFont="1" applyFill="1" applyBorder="1"/>
    <xf numFmtId="3" fontId="5" fillId="5" borderId="2" xfId="0" applyNumberFormat="1" applyFont="1" applyFill="1" applyBorder="1"/>
    <xf numFmtId="3" fontId="5" fillId="5" borderId="1" xfId="0" applyNumberFormat="1" applyFont="1" applyFill="1" applyBorder="1"/>
    <xf numFmtId="3" fontId="5" fillId="5" borderId="5" xfId="0" applyNumberFormat="1" applyFont="1" applyFill="1" applyBorder="1"/>
    <xf numFmtId="3" fontId="5" fillId="5" borderId="3" xfId="0" applyNumberFormat="1" applyFont="1" applyFill="1" applyBorder="1"/>
    <xf numFmtId="3" fontId="5" fillId="5" borderId="23" xfId="0" applyNumberFormat="1" applyFont="1" applyFill="1" applyBorder="1"/>
    <xf numFmtId="3" fontId="5" fillId="5" borderId="12" xfId="0" applyNumberFormat="1" applyFont="1" applyFill="1" applyBorder="1"/>
    <xf numFmtId="3" fontId="5" fillId="9" borderId="6" xfId="0" applyNumberFormat="1" applyFont="1" applyFill="1" applyBorder="1"/>
    <xf numFmtId="3" fontId="5" fillId="5" borderId="10" xfId="0" applyNumberFormat="1" applyFont="1" applyFill="1" applyBorder="1"/>
    <xf numFmtId="3" fontId="9" fillId="5" borderId="6" xfId="0" applyNumberFormat="1" applyFont="1" applyFill="1" applyBorder="1"/>
    <xf numFmtId="0" fontId="3" fillId="0" borderId="3" xfId="0" applyFont="1" applyBorder="1" applyAlignment="1">
      <alignment horizontal="left" vertical="center"/>
    </xf>
    <xf numFmtId="3" fontId="4" fillId="0" borderId="3" xfId="0" applyNumberFormat="1" applyFont="1" applyBorder="1"/>
    <xf numFmtId="0" fontId="9" fillId="5" borderId="5" xfId="0" applyFont="1" applyFill="1" applyBorder="1" applyAlignment="1">
      <alignment horizontal="center" wrapText="1"/>
    </xf>
    <xf numFmtId="3" fontId="9" fillId="5" borderId="5" xfId="0" applyNumberFormat="1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3" fontId="3" fillId="5" borderId="5" xfId="0" applyNumberFormat="1" applyFont="1" applyFill="1" applyBorder="1" applyAlignment="1">
      <alignment horizontal="right"/>
    </xf>
    <xf numFmtId="3" fontId="3" fillId="5" borderId="6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/>
    <xf numFmtId="3" fontId="5" fillId="0" borderId="3" xfId="0" applyNumberFormat="1" applyFont="1" applyBorder="1" applyAlignment="1">
      <alignment vertical="center" wrapText="1"/>
    </xf>
    <xf numFmtId="3" fontId="15" fillId="0" borderId="16" xfId="0" applyNumberFormat="1" applyFont="1" applyBorder="1" applyAlignment="1">
      <alignment vertical="center"/>
    </xf>
    <xf numFmtId="3" fontId="2" fillId="9" borderId="1" xfId="0" applyNumberFormat="1" applyFont="1" applyFill="1" applyBorder="1" applyAlignment="1">
      <alignment horizontal="right"/>
    </xf>
    <xf numFmtId="3" fontId="2" fillId="0" borderId="3" xfId="0" applyNumberFormat="1" applyFont="1" applyBorder="1" applyAlignment="1">
      <alignment vertical="center"/>
    </xf>
    <xf numFmtId="3" fontId="22" fillId="0" borderId="0" xfId="0" applyNumberFormat="1" applyFont="1"/>
    <xf numFmtId="0" fontId="74" fillId="0" borderId="0" xfId="0" applyFont="1"/>
    <xf numFmtId="0" fontId="5" fillId="5" borderId="4" xfId="0" applyFont="1" applyFill="1" applyBorder="1"/>
    <xf numFmtId="0" fontId="75" fillId="6" borderId="0" xfId="0" applyFont="1" applyFill="1"/>
    <xf numFmtId="0" fontId="76" fillId="0" borderId="0" xfId="0" applyFont="1"/>
    <xf numFmtId="3" fontId="32" fillId="0" borderId="3" xfId="0" applyNumberFormat="1" applyFont="1" applyBorder="1" applyAlignment="1">
      <alignment horizontal="right"/>
    </xf>
    <xf numFmtId="0" fontId="5" fillId="9" borderId="4" xfId="0" applyFont="1" applyFill="1" applyBorder="1" applyAlignment="1">
      <alignment wrapText="1"/>
    </xf>
    <xf numFmtId="3" fontId="5" fillId="9" borderId="6" xfId="0" applyNumberFormat="1" applyFont="1" applyFill="1" applyBorder="1" applyAlignment="1">
      <alignment vertical="center"/>
    </xf>
    <xf numFmtId="3" fontId="50" fillId="0" borderId="1" xfId="0" applyNumberFormat="1" applyFont="1" applyBorder="1" applyAlignment="1">
      <alignment horizontal="right"/>
    </xf>
    <xf numFmtId="0" fontId="33" fillId="0" borderId="1" xfId="0" applyFont="1" applyBorder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left" wrapText="1"/>
    </xf>
    <xf numFmtId="0" fontId="33" fillId="0" borderId="3" xfId="0" applyFont="1" applyBorder="1"/>
    <xf numFmtId="3" fontId="22" fillId="0" borderId="2" xfId="0" applyNumberFormat="1" applyFont="1" applyBorder="1"/>
    <xf numFmtId="3" fontId="33" fillId="0" borderId="2" xfId="0" applyNumberFormat="1" applyFont="1" applyBorder="1"/>
    <xf numFmtId="0" fontId="24" fillId="0" borderId="11" xfId="0" applyFont="1" applyBorder="1"/>
    <xf numFmtId="0" fontId="24" fillId="6" borderId="0" xfId="0" applyFont="1" applyFill="1"/>
    <xf numFmtId="0" fontId="48" fillId="0" borderId="3" xfId="0" applyFont="1" applyBorder="1"/>
    <xf numFmtId="0" fontId="48" fillId="0" borderId="1" xfId="0" applyFont="1" applyBorder="1"/>
    <xf numFmtId="0" fontId="24" fillId="0" borderId="17" xfId="0" applyFont="1" applyBorder="1"/>
    <xf numFmtId="0" fontId="48" fillId="0" borderId="17" xfId="0" applyFont="1" applyBorder="1"/>
    <xf numFmtId="0" fontId="3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wrapText="1"/>
    </xf>
    <xf numFmtId="0" fontId="5" fillId="5" borderId="9" xfId="0" applyFont="1" applyFill="1" applyBorder="1" applyAlignment="1">
      <alignment horizontal="left"/>
    </xf>
    <xf numFmtId="0" fontId="16" fillId="3" borderId="22" xfId="0" applyFont="1" applyFill="1" applyBorder="1" applyAlignment="1">
      <alignment horizontal="center" vertical="center"/>
    </xf>
    <xf numFmtId="3" fontId="32" fillId="9" borderId="24" xfId="0" applyNumberFormat="1" applyFont="1" applyFill="1" applyBorder="1" applyAlignment="1">
      <alignment horizontal="right"/>
    </xf>
    <xf numFmtId="3" fontId="32" fillId="9" borderId="5" xfId="0" applyNumberFormat="1" applyFont="1" applyFill="1" applyBorder="1" applyAlignment="1">
      <alignment horizontal="right"/>
    </xf>
    <xf numFmtId="0" fontId="25" fillId="0" borderId="25" xfId="0" applyFont="1" applyBorder="1" applyAlignment="1">
      <alignment horizontal="center" vertical="center" wrapText="1"/>
    </xf>
    <xf numFmtId="0" fontId="24" fillId="0" borderId="26" xfId="0" applyFont="1" applyBorder="1"/>
    <xf numFmtId="3" fontId="2" fillId="8" borderId="3" xfId="0" applyNumberFormat="1" applyFont="1" applyFill="1" applyBorder="1"/>
    <xf numFmtId="3" fontId="5" fillId="8" borderId="1" xfId="0" applyNumberFormat="1" applyFont="1" applyFill="1" applyBorder="1"/>
    <xf numFmtId="0" fontId="7" fillId="0" borderId="0" xfId="0" applyFont="1"/>
    <xf numFmtId="0" fontId="48" fillId="9" borderId="27" xfId="0" applyFont="1" applyFill="1" applyBorder="1"/>
    <xf numFmtId="0" fontId="22" fillId="0" borderId="2" xfId="0" applyFont="1" applyBorder="1" applyAlignment="1">
      <alignment horizontal="center"/>
    </xf>
    <xf numFmtId="0" fontId="2" fillId="5" borderId="11" xfId="0" applyFont="1" applyFill="1" applyBorder="1" applyAlignment="1">
      <alignment horizontal="center" wrapText="1"/>
    </xf>
    <xf numFmtId="3" fontId="5" fillId="8" borderId="4" xfId="0" applyNumberFormat="1" applyFont="1" applyFill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left" vertical="center" wrapText="1"/>
    </xf>
    <xf numFmtId="3" fontId="5" fillId="0" borderId="12" xfId="0" applyNumberFormat="1" applyFont="1" applyBorder="1" applyAlignment="1">
      <alignment vertical="center"/>
    </xf>
    <xf numFmtId="3" fontId="31" fillId="0" borderId="16" xfId="0" applyNumberFormat="1" applyFont="1" applyBorder="1" applyAlignment="1">
      <alignment vertical="center"/>
    </xf>
    <xf numFmtId="3" fontId="5" fillId="0" borderId="28" xfId="0" applyNumberFormat="1" applyFont="1" applyBorder="1" applyAlignment="1">
      <alignment vertical="center"/>
    </xf>
    <xf numFmtId="3" fontId="27" fillId="6" borderId="0" xfId="0" applyNumberFormat="1" applyFont="1" applyFill="1" applyAlignment="1">
      <alignment horizontal="right" vertical="center"/>
    </xf>
    <xf numFmtId="3" fontId="45" fillId="0" borderId="16" xfId="0" applyNumberFormat="1" applyFont="1" applyBorder="1" applyAlignment="1">
      <alignment vertical="center"/>
    </xf>
    <xf numFmtId="3" fontId="30" fillId="0" borderId="16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horizontal="left" vertical="center" wrapText="1"/>
    </xf>
    <xf numFmtId="3" fontId="5" fillId="0" borderId="10" xfId="2" applyNumberFormat="1" applyFont="1" applyFill="1" applyBorder="1" applyAlignment="1">
      <alignment horizontal="right" vertical="center"/>
    </xf>
    <xf numFmtId="3" fontId="2" fillId="0" borderId="29" xfId="0" applyNumberFormat="1" applyFont="1" applyBorder="1" applyAlignment="1">
      <alignment horizontal="left" vertical="center" wrapText="1"/>
    </xf>
    <xf numFmtId="3" fontId="5" fillId="8" borderId="3" xfId="0" applyNumberFormat="1" applyFont="1" applyFill="1" applyBorder="1" applyAlignment="1">
      <alignment horizontal="right" vertical="center" wrapText="1"/>
    </xf>
    <xf numFmtId="3" fontId="2" fillId="8" borderId="3" xfId="0" applyNumberFormat="1" applyFont="1" applyFill="1" applyBorder="1" applyAlignment="1">
      <alignment horizontal="right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/>
    </xf>
    <xf numFmtId="3" fontId="3" fillId="5" borderId="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2" fillId="0" borderId="0" xfId="5" applyFont="1"/>
    <xf numFmtId="0" fontId="2" fillId="0" borderId="0" xfId="5" applyFont="1" applyAlignment="1">
      <alignment horizontal="right"/>
    </xf>
    <xf numFmtId="0" fontId="26" fillId="7" borderId="4" xfId="5" applyFont="1" applyFill="1" applyBorder="1" applyAlignment="1">
      <alignment horizontal="center" vertical="top" wrapText="1"/>
    </xf>
    <xf numFmtId="0" fontId="26" fillId="7" borderId="5" xfId="5" applyFont="1" applyFill="1" applyBorder="1" applyAlignment="1">
      <alignment horizontal="center" vertical="center" wrapText="1"/>
    </xf>
    <xf numFmtId="0" fontId="26" fillId="7" borderId="25" xfId="5" applyFont="1" applyFill="1" applyBorder="1" applyAlignment="1">
      <alignment horizontal="center" vertical="center" wrapText="1"/>
    </xf>
    <xf numFmtId="0" fontId="5" fillId="0" borderId="0" xfId="5" applyFont="1"/>
    <xf numFmtId="0" fontId="2" fillId="0" borderId="9" xfId="5" applyFont="1" applyBorder="1" applyAlignment="1">
      <alignment horizontal="center" vertical="top" wrapText="1"/>
    </xf>
    <xf numFmtId="0" fontId="2" fillId="0" borderId="3" xfId="5" applyFont="1" applyBorder="1" applyAlignment="1">
      <alignment horizontal="left" vertical="top" wrapText="1"/>
    </xf>
    <xf numFmtId="3" fontId="2" fillId="0" borderId="3" xfId="5" applyNumberFormat="1" applyFont="1" applyBorder="1" applyAlignment="1">
      <alignment horizontal="right" vertical="top" wrapText="1"/>
    </xf>
    <xf numFmtId="3" fontId="2" fillId="7" borderId="31" xfId="5" applyNumberFormat="1" applyFont="1" applyFill="1" applyBorder="1" applyAlignment="1">
      <alignment horizontal="right" vertical="top" wrapText="1"/>
    </xf>
    <xf numFmtId="0" fontId="2" fillId="0" borderId="11" xfId="5" applyFont="1" applyBorder="1" applyAlignment="1">
      <alignment horizontal="center" vertical="top" wrapText="1"/>
    </xf>
    <xf numFmtId="0" fontId="2" fillId="0" borderId="1" xfId="5" applyFont="1" applyBorder="1" applyAlignment="1">
      <alignment horizontal="left" vertical="top" wrapText="1"/>
    </xf>
    <xf numFmtId="3" fontId="2" fillId="0" borderId="1" xfId="5" applyNumberFormat="1" applyFont="1" applyBorder="1" applyAlignment="1">
      <alignment horizontal="right" vertical="top" wrapText="1"/>
    </xf>
    <xf numFmtId="3" fontId="2" fillId="7" borderId="32" xfId="5" applyNumberFormat="1" applyFont="1" applyFill="1" applyBorder="1" applyAlignment="1">
      <alignment horizontal="right" vertical="top" wrapText="1"/>
    </xf>
    <xf numFmtId="3" fontId="2" fillId="0" borderId="0" xfId="5" applyNumberFormat="1" applyFont="1"/>
    <xf numFmtId="0" fontId="5" fillId="0" borderId="11" xfId="5" applyFont="1" applyBorder="1" applyAlignment="1">
      <alignment horizontal="center" vertical="top" wrapText="1"/>
    </xf>
    <xf numFmtId="0" fontId="5" fillId="0" borderId="1" xfId="5" applyFont="1" applyBorder="1" applyAlignment="1">
      <alignment horizontal="left" vertical="top" wrapText="1"/>
    </xf>
    <xf numFmtId="3" fontId="5" fillId="0" borderId="1" xfId="5" applyNumberFormat="1" applyFont="1" applyBorder="1" applyAlignment="1">
      <alignment horizontal="right" vertical="top" wrapText="1"/>
    </xf>
    <xf numFmtId="3" fontId="5" fillId="7" borderId="32" xfId="5" applyNumberFormat="1" applyFont="1" applyFill="1" applyBorder="1" applyAlignment="1">
      <alignment horizontal="right" vertical="top" wrapText="1"/>
    </xf>
    <xf numFmtId="3" fontId="15" fillId="0" borderId="0" xfId="5" applyNumberFormat="1" applyFont="1"/>
    <xf numFmtId="3" fontId="2" fillId="0" borderId="1" xfId="5" applyNumberFormat="1" applyFont="1" applyBorder="1" applyAlignment="1">
      <alignment horizontal="right" vertical="center" wrapText="1"/>
    </xf>
    <xf numFmtId="3" fontId="2" fillId="7" borderId="32" xfId="5" applyNumberFormat="1" applyFont="1" applyFill="1" applyBorder="1" applyAlignment="1">
      <alignment horizontal="right" vertical="center" wrapText="1"/>
    </xf>
    <xf numFmtId="0" fontId="5" fillId="0" borderId="13" xfId="5" applyFont="1" applyBorder="1" applyAlignment="1">
      <alignment horizontal="center" vertical="top" wrapText="1"/>
    </xf>
    <xf numFmtId="0" fontId="5" fillId="0" borderId="8" xfId="5" applyFont="1" applyBorder="1" applyAlignment="1">
      <alignment horizontal="left" vertical="top" wrapText="1"/>
    </xf>
    <xf numFmtId="3" fontId="5" fillId="0" borderId="8" xfId="5" applyNumberFormat="1" applyFont="1" applyBorder="1" applyAlignment="1">
      <alignment horizontal="right" vertical="top" wrapText="1"/>
    </xf>
    <xf numFmtId="3" fontId="5" fillId="7" borderId="33" xfId="5" applyNumberFormat="1" applyFont="1" applyFill="1" applyBorder="1" applyAlignment="1">
      <alignment horizontal="right" vertical="top" wrapText="1"/>
    </xf>
    <xf numFmtId="0" fontId="26" fillId="7" borderId="1" xfId="5" applyFont="1" applyFill="1" applyBorder="1" applyAlignment="1">
      <alignment horizontal="center" vertical="top" wrapText="1"/>
    </xf>
    <xf numFmtId="0" fontId="26" fillId="7" borderId="1" xfId="5" applyFont="1" applyFill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0" fontId="2" fillId="0" borderId="1" xfId="5" applyFont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top" wrapText="1"/>
    </xf>
    <xf numFmtId="0" fontId="26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20" fillId="0" borderId="0" xfId="7" applyFont="1" applyAlignment="1">
      <alignment vertical="center"/>
    </xf>
    <xf numFmtId="0" fontId="2" fillId="0" borderId="0" xfId="7" applyFont="1" applyAlignment="1">
      <alignment horizontal="right" vertical="center"/>
    </xf>
    <xf numFmtId="3" fontId="20" fillId="0" borderId="0" xfId="7" applyNumberFormat="1" applyFont="1" applyAlignment="1">
      <alignment vertical="center"/>
    </xf>
    <xf numFmtId="3" fontId="18" fillId="0" borderId="0" xfId="0" applyNumberFormat="1" applyFont="1"/>
    <xf numFmtId="0" fontId="21" fillId="0" borderId="0" xfId="7" applyFont="1" applyAlignment="1">
      <alignment horizontal="right" vertical="center"/>
    </xf>
    <xf numFmtId="0" fontId="2" fillId="0" borderId="13" xfId="7" applyFont="1" applyBorder="1" applyAlignment="1">
      <alignment horizontal="center" vertical="center" wrapText="1"/>
    </xf>
    <xf numFmtId="0" fontId="2" fillId="0" borderId="8" xfId="7" applyFont="1" applyBorder="1" applyAlignment="1">
      <alignment horizontal="center" vertical="center" wrapText="1"/>
    </xf>
    <xf numFmtId="0" fontId="5" fillId="0" borderId="8" xfId="7" applyFont="1" applyBorder="1" applyAlignment="1">
      <alignment horizontal="center" vertical="center" wrapText="1"/>
    </xf>
    <xf numFmtId="0" fontId="5" fillId="0" borderId="14" xfId="7" applyFont="1" applyBorder="1" applyAlignment="1">
      <alignment horizontal="center" vertical="center" wrapText="1"/>
    </xf>
    <xf numFmtId="0" fontId="32" fillId="0" borderId="3" xfId="7" applyFont="1" applyBorder="1" applyAlignment="1">
      <alignment horizontal="left" vertical="center" wrapText="1"/>
    </xf>
    <xf numFmtId="3" fontId="5" fillId="0" borderId="3" xfId="7" applyNumberFormat="1" applyFont="1" applyBorder="1" applyAlignment="1">
      <alignment horizontal="right" vertical="center" wrapText="1"/>
    </xf>
    <xf numFmtId="0" fontId="2" fillId="0" borderId="1" xfId="7" applyFont="1" applyBorder="1" applyAlignment="1">
      <alignment horizontal="left" vertical="center" wrapText="1"/>
    </xf>
    <xf numFmtId="0" fontId="5" fillId="0" borderId="1" xfId="7" applyFont="1" applyBorder="1" applyAlignment="1">
      <alignment horizontal="left" vertical="center" wrapText="1"/>
    </xf>
    <xf numFmtId="3" fontId="5" fillId="0" borderId="1" xfId="7" applyNumberFormat="1" applyFont="1" applyBorder="1" applyAlignment="1">
      <alignment horizontal="right" vertical="center" wrapText="1"/>
    </xf>
    <xf numFmtId="3" fontId="2" fillId="0" borderId="1" xfId="7" applyNumberFormat="1" applyFont="1" applyBorder="1" applyAlignment="1">
      <alignment horizontal="right" vertical="center" wrapText="1"/>
    </xf>
    <xf numFmtId="0" fontId="32" fillId="0" borderId="1" xfId="7" applyFont="1" applyBorder="1" applyAlignment="1">
      <alignment horizontal="left" vertical="center" wrapText="1"/>
    </xf>
    <xf numFmtId="0" fontId="32" fillId="0" borderId="1" xfId="7" applyFont="1" applyBorder="1" applyAlignment="1">
      <alignment vertical="center" wrapText="1"/>
    </xf>
    <xf numFmtId="0" fontId="54" fillId="0" borderId="1" xfId="7" applyFont="1" applyBorder="1" applyAlignment="1">
      <alignment horizontal="left" vertical="center" wrapText="1"/>
    </xf>
    <xf numFmtId="3" fontId="56" fillId="0" borderId="0" xfId="7" applyNumberFormat="1" applyFont="1" applyAlignment="1">
      <alignment vertical="center"/>
    </xf>
    <xf numFmtId="3" fontId="15" fillId="0" borderId="1" xfId="7" applyNumberFormat="1" applyFont="1" applyBorder="1" applyAlignment="1">
      <alignment horizontal="right" vertical="center" wrapText="1"/>
    </xf>
    <xf numFmtId="3" fontId="16" fillId="0" borderId="1" xfId="7" applyNumberFormat="1" applyFont="1" applyBorder="1" applyAlignment="1">
      <alignment horizontal="right" vertical="center" wrapText="1"/>
    </xf>
    <xf numFmtId="0" fontId="55" fillId="0" borderId="1" xfId="7" applyFont="1" applyBorder="1" applyAlignment="1">
      <alignment horizontal="left" vertical="center" wrapText="1"/>
    </xf>
    <xf numFmtId="3" fontId="57" fillId="0" borderId="1" xfId="7" applyNumberFormat="1" applyFont="1" applyBorder="1" applyAlignment="1">
      <alignment horizontal="right" vertical="center" wrapText="1"/>
    </xf>
    <xf numFmtId="3" fontId="5" fillId="0" borderId="1" xfId="7" applyNumberFormat="1" applyFont="1" applyBorder="1" applyAlignment="1">
      <alignment horizontal="right" vertical="top" wrapText="1"/>
    </xf>
    <xf numFmtId="3" fontId="55" fillId="0" borderId="1" xfId="7" applyNumberFormat="1" applyFont="1" applyBorder="1" applyAlignment="1">
      <alignment horizontal="right" vertical="center" wrapText="1"/>
    </xf>
    <xf numFmtId="0" fontId="5" fillId="0" borderId="1" xfId="7" applyFont="1" applyBorder="1" applyAlignment="1">
      <alignment horizontal="justify" vertical="center" wrapText="1"/>
    </xf>
    <xf numFmtId="0" fontId="2" fillId="0" borderId="1" xfId="7" applyFont="1" applyBorder="1" applyAlignment="1">
      <alignment horizontal="justify" vertical="center" wrapText="1"/>
    </xf>
    <xf numFmtId="3" fontId="57" fillId="0" borderId="0" xfId="7" applyNumberFormat="1" applyFont="1" applyAlignment="1">
      <alignment vertical="center" wrapText="1"/>
    </xf>
    <xf numFmtId="0" fontId="13" fillId="0" borderId="1" xfId="7" applyFont="1" applyBorder="1" applyAlignment="1">
      <alignment horizontal="left" vertical="center" wrapText="1"/>
    </xf>
    <xf numFmtId="0" fontId="58" fillId="0" borderId="1" xfId="7" applyFont="1" applyBorder="1" applyAlignment="1">
      <alignment horizontal="left" vertical="center" wrapText="1"/>
    </xf>
    <xf numFmtId="0" fontId="59" fillId="0" borderId="1" xfId="7" applyFont="1" applyBorder="1" applyAlignment="1">
      <alignment horizontal="left" vertical="center" wrapText="1"/>
    </xf>
    <xf numFmtId="3" fontId="5" fillId="4" borderId="1" xfId="7" applyNumberFormat="1" applyFont="1" applyFill="1" applyBorder="1" applyAlignment="1">
      <alignment horizontal="right" vertical="center" wrapText="1"/>
    </xf>
    <xf numFmtId="0" fontId="2" fillId="0" borderId="0" xfId="7" applyFont="1" applyAlignment="1">
      <alignment horizontal="justify" vertical="center"/>
    </xf>
    <xf numFmtId="3" fontId="52" fillId="0" borderId="0" xfId="7" applyNumberFormat="1" applyFont="1" applyAlignment="1">
      <alignment horizontal="right" vertical="center"/>
    </xf>
    <xf numFmtId="0" fontId="55" fillId="0" borderId="0" xfId="7" applyFont="1" applyAlignment="1">
      <alignment vertical="center"/>
    </xf>
    <xf numFmtId="0" fontId="55" fillId="0" borderId="0" xfId="7" applyFont="1" applyAlignment="1">
      <alignment horizontal="right" vertical="center"/>
    </xf>
    <xf numFmtId="0" fontId="5" fillId="0" borderId="6" xfId="7" applyFont="1" applyBorder="1" applyAlignment="1">
      <alignment horizontal="center" vertical="center" wrapText="1"/>
    </xf>
    <xf numFmtId="0" fontId="20" fillId="0" borderId="3" xfId="7" applyFont="1" applyBorder="1" applyAlignment="1">
      <alignment vertical="center"/>
    </xf>
    <xf numFmtId="0" fontId="55" fillId="0" borderId="3" xfId="7" applyFont="1" applyBorder="1" applyAlignment="1">
      <alignment horizontal="left" vertical="center" wrapText="1"/>
    </xf>
    <xf numFmtId="3" fontId="2" fillId="0" borderId="3" xfId="7" applyNumberFormat="1" applyFont="1" applyBorder="1" applyAlignment="1">
      <alignment horizontal="right" vertical="center" wrapText="1"/>
    </xf>
    <xf numFmtId="0" fontId="20" fillId="0" borderId="1" xfId="7" applyFont="1" applyBorder="1" applyAlignment="1">
      <alignment vertical="center"/>
    </xf>
    <xf numFmtId="0" fontId="57" fillId="0" borderId="1" xfId="7" applyFont="1" applyBorder="1" applyAlignment="1">
      <alignment horizontal="left" vertical="center" wrapText="1"/>
    </xf>
    <xf numFmtId="0" fontId="61" fillId="0" borderId="0" xfId="7" applyFont="1" applyAlignment="1">
      <alignment horizontal="left" vertical="center"/>
    </xf>
    <xf numFmtId="0" fontId="60" fillId="0" borderId="0" xfId="7" applyFont="1" applyAlignment="1">
      <alignment horizontal="center" vertical="center"/>
    </xf>
    <xf numFmtId="0" fontId="55" fillId="0" borderId="0" xfId="7" applyFont="1" applyAlignment="1">
      <alignment horizontal="center" vertical="center"/>
    </xf>
    <xf numFmtId="0" fontId="2" fillId="0" borderId="1" xfId="7" applyFont="1" applyBorder="1" applyAlignment="1">
      <alignment horizontal="center" vertical="center"/>
    </xf>
    <xf numFmtId="0" fontId="5" fillId="0" borderId="1" xfId="7" applyFont="1" applyBorder="1" applyAlignment="1">
      <alignment horizontal="left" vertical="center"/>
    </xf>
    <xf numFmtId="3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7" applyFont="1" applyBorder="1" applyAlignment="1">
      <alignment vertical="center"/>
    </xf>
    <xf numFmtId="0" fontId="2" fillId="0" borderId="16" xfId="7" applyFont="1" applyBorder="1" applyAlignment="1">
      <alignment vertical="center"/>
    </xf>
    <xf numFmtId="0" fontId="2" fillId="0" borderId="34" xfId="7" applyFont="1" applyBorder="1" applyAlignment="1">
      <alignment horizontal="center" vertical="center"/>
    </xf>
    <xf numFmtId="0" fontId="2" fillId="0" borderId="0" xfId="7" applyFont="1" applyAlignment="1">
      <alignment horizontal="center" vertical="center"/>
    </xf>
    <xf numFmtId="0" fontId="2" fillId="0" borderId="0" xfId="7" applyFont="1" applyAlignment="1">
      <alignment vertical="center"/>
    </xf>
    <xf numFmtId="3" fontId="2" fillId="0" borderId="0" xfId="3" applyNumberFormat="1" applyFont="1" applyFill="1" applyBorder="1" applyAlignment="1" applyProtection="1">
      <alignment horizontal="center" vertical="center"/>
    </xf>
    <xf numFmtId="0" fontId="2" fillId="0" borderId="0" xfId="7" applyFont="1" applyAlignment="1">
      <alignment horizontal="left" vertical="center"/>
    </xf>
    <xf numFmtId="0" fontId="2" fillId="0" borderId="1" xfId="7" applyFont="1" applyBorder="1" applyAlignment="1">
      <alignment horizontal="left" vertical="center"/>
    </xf>
    <xf numFmtId="0" fontId="2" fillId="0" borderId="1" xfId="7" applyFont="1" applyBorder="1" applyAlignment="1">
      <alignment vertical="center" wrapText="1"/>
    </xf>
    <xf numFmtId="3" fontId="8" fillId="0" borderId="10" xfId="0" applyNumberFormat="1" applyFont="1" applyBorder="1"/>
    <xf numFmtId="0" fontId="7" fillId="0" borderId="11" xfId="0" applyFont="1" applyBorder="1"/>
    <xf numFmtId="3" fontId="7" fillId="0" borderId="12" xfId="0" applyNumberFormat="1" applyFont="1" applyBorder="1"/>
    <xf numFmtId="0" fontId="7" fillId="0" borderId="13" xfId="0" applyFont="1" applyBorder="1"/>
    <xf numFmtId="3" fontId="7" fillId="0" borderId="14" xfId="0" applyNumberFormat="1" applyFont="1" applyBorder="1"/>
    <xf numFmtId="0" fontId="8" fillId="0" borderId="9" xfId="0" applyFont="1" applyBorder="1" applyAlignment="1">
      <alignment horizontal="left" wrapText="1"/>
    </xf>
    <xf numFmtId="3" fontId="0" fillId="0" borderId="12" xfId="0" applyNumberFormat="1" applyBorder="1"/>
    <xf numFmtId="0" fontId="8" fillId="0" borderId="11" xfId="0" applyFont="1" applyBorder="1" applyAlignment="1">
      <alignment wrapText="1"/>
    </xf>
    <xf numFmtId="0" fontId="0" fillId="0" borderId="0" xfId="0" applyAlignment="1">
      <alignment vertical="center"/>
    </xf>
    <xf numFmtId="3" fontId="12" fillId="0" borderId="0" xfId="0" applyNumberFormat="1" applyFont="1" applyAlignment="1">
      <alignment vertical="center"/>
    </xf>
    <xf numFmtId="0" fontId="0" fillId="0" borderId="13" xfId="0" applyBorder="1"/>
    <xf numFmtId="0" fontId="8" fillId="0" borderId="9" xfId="0" applyFont="1" applyBorder="1" applyAlignment="1">
      <alignment vertical="center" wrapText="1"/>
    </xf>
    <xf numFmtId="3" fontId="8" fillId="0" borderId="10" xfId="0" applyNumberFormat="1" applyFont="1" applyBorder="1" applyAlignment="1">
      <alignment vertical="center"/>
    </xf>
    <xf numFmtId="3" fontId="12" fillId="0" borderId="12" xfId="0" applyNumberFormat="1" applyFont="1" applyBorder="1"/>
    <xf numFmtId="0" fontId="12" fillId="0" borderId="11" xfId="0" applyFont="1" applyBorder="1" applyAlignment="1">
      <alignment horizontal="left"/>
    </xf>
    <xf numFmtId="3" fontId="0" fillId="0" borderId="14" xfId="0" applyNumberFormat="1" applyBorder="1"/>
    <xf numFmtId="3" fontId="38" fillId="7" borderId="35" xfId="0" applyNumberFormat="1" applyFont="1" applyFill="1" applyBorder="1" applyAlignment="1">
      <alignment horizontal="center" vertical="center" wrapText="1"/>
    </xf>
    <xf numFmtId="0" fontId="77" fillId="0" borderId="1" xfId="0" applyFont="1" applyBorder="1" applyAlignment="1">
      <alignment wrapText="1"/>
    </xf>
    <xf numFmtId="49" fontId="0" fillId="0" borderId="1" xfId="0" applyNumberFormat="1" applyBorder="1" applyAlignment="1">
      <alignment wrapText="1"/>
    </xf>
    <xf numFmtId="3" fontId="6" fillId="0" borderId="1" xfId="0" applyNumberFormat="1" applyFont="1" applyBorder="1" applyAlignment="1">
      <alignment horizontal="right"/>
    </xf>
    <xf numFmtId="0" fontId="40" fillId="3" borderId="36" xfId="0" applyFont="1" applyFill="1" applyBorder="1" applyAlignment="1">
      <alignment horizontal="center" vertical="center" wrapText="1"/>
    </xf>
    <xf numFmtId="0" fontId="40" fillId="3" borderId="37" xfId="0" applyFont="1" applyFill="1" applyBorder="1" applyAlignment="1">
      <alignment horizontal="center" vertical="center" wrapText="1"/>
    </xf>
    <xf numFmtId="0" fontId="49" fillId="3" borderId="8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wrapText="1"/>
    </xf>
    <xf numFmtId="4" fontId="2" fillId="0" borderId="2" xfId="0" applyNumberFormat="1" applyFont="1" applyBorder="1" applyAlignment="1">
      <alignment horizontal="center"/>
    </xf>
    <xf numFmtId="0" fontId="78" fillId="0" borderId="0" xfId="6" applyFont="1"/>
    <xf numFmtId="0" fontId="78" fillId="6" borderId="0" xfId="6" applyFont="1" applyFill="1"/>
    <xf numFmtId="0" fontId="79" fillId="0" borderId="0" xfId="6" applyFont="1"/>
    <xf numFmtId="0" fontId="79" fillId="0" borderId="0" xfId="6" applyFont="1" applyAlignment="1">
      <alignment wrapText="1"/>
    </xf>
    <xf numFmtId="0" fontId="80" fillId="5" borderId="8" xfId="6" applyFont="1" applyFill="1" applyBorder="1" applyAlignment="1">
      <alignment horizontal="center"/>
    </xf>
    <xf numFmtId="0" fontId="80" fillId="5" borderId="14" xfId="6" applyFont="1" applyFill="1" applyBorder="1" applyAlignment="1">
      <alignment horizontal="center"/>
    </xf>
    <xf numFmtId="0" fontId="81" fillId="0" borderId="3" xfId="6" applyFont="1" applyBorder="1"/>
    <xf numFmtId="3" fontId="82" fillId="0" borderId="3" xfId="6" applyNumberFormat="1" applyFont="1" applyBorder="1" applyAlignment="1">
      <alignment horizontal="right"/>
    </xf>
    <xf numFmtId="3" fontId="77" fillId="0" borderId="0" xfId="6" applyNumberFormat="1" applyFont="1"/>
    <xf numFmtId="3" fontId="82" fillId="0" borderId="1" xfId="6" applyNumberFormat="1" applyFont="1" applyBorder="1" applyAlignment="1">
      <alignment horizontal="right"/>
    </xf>
    <xf numFmtId="0" fontId="81" fillId="0" borderId="7" xfId="6" applyFont="1" applyBorder="1"/>
    <xf numFmtId="3" fontId="82" fillId="0" borderId="2" xfId="6" applyNumberFormat="1" applyFont="1" applyBorder="1" applyAlignment="1">
      <alignment horizontal="right"/>
    </xf>
    <xf numFmtId="0" fontId="83" fillId="7" borderId="1" xfId="6" applyFont="1" applyFill="1" applyBorder="1"/>
    <xf numFmtId="3" fontId="77" fillId="7" borderId="1" xfId="6" applyNumberFormat="1" applyFont="1" applyFill="1" applyBorder="1" applyAlignment="1">
      <alignment horizontal="right"/>
    </xf>
    <xf numFmtId="0" fontId="83" fillId="8" borderId="1" xfId="6" applyFont="1" applyFill="1" applyBorder="1"/>
    <xf numFmtId="3" fontId="77" fillId="8" borderId="1" xfId="6" applyNumberFormat="1" applyFont="1" applyFill="1" applyBorder="1" applyAlignment="1">
      <alignment horizontal="right"/>
    </xf>
    <xf numFmtId="0" fontId="83" fillId="0" borderId="3" xfId="6" applyFont="1" applyBorder="1"/>
    <xf numFmtId="3" fontId="77" fillId="0" borderId="3" xfId="6" applyNumberFormat="1" applyFont="1" applyBorder="1" applyAlignment="1">
      <alignment horizontal="right"/>
    </xf>
    <xf numFmtId="0" fontId="83" fillId="0" borderId="1" xfId="6" applyFont="1" applyBorder="1"/>
    <xf numFmtId="3" fontId="77" fillId="0" borderId="1" xfId="6" applyNumberFormat="1" applyFont="1" applyBorder="1" applyAlignment="1">
      <alignment horizontal="right"/>
    </xf>
    <xf numFmtId="0" fontId="84" fillId="0" borderId="1" xfId="6" applyFont="1" applyBorder="1" applyAlignment="1">
      <alignment wrapText="1"/>
    </xf>
    <xf numFmtId="0" fontId="83" fillId="0" borderId="1" xfId="6" applyFont="1" applyBorder="1" applyAlignment="1">
      <alignment wrapText="1"/>
    </xf>
    <xf numFmtId="0" fontId="83" fillId="0" borderId="1" xfId="6" applyFont="1" applyBorder="1" applyAlignment="1">
      <alignment vertical="center" wrapText="1"/>
    </xf>
    <xf numFmtId="0" fontId="83" fillId="7" borderId="1" xfId="6" applyFont="1" applyFill="1" applyBorder="1" applyAlignment="1">
      <alignment vertical="center" wrapText="1"/>
    </xf>
    <xf numFmtId="3" fontId="80" fillId="7" borderId="1" xfId="6" applyNumberFormat="1" applyFont="1" applyFill="1" applyBorder="1" applyAlignment="1">
      <alignment horizontal="right"/>
    </xf>
    <xf numFmtId="0" fontId="83" fillId="8" borderId="2" xfId="6" applyFont="1" applyFill="1" applyBorder="1" applyAlignment="1">
      <alignment wrapText="1"/>
    </xf>
    <xf numFmtId="3" fontId="77" fillId="8" borderId="2" xfId="6" applyNumberFormat="1" applyFont="1" applyFill="1" applyBorder="1" applyAlignment="1">
      <alignment horizontal="right"/>
    </xf>
    <xf numFmtId="3" fontId="82" fillId="8" borderId="2" xfId="6" applyNumberFormat="1" applyFont="1" applyFill="1" applyBorder="1" applyAlignment="1">
      <alignment horizontal="right"/>
    </xf>
    <xf numFmtId="0" fontId="79" fillId="7" borderId="4" xfId="6" applyFont="1" applyFill="1" applyBorder="1"/>
    <xf numFmtId="3" fontId="83" fillId="7" borderId="5" xfId="6" applyNumberFormat="1" applyFont="1" applyFill="1" applyBorder="1" applyAlignment="1">
      <alignment horizontal="right"/>
    </xf>
    <xf numFmtId="3" fontId="83" fillId="7" borderId="6" xfId="6" applyNumberFormat="1" applyFont="1" applyFill="1" applyBorder="1" applyAlignment="1">
      <alignment horizontal="right"/>
    </xf>
    <xf numFmtId="3" fontId="78" fillId="0" borderId="0" xfId="6" applyNumberFormat="1" applyFont="1"/>
    <xf numFmtId="0" fontId="85" fillId="0" borderId="3" xfId="6" applyFont="1" applyBorder="1" applyAlignment="1">
      <alignment wrapText="1"/>
    </xf>
    <xf numFmtId="3" fontId="77" fillId="0" borderId="38" xfId="6" applyNumberFormat="1" applyFont="1" applyBorder="1"/>
    <xf numFmtId="3" fontId="77" fillId="0" borderId="39" xfId="6" applyNumberFormat="1" applyFont="1" applyBorder="1"/>
    <xf numFmtId="3" fontId="85" fillId="0" borderId="38" xfId="6" applyNumberFormat="1" applyFont="1" applyBorder="1"/>
    <xf numFmtId="3" fontId="85" fillId="0" borderId="39" xfId="6" applyNumberFormat="1" applyFont="1" applyBorder="1"/>
    <xf numFmtId="3" fontId="85" fillId="0" borderId="3" xfId="6" applyNumberFormat="1" applyFont="1" applyBorder="1" applyAlignment="1">
      <alignment horizontal="center"/>
    </xf>
    <xf numFmtId="3" fontId="80" fillId="0" borderId="17" xfId="6" applyNumberFormat="1" applyFont="1" applyBorder="1"/>
    <xf numFmtId="3" fontId="80" fillId="0" borderId="16" xfId="6" applyNumberFormat="1" applyFont="1" applyBorder="1"/>
    <xf numFmtId="3" fontId="83" fillId="0" borderId="1" xfId="6" applyNumberFormat="1" applyFont="1" applyBorder="1" applyAlignment="1">
      <alignment horizontal="center"/>
    </xf>
    <xf numFmtId="3" fontId="83" fillId="0" borderId="17" xfId="6" applyNumberFormat="1" applyFont="1" applyBorder="1"/>
    <xf numFmtId="3" fontId="83" fillId="0" borderId="16" xfId="6" applyNumberFormat="1" applyFont="1" applyBorder="1"/>
    <xf numFmtId="0" fontId="77" fillId="0" borderId="0" xfId="6" applyFont="1"/>
    <xf numFmtId="0" fontId="85" fillId="0" borderId="1" xfId="6" applyFont="1" applyBorder="1"/>
    <xf numFmtId="3" fontId="77" fillId="0" borderId="17" xfId="6" applyNumberFormat="1" applyFont="1" applyBorder="1"/>
    <xf numFmtId="3" fontId="77" fillId="0" borderId="16" xfId="6" applyNumberFormat="1" applyFont="1" applyBorder="1"/>
    <xf numFmtId="3" fontId="85" fillId="0" borderId="1" xfId="6" applyNumberFormat="1" applyFont="1" applyBorder="1" applyAlignment="1">
      <alignment horizontal="center"/>
    </xf>
    <xf numFmtId="3" fontId="85" fillId="0" borderId="17" xfId="6" applyNumberFormat="1" applyFont="1" applyBorder="1"/>
    <xf numFmtId="3" fontId="85" fillId="0" borderId="16" xfId="6" applyNumberFormat="1" applyFont="1" applyBorder="1"/>
    <xf numFmtId="3" fontId="85" fillId="0" borderId="0" xfId="6" applyNumberFormat="1" applyFont="1"/>
    <xf numFmtId="3" fontId="86" fillId="0" borderId="0" xfId="6" applyNumberFormat="1" applyFont="1"/>
    <xf numFmtId="0" fontId="77" fillId="0" borderId="0" xfId="6" applyFont="1" applyAlignment="1">
      <alignment wrapText="1"/>
    </xf>
    <xf numFmtId="3" fontId="80" fillId="0" borderId="0" xfId="6" applyNumberFormat="1" applyFont="1"/>
    <xf numFmtId="0" fontId="80" fillId="0" borderId="0" xfId="6" applyFont="1" applyAlignment="1">
      <alignment wrapText="1"/>
    </xf>
    <xf numFmtId="3" fontId="80" fillId="0" borderId="27" xfId="6" applyNumberFormat="1" applyFont="1" applyBorder="1"/>
    <xf numFmtId="3" fontId="80" fillId="0" borderId="25" xfId="6" applyNumberFormat="1" applyFont="1" applyBorder="1"/>
    <xf numFmtId="3" fontId="80" fillId="0" borderId="24" xfId="6" applyNumberFormat="1" applyFont="1" applyBorder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2" fillId="0" borderId="3" xfId="0" applyNumberFormat="1" applyFont="1" applyBorder="1" applyAlignment="1">
      <alignment horizontal="right"/>
    </xf>
    <xf numFmtId="0" fontId="48" fillId="0" borderId="0" xfId="0" applyFont="1"/>
    <xf numFmtId="3" fontId="19" fillId="0" borderId="0" xfId="0" applyNumberFormat="1" applyFont="1"/>
    <xf numFmtId="3" fontId="4" fillId="0" borderId="2" xfId="0" applyNumberFormat="1" applyFont="1" applyBorder="1"/>
    <xf numFmtId="3" fontId="87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1" xfId="0" applyFont="1" applyBorder="1"/>
    <xf numFmtId="0" fontId="2" fillId="0" borderId="11" xfId="0" applyFont="1" applyBorder="1"/>
    <xf numFmtId="0" fontId="32" fillId="0" borderId="11" xfId="0" applyFont="1" applyBorder="1"/>
    <xf numFmtId="0" fontId="32" fillId="0" borderId="1" xfId="0" applyFont="1" applyBorder="1" applyAlignment="1">
      <alignment horizontal="left" vertical="center" wrapText="1"/>
    </xf>
    <xf numFmtId="0" fontId="32" fillId="0" borderId="0" xfId="0" applyFont="1"/>
    <xf numFmtId="0" fontId="43" fillId="0" borderId="0" xfId="0" applyFont="1"/>
    <xf numFmtId="0" fontId="2" fillId="0" borderId="40" xfId="0" applyFont="1" applyBorder="1"/>
    <xf numFmtId="0" fontId="2" fillId="5" borderId="27" xfId="0" applyFont="1" applyFill="1" applyBorder="1"/>
    <xf numFmtId="3" fontId="9" fillId="5" borderId="5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13" fillId="0" borderId="1" xfId="0" applyFont="1" applyBorder="1"/>
    <xf numFmtId="0" fontId="9" fillId="5" borderId="4" xfId="0" applyFont="1" applyFill="1" applyBorder="1" applyAlignment="1">
      <alignment horizontal="center" vertical="center"/>
    </xf>
    <xf numFmtId="3" fontId="3" fillId="0" borderId="10" xfId="0" applyNumberFormat="1" applyFont="1" applyBorder="1" applyAlignment="1">
      <alignment vertical="center"/>
    </xf>
    <xf numFmtId="3" fontId="4" fillId="0" borderId="12" xfId="0" applyNumberFormat="1" applyFont="1" applyBorder="1"/>
    <xf numFmtId="3" fontId="2" fillId="0" borderId="12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32" fillId="0" borderId="12" xfId="0" applyNumberFormat="1" applyFont="1" applyBorder="1" applyAlignment="1">
      <alignment horizontal="right"/>
    </xf>
    <xf numFmtId="3" fontId="3" fillId="0" borderId="10" xfId="0" applyNumberFormat="1" applyFont="1" applyBorder="1"/>
    <xf numFmtId="3" fontId="13" fillId="0" borderId="12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2" fillId="0" borderId="7" xfId="0" applyNumberFormat="1" applyFont="1" applyBorder="1"/>
    <xf numFmtId="3" fontId="2" fillId="0" borderId="18" xfId="0" applyNumberFormat="1" applyFont="1" applyBorder="1"/>
    <xf numFmtId="3" fontId="9" fillId="5" borderId="41" xfId="0" applyNumberFormat="1" applyFont="1" applyFill="1" applyBorder="1"/>
    <xf numFmtId="3" fontId="2" fillId="9" borderId="1" xfId="0" applyNumberFormat="1" applyFont="1" applyFill="1" applyBorder="1"/>
    <xf numFmtId="0" fontId="25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3" fontId="9" fillId="5" borderId="41" xfId="0" applyNumberFormat="1" applyFont="1" applyFill="1" applyBorder="1" applyAlignment="1">
      <alignment vertical="center"/>
    </xf>
    <xf numFmtId="3" fontId="25" fillId="0" borderId="1" xfId="0" applyNumberFormat="1" applyFont="1" applyBorder="1" applyAlignment="1">
      <alignment horizontal="right"/>
    </xf>
    <xf numFmtId="3" fontId="25" fillId="0" borderId="2" xfId="0" applyNumberFormat="1" applyFont="1" applyBorder="1" applyAlignment="1">
      <alignment horizontal="right"/>
    </xf>
    <xf numFmtId="0" fontId="12" fillId="6" borderId="0" xfId="0" applyFont="1" applyFill="1"/>
    <xf numFmtId="0" fontId="12" fillId="0" borderId="1" xfId="0" applyFont="1" applyBorder="1"/>
    <xf numFmtId="0" fontId="12" fillId="9" borderId="19" xfId="0" applyFont="1" applyFill="1" applyBorder="1"/>
    <xf numFmtId="0" fontId="75" fillId="6" borderId="0" xfId="0" applyFont="1" applyFill="1" applyAlignment="1">
      <alignment horizontal="center"/>
    </xf>
    <xf numFmtId="3" fontId="24" fillId="9" borderId="24" xfId="0" applyNumberFormat="1" applyFont="1" applyFill="1" applyBorder="1"/>
    <xf numFmtId="3" fontId="2" fillId="9" borderId="1" xfId="0" applyNumberFormat="1" applyFont="1" applyFill="1" applyBorder="1" applyAlignment="1">
      <alignment horizontal="right" vertical="center"/>
    </xf>
    <xf numFmtId="3" fontId="2" fillId="9" borderId="25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87" fillId="9" borderId="1" xfId="0" applyNumberFormat="1" applyFont="1" applyFill="1" applyBorder="1" applyAlignment="1">
      <alignment horizontal="right"/>
    </xf>
    <xf numFmtId="3" fontId="2" fillId="10" borderId="0" xfId="0" applyNumberFormat="1" applyFont="1" applyFill="1"/>
    <xf numFmtId="0" fontId="2" fillId="10" borderId="1" xfId="0" applyFont="1" applyFill="1" applyBorder="1"/>
    <xf numFmtId="0" fontId="22" fillId="6" borderId="0" xfId="0" applyFont="1" applyFill="1"/>
    <xf numFmtId="3" fontId="7" fillId="0" borderId="1" xfId="0" applyNumberFormat="1" applyFont="1" applyBorder="1" applyAlignment="1">
      <alignment horizontal="center"/>
    </xf>
    <xf numFmtId="0" fontId="25" fillId="8" borderId="1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/>
    <xf numFmtId="3" fontId="17" fillId="0" borderId="0" xfId="0" applyNumberFormat="1" applyFont="1"/>
    <xf numFmtId="0" fontId="3" fillId="0" borderId="0" xfId="0" applyFont="1" applyAlignment="1">
      <alignment vertical="center"/>
    </xf>
    <xf numFmtId="0" fontId="21" fillId="0" borderId="0" xfId="0" applyFont="1"/>
    <xf numFmtId="3" fontId="21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3" fontId="32" fillId="0" borderId="5" xfId="0" applyNumberFormat="1" applyFont="1" applyBorder="1" applyAlignment="1">
      <alignment horizontal="right"/>
    </xf>
    <xf numFmtId="0" fontId="4" fillId="11" borderId="1" xfId="0" applyFont="1" applyFill="1" applyBorder="1"/>
    <xf numFmtId="3" fontId="3" fillId="11" borderId="1" xfId="0" applyNumberFormat="1" applyFont="1" applyFill="1" applyBorder="1"/>
    <xf numFmtId="3" fontId="4" fillId="11" borderId="1" xfId="0" applyNumberFormat="1" applyFont="1" applyFill="1" applyBorder="1" applyAlignment="1">
      <alignment horizontal="right"/>
    </xf>
    <xf numFmtId="3" fontId="88" fillId="0" borderId="0" xfId="0" applyNumberFormat="1" applyFont="1"/>
    <xf numFmtId="3" fontId="2" fillId="0" borderId="0" xfId="0" applyNumberFormat="1" applyFont="1" applyAlignment="1">
      <alignment horizontal="center" vertical="center" wrapText="1"/>
    </xf>
    <xf numFmtId="3" fontId="7" fillId="0" borderId="0" xfId="0" applyNumberFormat="1" applyFont="1"/>
    <xf numFmtId="3" fontId="89" fillId="0" borderId="0" xfId="0" applyNumberFormat="1" applyFont="1"/>
    <xf numFmtId="3" fontId="9" fillId="5" borderId="41" xfId="0" applyNumberFormat="1" applyFont="1" applyFill="1" applyBorder="1" applyAlignment="1">
      <alignment horizontal="right"/>
    </xf>
    <xf numFmtId="3" fontId="38" fillId="3" borderId="1" xfId="0" applyNumberFormat="1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3" fontId="72" fillId="0" borderId="0" xfId="0" applyNumberFormat="1" applyFont="1"/>
    <xf numFmtId="3" fontId="90" fillId="0" borderId="0" xfId="0" applyNumberFormat="1" applyFont="1" applyAlignment="1">
      <alignment horizontal="center"/>
    </xf>
    <xf numFmtId="3" fontId="72" fillId="0" borderId="0" xfId="1" applyNumberFormat="1" applyFont="1" applyFill="1"/>
    <xf numFmtId="3" fontId="2" fillId="0" borderId="2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" fontId="38" fillId="0" borderId="0" xfId="0" applyNumberFormat="1" applyFont="1" applyAlignment="1">
      <alignment horizontal="center" vertical="center" wrapText="1"/>
    </xf>
    <xf numFmtId="1" fontId="38" fillId="7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 vertical="center"/>
    </xf>
    <xf numFmtId="3" fontId="5" fillId="0" borderId="42" xfId="0" applyNumberFormat="1" applyFont="1" applyBorder="1" applyAlignment="1">
      <alignment vertical="center"/>
    </xf>
    <xf numFmtId="3" fontId="5" fillId="0" borderId="7" xfId="2" applyNumberFormat="1" applyFont="1" applyFill="1" applyBorder="1" applyAlignment="1">
      <alignment horizontal="right" vertical="center"/>
    </xf>
    <xf numFmtId="3" fontId="2" fillId="0" borderId="7" xfId="2" applyNumberFormat="1" applyFont="1" applyFill="1" applyBorder="1" applyAlignment="1">
      <alignment horizontal="right" vertical="center"/>
    </xf>
    <xf numFmtId="3" fontId="2" fillId="8" borderId="7" xfId="0" applyNumberFormat="1" applyFont="1" applyFill="1" applyBorder="1" applyAlignment="1">
      <alignment horizontal="right" vertical="center" wrapText="1"/>
    </xf>
    <xf numFmtId="3" fontId="3" fillId="7" borderId="6" xfId="0" applyNumberFormat="1" applyFont="1" applyFill="1" applyBorder="1" applyAlignment="1">
      <alignment horizontal="right" vertical="center" wrapText="1"/>
    </xf>
    <xf numFmtId="3" fontId="63" fillId="0" borderId="0" xfId="0" applyNumberFormat="1" applyFont="1" applyAlignment="1">
      <alignment vertical="center"/>
    </xf>
    <xf numFmtId="3" fontId="87" fillId="0" borderId="0" xfId="0" applyNumberFormat="1" applyFont="1"/>
    <xf numFmtId="0" fontId="2" fillId="0" borderId="43" xfId="0" applyFont="1" applyBorder="1"/>
    <xf numFmtId="3" fontId="2" fillId="0" borderId="12" xfId="0" applyNumberFormat="1" applyFont="1" applyBorder="1" applyAlignment="1">
      <alignment horizontal="right" vertical="center"/>
    </xf>
    <xf numFmtId="0" fontId="2" fillId="0" borderId="9" xfId="0" applyFont="1" applyBorder="1"/>
    <xf numFmtId="0" fontId="5" fillId="0" borderId="11" xfId="0" applyFont="1" applyBorder="1" applyAlignment="1">
      <alignment wrapText="1"/>
    </xf>
    <xf numFmtId="3" fontId="22" fillId="6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3" fontId="22" fillId="2" borderId="0" xfId="0" applyNumberFormat="1" applyFont="1" applyFill="1" applyAlignment="1">
      <alignment horizontal="right"/>
    </xf>
    <xf numFmtId="0" fontId="2" fillId="0" borderId="16" xfId="0" applyFont="1" applyBorder="1"/>
    <xf numFmtId="0" fontId="22" fillId="6" borderId="0" xfId="0" applyFont="1" applyFill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vertical="center"/>
    </xf>
    <xf numFmtId="3" fontId="2" fillId="0" borderId="40" xfId="0" applyNumberFormat="1" applyFont="1" applyBorder="1" applyAlignment="1">
      <alignment horizontal="left" vertical="center" wrapText="1"/>
    </xf>
    <xf numFmtId="3" fontId="17" fillId="8" borderId="4" xfId="0" applyNumberFormat="1" applyFont="1" applyFill="1" applyBorder="1" applyAlignment="1">
      <alignment horizontal="left" vertical="center" wrapText="1"/>
    </xf>
    <xf numFmtId="0" fontId="22" fillId="0" borderId="16" xfId="0" applyFont="1" applyBorder="1"/>
    <xf numFmtId="0" fontId="22" fillId="0" borderId="16" xfId="0" applyFont="1" applyBorder="1" applyAlignment="1">
      <alignment wrapText="1"/>
    </xf>
    <xf numFmtId="3" fontId="12" fillId="10" borderId="0" xfId="0" applyNumberFormat="1" applyFont="1" applyFill="1"/>
    <xf numFmtId="0" fontId="5" fillId="9" borderId="1" xfId="0" applyFont="1" applyFill="1" applyBorder="1"/>
    <xf numFmtId="0" fontId="15" fillId="0" borderId="1" xfId="0" applyFont="1" applyBorder="1" applyAlignment="1">
      <alignment wrapText="1"/>
    </xf>
    <xf numFmtId="0" fontId="0" fillId="12" borderId="0" xfId="0" applyFill="1"/>
    <xf numFmtId="3" fontId="24" fillId="12" borderId="0" xfId="0" applyNumberFormat="1" applyFont="1" applyFill="1"/>
    <xf numFmtId="0" fontId="12" fillId="12" borderId="0" xfId="0" applyFont="1" applyFill="1"/>
    <xf numFmtId="3" fontId="48" fillId="12" borderId="0" xfId="0" applyNumberFormat="1" applyFont="1" applyFill="1"/>
    <xf numFmtId="3" fontId="12" fillId="12" borderId="0" xfId="0" applyNumberFormat="1" applyFont="1" applyFill="1"/>
    <xf numFmtId="3" fontId="0" fillId="12" borderId="0" xfId="0" applyNumberFormat="1" applyFill="1"/>
    <xf numFmtId="3" fontId="31" fillId="0" borderId="0" xfId="0" applyNumberFormat="1" applyFont="1" applyAlignment="1">
      <alignment wrapText="1"/>
    </xf>
    <xf numFmtId="0" fontId="31" fillId="0" borderId="0" xfId="0" applyFont="1"/>
    <xf numFmtId="3" fontId="45" fillId="0" borderId="0" xfId="0" applyNumberFormat="1" applyFont="1"/>
    <xf numFmtId="4" fontId="12" fillId="0" borderId="0" xfId="0" applyNumberFormat="1" applyFont="1"/>
    <xf numFmtId="0" fontId="91" fillId="0" borderId="0" xfId="0" applyFont="1"/>
    <xf numFmtId="3" fontId="31" fillId="0" borderId="0" xfId="0" applyNumberFormat="1" applyFont="1" applyAlignment="1">
      <alignment horizontal="right"/>
    </xf>
    <xf numFmtId="3" fontId="2" fillId="0" borderId="0" xfId="0" applyNumberFormat="1" applyFont="1" applyAlignment="1">
      <alignment wrapText="1"/>
    </xf>
    <xf numFmtId="0" fontId="65" fillId="6" borderId="0" xfId="12" applyFill="1"/>
    <xf numFmtId="0" fontId="52" fillId="6" borderId="0" xfId="12" applyFont="1" applyFill="1"/>
    <xf numFmtId="3" fontId="65" fillId="0" borderId="0" xfId="12" applyNumberFormat="1"/>
    <xf numFmtId="0" fontId="65" fillId="0" borderId="0" xfId="12"/>
    <xf numFmtId="0" fontId="20" fillId="6" borderId="0" xfId="12" applyFont="1" applyFill="1" applyAlignment="1">
      <alignment horizontal="right"/>
    </xf>
    <xf numFmtId="0" fontId="66" fillId="8" borderId="44" xfId="12" applyFont="1" applyFill="1" applyBorder="1" applyAlignment="1">
      <alignment horizontal="center" vertical="center" wrapText="1"/>
    </xf>
    <xf numFmtId="0" fontId="66" fillId="8" borderId="37" xfId="12" applyFont="1" applyFill="1" applyBorder="1" applyAlignment="1">
      <alignment horizontal="center" vertical="center" wrapText="1"/>
    </xf>
    <xf numFmtId="0" fontId="66" fillId="8" borderId="45" xfId="12" applyFont="1" applyFill="1" applyBorder="1" applyAlignment="1">
      <alignment horizontal="center" vertical="center" wrapText="1"/>
    </xf>
    <xf numFmtId="0" fontId="66" fillId="8" borderId="25" xfId="12" applyFont="1" applyFill="1" applyBorder="1" applyAlignment="1">
      <alignment horizontal="center" vertical="center" wrapText="1"/>
    </xf>
    <xf numFmtId="0" fontId="65" fillId="0" borderId="0" xfId="12" applyAlignment="1">
      <alignment horizontal="center" vertical="center"/>
    </xf>
    <xf numFmtId="3" fontId="67" fillId="0" borderId="0" xfId="12" applyNumberFormat="1" applyFont="1" applyAlignment="1">
      <alignment horizontal="center" vertical="center" wrapText="1"/>
    </xf>
    <xf numFmtId="0" fontId="52" fillId="8" borderId="46" xfId="12" applyFont="1" applyFill="1" applyBorder="1"/>
    <xf numFmtId="3" fontId="65" fillId="0" borderId="31" xfId="12" applyNumberFormat="1" applyBorder="1"/>
    <xf numFmtId="3" fontId="20" fillId="0" borderId="16" xfId="12" applyNumberFormat="1" applyFont="1" applyBorder="1"/>
    <xf numFmtId="3" fontId="20" fillId="0" borderId="3" xfId="12" applyNumberFormat="1" applyFont="1" applyBorder="1"/>
    <xf numFmtId="3" fontId="65" fillId="0" borderId="3" xfId="12" applyNumberFormat="1" applyBorder="1"/>
    <xf numFmtId="3" fontId="65" fillId="0" borderId="47" xfId="12" applyNumberFormat="1" applyBorder="1"/>
    <xf numFmtId="3" fontId="52" fillId="0" borderId="31" xfId="12" applyNumberFormat="1" applyFont="1" applyBorder="1"/>
    <xf numFmtId="3" fontId="65" fillId="0" borderId="28" xfId="12" applyNumberFormat="1" applyBorder="1"/>
    <xf numFmtId="3" fontId="65" fillId="0" borderId="48" xfId="12" applyNumberFormat="1" applyBorder="1"/>
    <xf numFmtId="3" fontId="52" fillId="8" borderId="31" xfId="12" applyNumberFormat="1" applyFont="1" applyFill="1" applyBorder="1"/>
    <xf numFmtId="3" fontId="21" fillId="0" borderId="0" xfId="12" applyNumberFormat="1" applyFont="1"/>
    <xf numFmtId="3" fontId="65" fillId="8" borderId="49" xfId="12" applyNumberFormat="1" applyFill="1" applyBorder="1"/>
    <xf numFmtId="1" fontId="20" fillId="0" borderId="0" xfId="12" applyNumberFormat="1" applyFont="1"/>
    <xf numFmtId="0" fontId="52" fillId="8" borderId="43" xfId="12" applyFont="1" applyFill="1" applyBorder="1"/>
    <xf numFmtId="0" fontId="52" fillId="0" borderId="32" xfId="12" applyFont="1" applyBorder="1"/>
    <xf numFmtId="3" fontId="65" fillId="0" borderId="1" xfId="12" applyNumberFormat="1" applyBorder="1"/>
    <xf numFmtId="3" fontId="21" fillId="0" borderId="32" xfId="12" applyNumberFormat="1" applyFont="1" applyBorder="1"/>
    <xf numFmtId="3" fontId="65" fillId="8" borderId="32" xfId="12" applyNumberFormat="1" applyFill="1" applyBorder="1"/>
    <xf numFmtId="6" fontId="65" fillId="0" borderId="0" xfId="12" applyNumberFormat="1"/>
    <xf numFmtId="0" fontId="68" fillId="0" borderId="0" xfId="12" applyFont="1"/>
    <xf numFmtId="3" fontId="20" fillId="0" borderId="1" xfId="12" applyNumberFormat="1" applyFont="1" applyBorder="1"/>
    <xf numFmtId="3" fontId="52" fillId="0" borderId="32" xfId="12" applyNumberFormat="1" applyFont="1" applyBorder="1"/>
    <xf numFmtId="3" fontId="65" fillId="0" borderId="16" xfId="12" applyNumberFormat="1" applyBorder="1"/>
    <xf numFmtId="3" fontId="52" fillId="8" borderId="32" xfId="12" applyNumberFormat="1" applyFont="1" applyFill="1" applyBorder="1"/>
    <xf numFmtId="0" fontId="52" fillId="8" borderId="17" xfId="12" applyFont="1" applyFill="1" applyBorder="1"/>
    <xf numFmtId="3" fontId="65" fillId="0" borderId="32" xfId="12" applyNumberFormat="1" applyBorder="1"/>
    <xf numFmtId="3" fontId="65" fillId="0" borderId="17" xfId="12" applyNumberFormat="1" applyBorder="1"/>
    <xf numFmtId="0" fontId="52" fillId="8" borderId="32" xfId="12" applyFont="1" applyFill="1" applyBorder="1"/>
    <xf numFmtId="0" fontId="52" fillId="8" borderId="50" xfId="12" applyFont="1" applyFill="1" applyBorder="1"/>
    <xf numFmtId="3" fontId="52" fillId="8" borderId="51" xfId="12" applyNumberFormat="1" applyFont="1" applyFill="1" applyBorder="1"/>
    <xf numFmtId="3" fontId="52" fillId="8" borderId="44" xfId="12" applyNumberFormat="1" applyFont="1" applyFill="1" applyBorder="1"/>
    <xf numFmtId="3" fontId="52" fillId="8" borderId="37" xfId="12" applyNumberFormat="1" applyFont="1" applyFill="1" applyBorder="1"/>
    <xf numFmtId="3" fontId="52" fillId="8" borderId="52" xfId="12" applyNumberFormat="1" applyFont="1" applyFill="1" applyBorder="1"/>
    <xf numFmtId="0" fontId="52" fillId="8" borderId="51" xfId="12" applyFont="1" applyFill="1" applyBorder="1"/>
    <xf numFmtId="3" fontId="52" fillId="8" borderId="45" xfId="12" applyNumberFormat="1" applyFont="1" applyFill="1" applyBorder="1"/>
    <xf numFmtId="3" fontId="67" fillId="8" borderId="51" xfId="12" applyNumberFormat="1" applyFont="1" applyFill="1" applyBorder="1"/>
    <xf numFmtId="3" fontId="52" fillId="8" borderId="33" xfId="12" applyNumberFormat="1" applyFont="1" applyFill="1" applyBorder="1"/>
    <xf numFmtId="3" fontId="20" fillId="0" borderId="0" xfId="12" applyNumberFormat="1" applyFont="1"/>
    <xf numFmtId="0" fontId="52" fillId="0" borderId="0" xfId="12" applyFont="1"/>
    <xf numFmtId="3" fontId="21" fillId="6" borderId="0" xfId="12" applyNumberFormat="1" applyFont="1" applyFill="1"/>
    <xf numFmtId="3" fontId="52" fillId="0" borderId="0" xfId="12" applyNumberFormat="1" applyFont="1"/>
    <xf numFmtId="3" fontId="67" fillId="0" borderId="0" xfId="12" applyNumberFormat="1" applyFont="1"/>
    <xf numFmtId="1" fontId="65" fillId="0" borderId="0" xfId="12" applyNumberFormat="1"/>
    <xf numFmtId="0" fontId="66" fillId="8" borderId="4" xfId="12" applyFont="1" applyFill="1" applyBorder="1" applyAlignment="1">
      <alignment horizontal="center" vertical="center" wrapText="1"/>
    </xf>
    <xf numFmtId="0" fontId="66" fillId="8" borderId="5" xfId="12" applyFont="1" applyFill="1" applyBorder="1" applyAlignment="1">
      <alignment horizontal="center" vertical="center" wrapText="1"/>
    </xf>
    <xf numFmtId="0" fontId="69" fillId="8" borderId="24" xfId="12" applyFont="1" applyFill="1" applyBorder="1" applyAlignment="1">
      <alignment horizontal="center" vertical="center" wrapText="1"/>
    </xf>
    <xf numFmtId="3" fontId="20" fillId="0" borderId="10" xfId="12" applyNumberFormat="1" applyFont="1" applyBorder="1"/>
    <xf numFmtId="3" fontId="21" fillId="0" borderId="10" xfId="12" applyNumberFormat="1" applyFont="1" applyBorder="1"/>
    <xf numFmtId="0" fontId="52" fillId="8" borderId="31" xfId="12" applyFont="1" applyFill="1" applyBorder="1"/>
    <xf numFmtId="3" fontId="20" fillId="0" borderId="9" xfId="12" applyNumberFormat="1" applyFont="1" applyBorder="1"/>
    <xf numFmtId="3" fontId="70" fillId="0" borderId="53" xfId="12" applyNumberFormat="1" applyFont="1" applyBorder="1"/>
    <xf numFmtId="3" fontId="70" fillId="0" borderId="3" xfId="12" applyNumberFormat="1" applyFont="1" applyBorder="1"/>
    <xf numFmtId="3" fontId="65" fillId="0" borderId="10" xfId="12" applyNumberFormat="1" applyBorder="1"/>
    <xf numFmtId="3" fontId="20" fillId="0" borderId="11" xfId="12" applyNumberFormat="1" applyFont="1" applyBorder="1"/>
    <xf numFmtId="3" fontId="70" fillId="0" borderId="26" xfId="12" applyNumberFormat="1" applyFont="1" applyBorder="1"/>
    <xf numFmtId="3" fontId="70" fillId="0" borderId="1" xfId="12" applyNumberFormat="1" applyFont="1" applyBorder="1"/>
    <xf numFmtId="3" fontId="65" fillId="0" borderId="12" xfId="12" applyNumberFormat="1" applyBorder="1"/>
    <xf numFmtId="3" fontId="20" fillId="0" borderId="12" xfId="12" applyNumberFormat="1" applyFont="1" applyBorder="1"/>
    <xf numFmtId="3" fontId="21" fillId="0" borderId="12" xfId="12" applyNumberFormat="1" applyFont="1" applyBorder="1"/>
    <xf numFmtId="3" fontId="52" fillId="8" borderId="54" xfId="12" applyNumberFormat="1" applyFont="1" applyFill="1" applyBorder="1"/>
    <xf numFmtId="3" fontId="67" fillId="8" borderId="54" xfId="12" applyNumberFormat="1" applyFont="1" applyFill="1" applyBorder="1"/>
    <xf numFmtId="3" fontId="52" fillId="8" borderId="55" xfId="12" applyNumberFormat="1" applyFont="1" applyFill="1" applyBorder="1"/>
    <xf numFmtId="3" fontId="56" fillId="8" borderId="56" xfId="12" applyNumberFormat="1" applyFont="1" applyFill="1" applyBorder="1"/>
    <xf numFmtId="3" fontId="56" fillId="8" borderId="52" xfId="12" applyNumberFormat="1" applyFont="1" applyFill="1" applyBorder="1"/>
    <xf numFmtId="3" fontId="52" fillId="8" borderId="14" xfId="12" applyNumberFormat="1" applyFont="1" applyFill="1" applyBorder="1"/>
    <xf numFmtId="3" fontId="68" fillId="0" borderId="0" xfId="12" applyNumberFormat="1" applyFont="1"/>
    <xf numFmtId="0" fontId="52" fillId="9" borderId="0" xfId="12" applyFont="1" applyFill="1" applyAlignment="1">
      <alignment wrapText="1"/>
    </xf>
    <xf numFmtId="0" fontId="65" fillId="9" borderId="0" xfId="12" applyFill="1"/>
    <xf numFmtId="3" fontId="52" fillId="9" borderId="0" xfId="12" applyNumberFormat="1" applyFont="1" applyFill="1"/>
    <xf numFmtId="0" fontId="52" fillId="9" borderId="46" xfId="12" applyFont="1" applyFill="1" applyBorder="1"/>
    <xf numFmtId="3" fontId="65" fillId="9" borderId="31" xfId="12" applyNumberFormat="1" applyFill="1" applyBorder="1"/>
    <xf numFmtId="3" fontId="20" fillId="9" borderId="16" xfId="12" applyNumberFormat="1" applyFont="1" applyFill="1" applyBorder="1"/>
    <xf numFmtId="3" fontId="20" fillId="9" borderId="3" xfId="12" applyNumberFormat="1" applyFont="1" applyFill="1" applyBorder="1"/>
    <xf numFmtId="3" fontId="65" fillId="9" borderId="3" xfId="12" applyNumberFormat="1" applyFill="1" applyBorder="1"/>
    <xf numFmtId="3" fontId="65" fillId="9" borderId="47" xfId="12" applyNumberFormat="1" applyFill="1" applyBorder="1"/>
    <xf numFmtId="3" fontId="52" fillId="9" borderId="31" xfId="12" applyNumberFormat="1" applyFont="1" applyFill="1" applyBorder="1"/>
    <xf numFmtId="0" fontId="52" fillId="9" borderId="49" xfId="12" applyFont="1" applyFill="1" applyBorder="1"/>
    <xf numFmtId="3" fontId="65" fillId="9" borderId="28" xfId="12" applyNumberFormat="1" applyFill="1" applyBorder="1"/>
    <xf numFmtId="3" fontId="65" fillId="9" borderId="48" xfId="12" applyNumberFormat="1" applyFill="1" applyBorder="1"/>
    <xf numFmtId="3" fontId="21" fillId="9" borderId="49" xfId="12" applyNumberFormat="1" applyFont="1" applyFill="1" applyBorder="1"/>
    <xf numFmtId="0" fontId="52" fillId="0" borderId="1" xfId="0" applyFont="1" applyBorder="1"/>
    <xf numFmtId="0" fontId="20" fillId="0" borderId="1" xfId="0" applyFont="1" applyBorder="1" applyAlignment="1">
      <alignment wrapText="1"/>
    </xf>
    <xf numFmtId="3" fontId="5" fillId="8" borderId="3" xfId="0" applyNumberFormat="1" applyFont="1" applyFill="1" applyBorder="1"/>
    <xf numFmtId="3" fontId="2" fillId="8" borderId="1" xfId="0" applyNumberFormat="1" applyFont="1" applyFill="1" applyBorder="1"/>
    <xf numFmtId="0" fontId="0" fillId="12" borderId="0" xfId="0" applyFill="1" applyAlignment="1">
      <alignment wrapText="1"/>
    </xf>
    <xf numFmtId="0" fontId="2" fillId="0" borderId="2" xfId="0" applyFont="1" applyBorder="1" applyAlignment="1">
      <alignment wrapText="1"/>
    </xf>
    <xf numFmtId="3" fontId="52" fillId="0" borderId="1" xfId="0" applyNumberFormat="1" applyFont="1" applyBorder="1"/>
    <xf numFmtId="0" fontId="92" fillId="0" borderId="1" xfId="0" applyFont="1" applyBorder="1" applyAlignment="1">
      <alignment wrapText="1"/>
    </xf>
    <xf numFmtId="3" fontId="15" fillId="12" borderId="0" xfId="0" applyNumberFormat="1" applyFont="1" applyFill="1"/>
    <xf numFmtId="3" fontId="2" fillId="0" borderId="2" xfId="0" applyNumberFormat="1" applyFont="1" applyBorder="1" applyAlignment="1">
      <alignment horizontal="center" wrapText="1"/>
    </xf>
    <xf numFmtId="0" fontId="1" fillId="6" borderId="0" xfId="14" applyFill="1"/>
    <xf numFmtId="0" fontId="1" fillId="0" borderId="0" xfId="14"/>
    <xf numFmtId="3" fontId="2" fillId="6" borderId="0" xfId="14" applyNumberFormat="1" applyFont="1" applyFill="1" applyAlignment="1">
      <alignment horizontal="right"/>
    </xf>
    <xf numFmtId="0" fontId="2" fillId="13" borderId="0" xfId="14" applyFont="1" applyFill="1"/>
    <xf numFmtId="0" fontId="2" fillId="6" borderId="0" xfId="14" applyFont="1" applyFill="1"/>
    <xf numFmtId="0" fontId="1" fillId="14" borderId="1" xfId="14" applyFill="1" applyBorder="1"/>
    <xf numFmtId="0" fontId="5" fillId="14" borderId="1" xfId="14" applyFont="1" applyFill="1" applyBorder="1" applyAlignment="1">
      <alignment horizontal="center" vertical="center" wrapText="1"/>
    </xf>
    <xf numFmtId="0" fontId="95" fillId="0" borderId="1" xfId="14" applyFont="1" applyBorder="1"/>
    <xf numFmtId="0" fontId="5" fillId="0" borderId="1" xfId="14" applyFont="1" applyBorder="1" applyAlignment="1">
      <alignment horizontal="center" vertical="center" wrapText="1"/>
    </xf>
    <xf numFmtId="3" fontId="5" fillId="0" borderId="1" xfId="14" applyNumberFormat="1" applyFont="1" applyBorder="1" applyAlignment="1">
      <alignment vertical="center" wrapText="1"/>
    </xf>
    <xf numFmtId="0" fontId="5" fillId="0" borderId="1" xfId="14" applyFont="1" applyBorder="1" applyAlignment="1">
      <alignment horizontal="left" vertical="center"/>
    </xf>
    <xf numFmtId="3" fontId="5" fillId="0" borderId="1" xfId="14" applyNumberFormat="1" applyFont="1" applyBorder="1" applyAlignment="1">
      <alignment vertical="center"/>
    </xf>
    <xf numFmtId="0" fontId="5" fillId="0" borderId="1" xfId="14" applyFont="1" applyBorder="1" applyAlignment="1">
      <alignment vertical="center"/>
    </xf>
    <xf numFmtId="0" fontId="2" fillId="0" borderId="1" xfId="14" applyFont="1" applyBorder="1" applyAlignment="1">
      <alignment horizontal="left" vertical="center" indent="1"/>
    </xf>
    <xf numFmtId="3" fontId="2" fillId="0" borderId="1" xfId="14" applyNumberFormat="1" applyFont="1" applyBorder="1" applyAlignment="1">
      <alignment vertical="center"/>
    </xf>
    <xf numFmtId="49" fontId="95" fillId="0" borderId="1" xfId="14" applyNumberFormat="1" applyFont="1" applyBorder="1"/>
    <xf numFmtId="0" fontId="2" fillId="0" borderId="1" xfId="14" applyFont="1" applyBorder="1" applyAlignment="1">
      <alignment horizontal="left" vertical="center" wrapText="1" indent="1"/>
    </xf>
    <xf numFmtId="3" fontId="2" fillId="0" borderId="1" xfId="14" applyNumberFormat="1" applyFont="1" applyBorder="1" applyAlignment="1">
      <alignment vertical="center" wrapText="1"/>
    </xf>
    <xf numFmtId="0" fontId="2" fillId="0" borderId="1" xfId="14" applyFont="1" applyBorder="1" applyAlignment="1">
      <alignment vertical="center"/>
    </xf>
    <xf numFmtId="0" fontId="5" fillId="0" borderId="1" xfId="14" applyFont="1" applyBorder="1" applyAlignment="1">
      <alignment horizontal="center" vertical="center"/>
    </xf>
    <xf numFmtId="0" fontId="2" fillId="0" borderId="1" xfId="14" applyFont="1" applyBorder="1" applyAlignment="1">
      <alignment horizontal="left" indent="2"/>
    </xf>
    <xf numFmtId="3" fontId="2" fillId="0" borderId="1" xfId="14" applyNumberFormat="1" applyFont="1" applyBorder="1"/>
    <xf numFmtId="0" fontId="2" fillId="0" borderId="1" xfId="14" applyFont="1" applyBorder="1" applyAlignment="1">
      <alignment horizontal="left" vertical="center" indent="3"/>
    </xf>
    <xf numFmtId="0" fontId="2" fillId="0" borderId="1" xfId="14" applyFont="1" applyBorder="1" applyAlignment="1">
      <alignment horizontal="left" vertical="center"/>
    </xf>
    <xf numFmtId="3" fontId="2" fillId="0" borderId="1" xfId="14" applyNumberFormat="1" applyFont="1" applyBorder="1" applyAlignment="1">
      <alignment horizontal="center" vertical="center"/>
    </xf>
    <xf numFmtId="3" fontId="2" fillId="0" borderId="3" xfId="14" applyNumberFormat="1" applyFont="1" applyBorder="1" applyAlignment="1">
      <alignment horizontal="right" vertical="center"/>
    </xf>
    <xf numFmtId="0" fontId="95" fillId="0" borderId="1" xfId="14" applyFont="1" applyBorder="1" applyAlignment="1">
      <alignment horizontal="center"/>
    </xf>
    <xf numFmtId="3" fontId="96" fillId="0" borderId="1" xfId="0" applyNumberFormat="1" applyFont="1" applyBorder="1" applyAlignment="1">
      <alignment horizontal="right"/>
    </xf>
    <xf numFmtId="3" fontId="96" fillId="0" borderId="1" xfId="0" applyNumberFormat="1" applyFont="1" applyBorder="1"/>
    <xf numFmtId="3" fontId="12" fillId="0" borderId="0" xfId="1" applyNumberFormat="1" applyFont="1" applyFill="1"/>
    <xf numFmtId="3" fontId="22" fillId="6" borderId="0" xfId="0" applyNumberFormat="1" applyFont="1" applyFill="1" applyAlignment="1">
      <alignment horizontal="right"/>
    </xf>
    <xf numFmtId="3" fontId="32" fillId="0" borderId="25" xfId="0" applyNumberFormat="1" applyFont="1" applyBorder="1" applyAlignment="1">
      <alignment horizontal="right"/>
    </xf>
    <xf numFmtId="3" fontId="32" fillId="0" borderId="41" xfId="0" applyNumberFormat="1" applyFont="1" applyBorder="1" applyAlignment="1">
      <alignment horizontal="right"/>
    </xf>
    <xf numFmtId="3" fontId="2" fillId="0" borderId="25" xfId="0" applyNumberFormat="1" applyFont="1" applyBorder="1" applyAlignment="1">
      <alignment horizontal="right"/>
    </xf>
    <xf numFmtId="0" fontId="23" fillId="0" borderId="0" xfId="0" applyFont="1"/>
    <xf numFmtId="3" fontId="7" fillId="0" borderId="1" xfId="0" applyNumberFormat="1" applyFont="1" applyBorder="1"/>
    <xf numFmtId="0" fontId="2" fillId="6" borderId="0" xfId="0" applyFont="1" applyFill="1" applyAlignment="1">
      <alignment horizontal="right" vertical="center"/>
    </xf>
    <xf numFmtId="3" fontId="2" fillId="6" borderId="0" xfId="0" applyNumberFormat="1" applyFont="1" applyFill="1" applyAlignment="1">
      <alignment horizontal="right" vertical="center"/>
    </xf>
    <xf numFmtId="3" fontId="2" fillId="9" borderId="0" xfId="0" applyNumberFormat="1" applyFont="1" applyFill="1"/>
    <xf numFmtId="3" fontId="97" fillId="12" borderId="0" xfId="0" applyNumberFormat="1" applyFont="1" applyFill="1"/>
    <xf numFmtId="0" fontId="18" fillId="6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4" fillId="5" borderId="20" xfId="0" applyFont="1" applyFill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/>
    </xf>
    <xf numFmtId="0" fontId="3" fillId="5" borderId="57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0" fontId="3" fillId="5" borderId="58" xfId="0" applyFont="1" applyFill="1" applyBorder="1" applyAlignment="1">
      <alignment horizontal="center" vertical="center" wrapText="1"/>
    </xf>
    <xf numFmtId="0" fontId="3" fillId="5" borderId="59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18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6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right" vertical="center"/>
    </xf>
    <xf numFmtId="0" fontId="9" fillId="6" borderId="0" xfId="0" applyFont="1" applyFill="1" applyAlignment="1">
      <alignment horizontal="center" vertical="center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3" borderId="11" xfId="0" applyNumberFormat="1" applyFont="1" applyFill="1" applyBorder="1" applyAlignment="1">
      <alignment horizontal="center" vertical="center" wrapText="1"/>
    </xf>
    <xf numFmtId="3" fontId="5" fillId="3" borderId="22" xfId="0" applyNumberFormat="1" applyFont="1" applyFill="1" applyBorder="1" applyAlignment="1">
      <alignment horizontal="center" vertical="center" wrapText="1"/>
    </xf>
    <xf numFmtId="3" fontId="5" fillId="3" borderId="23" xfId="0" applyNumberFormat="1" applyFont="1" applyFill="1" applyBorder="1" applyAlignment="1">
      <alignment horizontal="center" vertical="center" wrapText="1"/>
    </xf>
    <xf numFmtId="3" fontId="5" fillId="3" borderId="12" xfId="0" applyNumberFormat="1" applyFont="1" applyFill="1" applyBorder="1" applyAlignment="1">
      <alignment horizontal="center" vertical="center" wrapText="1"/>
    </xf>
    <xf numFmtId="3" fontId="28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/>
    </xf>
    <xf numFmtId="3" fontId="5" fillId="3" borderId="14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3" fontId="16" fillId="3" borderId="17" xfId="0" applyNumberFormat="1" applyFont="1" applyFill="1" applyBorder="1" applyAlignment="1">
      <alignment horizontal="center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3" fontId="5" fillId="3" borderId="13" xfId="0" applyNumberFormat="1" applyFont="1" applyFill="1" applyBorder="1" applyAlignment="1">
      <alignment horizontal="center" vertical="center" wrapText="1"/>
    </xf>
    <xf numFmtId="3" fontId="5" fillId="3" borderId="38" xfId="0" applyNumberFormat="1" applyFont="1" applyFill="1" applyBorder="1" applyAlignment="1">
      <alignment horizontal="center" vertical="center" wrapText="1"/>
    </xf>
    <xf numFmtId="3" fontId="5" fillId="3" borderId="60" xfId="0" applyNumberFormat="1" applyFont="1" applyFill="1" applyBorder="1" applyAlignment="1">
      <alignment horizontal="center" vertical="center" wrapText="1"/>
    </xf>
    <xf numFmtId="3" fontId="5" fillId="3" borderId="39" xfId="0" applyNumberFormat="1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top" wrapText="1"/>
    </xf>
    <xf numFmtId="0" fontId="18" fillId="6" borderId="0" xfId="0" applyFont="1" applyFill="1" applyAlignment="1">
      <alignment horizontal="center" vertical="top"/>
    </xf>
    <xf numFmtId="0" fontId="5" fillId="3" borderId="1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5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5" fillId="7" borderId="17" xfId="0" applyFont="1" applyFill="1" applyBorder="1" applyAlignment="1">
      <alignment horizontal="center" vertical="center" wrapText="1"/>
    </xf>
    <xf numFmtId="0" fontId="25" fillId="7" borderId="35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center" vertical="center" wrapText="1"/>
    </xf>
    <xf numFmtId="0" fontId="25" fillId="7" borderId="62" xfId="0" applyFont="1" applyFill="1" applyBorder="1" applyAlignment="1">
      <alignment horizontal="center" vertical="center" wrapText="1"/>
    </xf>
    <xf numFmtId="0" fontId="25" fillId="7" borderId="63" xfId="0" applyFont="1" applyFill="1" applyBorder="1" applyAlignment="1">
      <alignment horizontal="center" vertical="center" wrapText="1"/>
    </xf>
    <xf numFmtId="0" fontId="25" fillId="7" borderId="6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/>
    </xf>
    <xf numFmtId="0" fontId="4" fillId="7" borderId="61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3" fontId="47" fillId="0" borderId="18" xfId="0" applyNumberFormat="1" applyFont="1" applyBorder="1" applyAlignment="1">
      <alignment horizontal="right" vertical="center"/>
    </xf>
    <xf numFmtId="0" fontId="39" fillId="2" borderId="0" xfId="0" applyFont="1" applyFill="1" applyAlignment="1">
      <alignment horizontal="center"/>
    </xf>
    <xf numFmtId="1" fontId="38" fillId="7" borderId="1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" fontId="38" fillId="7" borderId="17" xfId="0" applyNumberFormat="1" applyFont="1" applyFill="1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7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/>
    </xf>
    <xf numFmtId="3" fontId="38" fillId="7" borderId="35" xfId="0" applyNumberFormat="1" applyFont="1" applyFill="1" applyBorder="1" applyAlignment="1">
      <alignment horizontal="center" vertical="center" wrapText="1"/>
    </xf>
    <xf numFmtId="1" fontId="38" fillId="7" borderId="16" xfId="0" applyNumberFormat="1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8" fillId="3" borderId="62" xfId="0" applyFont="1" applyFill="1" applyBorder="1" applyAlignment="1">
      <alignment horizontal="center" vertical="center" wrapText="1"/>
    </xf>
    <xf numFmtId="0" fontId="38" fillId="3" borderId="63" xfId="0" applyFont="1" applyFill="1" applyBorder="1" applyAlignment="1">
      <alignment horizontal="center" vertical="center" wrapText="1"/>
    </xf>
    <xf numFmtId="0" fontId="38" fillId="3" borderId="64" xfId="0" applyFont="1" applyFill="1" applyBorder="1" applyAlignment="1">
      <alignment horizontal="center" vertical="center" wrapText="1"/>
    </xf>
    <xf numFmtId="0" fontId="38" fillId="3" borderId="18" xfId="0" applyFont="1" applyFill="1" applyBorder="1" applyAlignment="1">
      <alignment horizontal="center" vertical="center" wrapText="1"/>
    </xf>
    <xf numFmtId="0" fontId="38" fillId="3" borderId="0" xfId="0" applyFont="1" applyFill="1" applyAlignment="1">
      <alignment horizontal="center" vertical="center" wrapText="1"/>
    </xf>
    <xf numFmtId="0" fontId="38" fillId="3" borderId="65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28" xfId="0" applyFont="1" applyFill="1" applyBorder="1" applyAlignment="1">
      <alignment horizontal="center" vertical="center" wrapText="1"/>
    </xf>
    <xf numFmtId="3" fontId="6" fillId="7" borderId="17" xfId="0" applyNumberFormat="1" applyFont="1" applyFill="1" applyBorder="1" applyAlignment="1">
      <alignment horizontal="center"/>
    </xf>
    <xf numFmtId="3" fontId="6" fillId="7" borderId="16" xfId="0" applyNumberFormat="1" applyFont="1" applyFill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3" fontId="38" fillId="7" borderId="16" xfId="0" applyNumberFormat="1" applyFont="1" applyFill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/>
    </xf>
    <xf numFmtId="0" fontId="5" fillId="0" borderId="1" xfId="7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5" fillId="0" borderId="22" xfId="7" applyFont="1" applyBorder="1" applyAlignment="1">
      <alignment horizontal="center" vertical="center" wrapText="1"/>
    </xf>
    <xf numFmtId="0" fontId="5" fillId="0" borderId="23" xfId="7" applyFont="1" applyBorder="1" applyAlignment="1">
      <alignment horizontal="center" vertical="center" wrapText="1"/>
    </xf>
    <xf numFmtId="0" fontId="60" fillId="0" borderId="0" xfId="7" applyFont="1" applyAlignment="1">
      <alignment horizontal="center" vertical="center" wrapText="1"/>
    </xf>
    <xf numFmtId="0" fontId="60" fillId="0" borderId="0" xfId="7" applyFont="1" applyAlignment="1">
      <alignment horizontal="center" vertical="center"/>
    </xf>
    <xf numFmtId="0" fontId="57" fillId="0" borderId="1" xfId="7" applyFont="1" applyBorder="1" applyAlignment="1">
      <alignment horizontal="left" vertical="center" wrapText="1"/>
    </xf>
    <xf numFmtId="0" fontId="5" fillId="4" borderId="1" xfId="7" applyFont="1" applyFill="1" applyBorder="1" applyAlignment="1">
      <alignment horizontal="left" vertical="center" wrapText="1"/>
    </xf>
    <xf numFmtId="0" fontId="57" fillId="0" borderId="27" xfId="7" applyFont="1" applyBorder="1" applyAlignment="1">
      <alignment horizontal="center" vertical="center" wrapText="1"/>
    </xf>
    <xf numFmtId="0" fontId="57" fillId="0" borderId="19" xfId="7" applyFont="1" applyBorder="1" applyAlignment="1">
      <alignment horizontal="center" vertical="center" wrapText="1"/>
    </xf>
    <xf numFmtId="0" fontId="57" fillId="0" borderId="41" xfId="7" applyFont="1" applyBorder="1" applyAlignment="1">
      <alignment horizontal="center" vertical="center" wrapText="1"/>
    </xf>
    <xf numFmtId="0" fontId="55" fillId="0" borderId="3" xfId="7" applyFont="1" applyBorder="1" applyAlignment="1">
      <alignment horizontal="left" vertical="center" wrapText="1"/>
    </xf>
    <xf numFmtId="0" fontId="55" fillId="0" borderId="1" xfId="7" applyFont="1" applyBorder="1" applyAlignment="1">
      <alignment horizontal="left" vertical="center" wrapText="1"/>
    </xf>
    <xf numFmtId="0" fontId="2" fillId="0" borderId="15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0" fontId="13" fillId="0" borderId="3" xfId="7" applyFont="1" applyBorder="1" applyAlignment="1">
      <alignment horizontal="left" vertical="center" wrapText="1"/>
    </xf>
    <xf numFmtId="3" fontId="58" fillId="0" borderId="0" xfId="7" applyNumberFormat="1" applyFont="1" applyAlignment="1">
      <alignment horizontal="left" vertical="center" wrapText="1"/>
    </xf>
    <xf numFmtId="0" fontId="23" fillId="2" borderId="0" xfId="0" applyFont="1" applyFill="1" applyAlignment="1">
      <alignment horizontal="center" wrapText="1"/>
    </xf>
    <xf numFmtId="0" fontId="41" fillId="2" borderId="0" xfId="0" applyFont="1" applyFill="1" applyAlignment="1">
      <alignment horizontal="center" wrapText="1"/>
    </xf>
    <xf numFmtId="0" fontId="40" fillId="3" borderId="21" xfId="0" applyFont="1" applyFill="1" applyBorder="1" applyAlignment="1">
      <alignment horizontal="center" vertical="center" wrapText="1"/>
    </xf>
    <xf numFmtId="0" fontId="40" fillId="3" borderId="7" xfId="0" applyFont="1" applyFill="1" applyBorder="1" applyAlignment="1">
      <alignment horizontal="center" vertical="center" wrapText="1"/>
    </xf>
    <xf numFmtId="0" fontId="40" fillId="3" borderId="37" xfId="0" applyFont="1" applyFill="1" applyBorder="1" applyAlignment="1">
      <alignment horizontal="center" vertical="center" wrapText="1"/>
    </xf>
    <xf numFmtId="0" fontId="40" fillId="3" borderId="38" xfId="0" applyFont="1" applyFill="1" applyBorder="1" applyAlignment="1">
      <alignment horizontal="center" vertical="center" wrapText="1"/>
    </xf>
    <xf numFmtId="0" fontId="40" fillId="3" borderId="60" xfId="0" applyFont="1" applyFill="1" applyBorder="1" applyAlignment="1">
      <alignment horizontal="center" vertical="center" wrapText="1"/>
    </xf>
    <xf numFmtId="0" fontId="40" fillId="3" borderId="39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wrapText="1"/>
    </xf>
    <xf numFmtId="0" fontId="49" fillId="3" borderId="66" xfId="0" applyFont="1" applyFill="1" applyBorder="1" applyAlignment="1">
      <alignment horizontal="center" vertical="center" wrapText="1"/>
    </xf>
    <xf numFmtId="0" fontId="49" fillId="3" borderId="42" xfId="0" applyFont="1" applyFill="1" applyBorder="1" applyAlignment="1">
      <alignment horizontal="center" vertical="center" wrapText="1"/>
    </xf>
    <xf numFmtId="0" fontId="49" fillId="3" borderId="54" xfId="0" applyFont="1" applyFill="1" applyBorder="1" applyAlignment="1">
      <alignment horizontal="center" vertical="center" wrapText="1"/>
    </xf>
    <xf numFmtId="0" fontId="46" fillId="3" borderId="21" xfId="0" applyFont="1" applyFill="1" applyBorder="1" applyAlignment="1">
      <alignment horizontal="center" vertical="center" wrapText="1"/>
    </xf>
    <xf numFmtId="0" fontId="46" fillId="3" borderId="7" xfId="0" applyFont="1" applyFill="1" applyBorder="1" applyAlignment="1">
      <alignment horizontal="center" vertical="center" wrapText="1"/>
    </xf>
    <xf numFmtId="0" fontId="46" fillId="3" borderId="37" xfId="0" applyFont="1" applyFill="1" applyBorder="1" applyAlignment="1">
      <alignment horizontal="center" vertical="center" wrapText="1"/>
    </xf>
    <xf numFmtId="0" fontId="40" fillId="7" borderId="21" xfId="0" applyFont="1" applyFill="1" applyBorder="1" applyAlignment="1">
      <alignment horizontal="center" vertical="center" wrapText="1"/>
    </xf>
    <xf numFmtId="0" fontId="40" fillId="7" borderId="7" xfId="0" applyFont="1" applyFill="1" applyBorder="1" applyAlignment="1">
      <alignment horizontal="center" vertical="center" wrapText="1"/>
    </xf>
    <xf numFmtId="0" fontId="40" fillId="7" borderId="37" xfId="0" applyFont="1" applyFill="1" applyBorder="1" applyAlignment="1">
      <alignment horizontal="center" vertical="center" wrapText="1"/>
    </xf>
    <xf numFmtId="0" fontId="40" fillId="3" borderId="48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0" fontId="40" fillId="3" borderId="20" xfId="0" applyFont="1" applyFill="1" applyBorder="1" applyAlignment="1">
      <alignment horizontal="center" vertical="center" wrapText="1"/>
    </xf>
    <xf numFmtId="0" fontId="40" fillId="3" borderId="29" xfId="0" applyFont="1" applyFill="1" applyBorder="1" applyAlignment="1">
      <alignment horizontal="center" vertical="center" wrapText="1"/>
    </xf>
    <xf numFmtId="0" fontId="40" fillId="3" borderId="55" xfId="0" applyFont="1" applyFill="1" applyBorder="1" applyAlignment="1">
      <alignment horizontal="center" vertical="center" wrapText="1"/>
    </xf>
    <xf numFmtId="0" fontId="94" fillId="13" borderId="0" xfId="14" applyFont="1" applyFill="1" applyAlignment="1">
      <alignment horizontal="center" wrapText="1"/>
    </xf>
    <xf numFmtId="0" fontId="94" fillId="13" borderId="0" xfId="14" applyFont="1" applyFill="1" applyAlignment="1">
      <alignment horizontal="center"/>
    </xf>
    <xf numFmtId="3" fontId="2" fillId="0" borderId="2" xfId="14" applyNumberFormat="1" applyFont="1" applyBorder="1" applyAlignment="1">
      <alignment horizontal="right" vertical="center"/>
    </xf>
    <xf numFmtId="3" fontId="2" fillId="0" borderId="3" xfId="14" applyNumberFormat="1" applyFont="1" applyBorder="1" applyAlignment="1">
      <alignment horizontal="right" vertical="center"/>
    </xf>
    <xf numFmtId="0" fontId="52" fillId="8" borderId="49" xfId="12" applyFont="1" applyFill="1" applyBorder="1" applyAlignment="1">
      <alignment horizontal="center" vertical="center"/>
    </xf>
    <xf numFmtId="0" fontId="52" fillId="8" borderId="33" xfId="12" applyFont="1" applyFill="1" applyBorder="1" applyAlignment="1">
      <alignment horizontal="center" vertical="center"/>
    </xf>
    <xf numFmtId="0" fontId="52" fillId="8" borderId="27" xfId="12" applyFont="1" applyFill="1" applyBorder="1" applyAlignment="1">
      <alignment horizontal="center" vertical="center"/>
    </xf>
    <xf numFmtId="0" fontId="52" fillId="8" borderId="19" xfId="12" applyFont="1" applyFill="1" applyBorder="1" applyAlignment="1">
      <alignment horizontal="center" vertical="center"/>
    </xf>
    <xf numFmtId="0" fontId="52" fillId="8" borderId="24" xfId="12" applyFont="1" applyFill="1" applyBorder="1" applyAlignment="1">
      <alignment horizontal="center" vertical="center"/>
    </xf>
    <xf numFmtId="0" fontId="20" fillId="0" borderId="0" xfId="12" applyFont="1" applyAlignment="1">
      <alignment horizontal="center" wrapText="1"/>
    </xf>
    <xf numFmtId="0" fontId="52" fillId="8" borderId="19" xfId="12" applyFont="1" applyFill="1" applyBorder="1" applyAlignment="1">
      <alignment horizontal="center"/>
    </xf>
    <xf numFmtId="0" fontId="52" fillId="8" borderId="67" xfId="12" applyFont="1" applyFill="1" applyBorder="1" applyAlignment="1">
      <alignment horizontal="center" vertical="center"/>
    </xf>
    <xf numFmtId="0" fontId="52" fillId="8" borderId="69" xfId="12" applyFont="1" applyFill="1" applyBorder="1" applyAlignment="1">
      <alignment horizontal="center" vertical="center"/>
    </xf>
    <xf numFmtId="0" fontId="52" fillId="8" borderId="4" xfId="12" applyFont="1" applyFill="1" applyBorder="1" applyAlignment="1">
      <alignment horizontal="center"/>
    </xf>
    <xf numFmtId="0" fontId="52" fillId="8" borderId="5" xfId="12" applyFont="1" applyFill="1" applyBorder="1" applyAlignment="1">
      <alignment horizontal="center"/>
    </xf>
    <xf numFmtId="0" fontId="52" fillId="8" borderId="30" xfId="12" applyFont="1" applyFill="1" applyBorder="1" applyAlignment="1">
      <alignment horizontal="center"/>
    </xf>
    <xf numFmtId="0" fontId="52" fillId="8" borderId="49" xfId="12" applyFont="1" applyFill="1" applyBorder="1" applyAlignment="1">
      <alignment horizontal="center" vertical="center" wrapText="1"/>
    </xf>
    <xf numFmtId="0" fontId="52" fillId="8" borderId="33" xfId="12" applyFont="1" applyFill="1" applyBorder="1" applyAlignment="1">
      <alignment horizontal="center" vertical="center" wrapText="1"/>
    </xf>
    <xf numFmtId="0" fontId="67" fillId="8" borderId="70" xfId="12" applyFont="1" applyFill="1" applyBorder="1" applyAlignment="1">
      <alignment horizontal="center" vertical="center" wrapText="1"/>
    </xf>
    <xf numFmtId="0" fontId="67" fillId="8" borderId="69" xfId="12" applyFont="1" applyFill="1" applyBorder="1" applyAlignment="1">
      <alignment horizontal="center" vertical="center" wrapText="1"/>
    </xf>
    <xf numFmtId="0" fontId="67" fillId="8" borderId="49" xfId="12" applyFont="1" applyFill="1" applyBorder="1" applyAlignment="1">
      <alignment horizontal="center" vertical="center" wrapText="1"/>
    </xf>
    <xf numFmtId="0" fontId="67" fillId="8" borderId="33" xfId="12" applyFont="1" applyFill="1" applyBorder="1" applyAlignment="1">
      <alignment horizontal="center" vertical="center" wrapText="1"/>
    </xf>
    <xf numFmtId="0" fontId="52" fillId="8" borderId="68" xfId="12" applyFont="1" applyFill="1" applyBorder="1" applyAlignment="1">
      <alignment horizontal="center" vertical="center"/>
    </xf>
    <xf numFmtId="0" fontId="66" fillId="8" borderId="49" xfId="12" applyFont="1" applyFill="1" applyBorder="1" applyAlignment="1">
      <alignment horizontal="center" vertical="center" wrapText="1"/>
    </xf>
    <xf numFmtId="0" fontId="66" fillId="8" borderId="33" xfId="12" applyFont="1" applyFill="1" applyBorder="1" applyAlignment="1">
      <alignment horizontal="center" vertical="center" wrapText="1"/>
    </xf>
    <xf numFmtId="0" fontId="52" fillId="8" borderId="61" xfId="12" applyFont="1" applyFill="1" applyBorder="1" applyAlignment="1">
      <alignment horizontal="center" vertical="center" wrapText="1"/>
    </xf>
    <xf numFmtId="0" fontId="52" fillId="8" borderId="51" xfId="12" applyFont="1" applyFill="1" applyBorder="1" applyAlignment="1">
      <alignment horizontal="center" vertical="center" wrapText="1"/>
    </xf>
    <xf numFmtId="0" fontId="21" fillId="8" borderId="61" xfId="12" applyFont="1" applyFill="1" applyBorder="1" applyAlignment="1">
      <alignment horizontal="center" vertical="center" wrapText="1"/>
    </xf>
    <xf numFmtId="0" fontId="21" fillId="8" borderId="51" xfId="12" applyFont="1" applyFill="1" applyBorder="1" applyAlignment="1">
      <alignment horizontal="center" vertical="center"/>
    </xf>
    <xf numFmtId="0" fontId="2" fillId="0" borderId="71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77" fillId="0" borderId="3" xfId="6" applyNumberFormat="1" applyFont="1" applyBorder="1" applyAlignment="1">
      <alignment horizontal="right"/>
    </xf>
    <xf numFmtId="3" fontId="77" fillId="0" borderId="1" xfId="6" applyNumberFormat="1" applyFont="1" applyBorder="1" applyAlignment="1">
      <alignment horizontal="right"/>
    </xf>
    <xf numFmtId="3" fontId="85" fillId="0" borderId="48" xfId="6" applyNumberFormat="1" applyFont="1" applyBorder="1" applyAlignment="1">
      <alignment horizontal="center"/>
    </xf>
    <xf numFmtId="3" fontId="85" fillId="0" borderId="28" xfId="6" applyNumberFormat="1" applyFont="1" applyBorder="1" applyAlignment="1">
      <alignment horizontal="center"/>
    </xf>
    <xf numFmtId="0" fontId="93" fillId="6" borderId="0" xfId="6" applyFont="1" applyFill="1" applyAlignment="1">
      <alignment horizontal="center"/>
    </xf>
    <xf numFmtId="0" fontId="80" fillId="5" borderId="20" xfId="6" applyFont="1" applyFill="1" applyBorder="1" applyAlignment="1">
      <alignment horizontal="center" vertical="center" wrapText="1"/>
    </xf>
    <xf numFmtId="0" fontId="80" fillId="5" borderId="55" xfId="6" applyFont="1" applyFill="1" applyBorder="1" applyAlignment="1">
      <alignment horizontal="center" vertical="center"/>
    </xf>
    <xf numFmtId="0" fontId="80" fillId="5" borderId="38" xfId="6" applyFont="1" applyFill="1" applyBorder="1" applyAlignment="1">
      <alignment horizontal="center"/>
    </xf>
    <xf numFmtId="0" fontId="80" fillId="5" borderId="60" xfId="6" applyFont="1" applyFill="1" applyBorder="1" applyAlignment="1">
      <alignment horizontal="center"/>
    </xf>
    <xf numFmtId="0" fontId="80" fillId="5" borderId="39" xfId="6" applyFont="1" applyFill="1" applyBorder="1" applyAlignment="1">
      <alignment horizontal="center"/>
    </xf>
    <xf numFmtId="0" fontId="80" fillId="5" borderId="22" xfId="6" applyFont="1" applyFill="1" applyBorder="1" applyAlignment="1">
      <alignment horizontal="center"/>
    </xf>
    <xf numFmtId="0" fontId="80" fillId="5" borderId="23" xfId="6" applyFont="1" applyFill="1" applyBorder="1" applyAlignment="1">
      <alignment horizontal="center"/>
    </xf>
  </cellXfs>
  <cellStyles count="15">
    <cellStyle name="Ezres" xfId="1" builtinId="3"/>
    <cellStyle name="Ezres 2" xfId="2" xr:uid="{00000000-0005-0000-0000-000001000000}"/>
    <cellStyle name="Ezres 3" xfId="3" xr:uid="{00000000-0005-0000-0000-000002000000}"/>
    <cellStyle name="Normál" xfId="0" builtinId="0"/>
    <cellStyle name="Normál 10" xfId="14" xr:uid="{00000000-0005-0000-0000-000004000000}"/>
    <cellStyle name="Normál 2" xfId="4" xr:uid="{00000000-0005-0000-0000-000005000000}"/>
    <cellStyle name="Normál 2 2" xfId="5" xr:uid="{00000000-0005-0000-0000-000006000000}"/>
    <cellStyle name="Normál 3" xfId="6" xr:uid="{00000000-0005-0000-0000-000007000000}"/>
    <cellStyle name="Normál 4" xfId="7" xr:uid="{00000000-0005-0000-0000-000008000000}"/>
    <cellStyle name="Normál 5" xfId="8" xr:uid="{00000000-0005-0000-0000-000009000000}"/>
    <cellStyle name="Normál 6" xfId="9" xr:uid="{00000000-0005-0000-0000-00000A000000}"/>
    <cellStyle name="Normál 7" xfId="10" xr:uid="{00000000-0005-0000-0000-00000B000000}"/>
    <cellStyle name="Normál 8" xfId="11" xr:uid="{00000000-0005-0000-0000-00000C000000}"/>
    <cellStyle name="Normál 9" xfId="12" xr:uid="{00000000-0005-0000-0000-00000D000000}"/>
    <cellStyle name="Normal_KARSZJ3" xfId="13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nyes/Documents/2005.%20&#233;vi%20k&#246;lt&#233;sgvet&#233;s/Mell&#233;kletek/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GORI~1\AppData\Local\Temp\K&#246;lts&#233;gvet&#233;s_2022_II.fordul&#243;_ok-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nyes/Documents/2021.%20&#233;vi%20k&#246;lts&#233;gvet&#233;s/TKT/01%20K&#246;lts&#233;gfeloszt&#225;s_2021_TK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nyes\Documents\egy&#233;b\kist&#233;rs&#233;g\2020_kist&#233;rs&#233;g\TKT%20&#252;l&#233;s_2020.10.15\Ktgfeloszt&#225;s_2020_TKT_2020.10.h&#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1.Bev-kiad."/>
      <sheetName val="2.működés"/>
      <sheetName val="3.felh"/>
      <sheetName val="4. Átadott p.eszk."/>
      <sheetName val="5.Bev.össz"/>
      <sheetName val="6.Kiad.össz. "/>
      <sheetName val="7.finanszírozás."/>
      <sheetName val="8.Önk."/>
      <sheetName val="zöld város"/>
      <sheetName val="9.Hivatal"/>
      <sheetName val="10.Többéves, adósság"/>
      <sheetName val="12. Maradványkimutatás"/>
      <sheetName val="13.Mérleg"/>
      <sheetName val="14. Eredménykimutatás"/>
      <sheetName val="15. Vagyonkimutatás"/>
      <sheetName val="16. Előirányzat felh.terv"/>
      <sheetName val="17. Részesedések"/>
      <sheetName val="11.Likviditás"/>
      <sheetName val="12. gördülő tervezés"/>
      <sheetName val="13. Eu projekt"/>
      <sheetName val="14.mérlegszerű kimutatás"/>
      <sheetName val="Társulási díjak tájékoztatásul"/>
      <sheetName val="Társulási fel. tájékoztatásul"/>
      <sheetName val="beruházások"/>
      <sheetName val="13.2.EU projekt részletesen"/>
    </sheetNames>
    <sheetDataSet>
      <sheetData sheetId="0"/>
      <sheetData sheetId="1">
        <row r="9">
          <cell r="C9">
            <v>559478</v>
          </cell>
        </row>
        <row r="16">
          <cell r="C16">
            <v>305226</v>
          </cell>
        </row>
        <row r="22">
          <cell r="C22">
            <v>373000</v>
          </cell>
        </row>
        <row r="29">
          <cell r="C29">
            <v>51770</v>
          </cell>
        </row>
        <row r="40">
          <cell r="C40">
            <v>26950</v>
          </cell>
        </row>
        <row r="46">
          <cell r="C46">
            <v>20000</v>
          </cell>
        </row>
        <row r="50">
          <cell r="C50">
            <v>10300</v>
          </cell>
        </row>
        <row r="57">
          <cell r="C57">
            <v>220868</v>
          </cell>
        </row>
        <row r="58">
          <cell r="C58">
            <v>574708</v>
          </cell>
        </row>
        <row r="60">
          <cell r="C60">
            <v>342000</v>
          </cell>
        </row>
        <row r="71">
          <cell r="C71">
            <v>456818</v>
          </cell>
        </row>
        <row r="72">
          <cell r="C72">
            <v>641826</v>
          </cell>
        </row>
        <row r="73">
          <cell r="C73">
            <v>143582</v>
          </cell>
        </row>
        <row r="79">
          <cell r="C79">
            <v>15915</v>
          </cell>
        </row>
        <row r="81">
          <cell r="C81">
            <v>58156</v>
          </cell>
        </row>
      </sheetData>
      <sheetData sheetId="2">
        <row r="111">
          <cell r="C111">
            <v>238288</v>
          </cell>
        </row>
        <row r="114">
          <cell r="C114">
            <v>31821</v>
          </cell>
        </row>
        <row r="117">
          <cell r="C117">
            <v>367219</v>
          </cell>
        </row>
        <row r="120">
          <cell r="C120">
            <v>9300</v>
          </cell>
        </row>
        <row r="121">
          <cell r="C121">
            <v>521375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"/>
      <sheetName val="szoc. egyenkénti feladatok"/>
      <sheetName val="Házi segítségnyújtás"/>
      <sheetName val="Jelzőrendszer"/>
      <sheetName val="Püg.,TV, étkeztetés "/>
      <sheetName val="Társulási hozzájár."/>
      <sheetName val="Ügyelet"/>
      <sheetName val="Labor"/>
      <sheetName val="TKT feladatok"/>
      <sheetName val="TKT műk."/>
      <sheetName val="Családsegítés, gyerm.jólét"/>
      <sheetName val="Összesítő"/>
      <sheetName val="munka"/>
      <sheetName val="házi segítségnyújtás bér"/>
      <sheetName val="CSS GYJ"/>
    </sheetNames>
    <sheetDataSet>
      <sheetData sheetId="0"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34">
          <cell r="C34">
            <v>0</v>
          </cell>
          <cell r="E34">
            <v>0</v>
          </cell>
        </row>
      </sheetData>
      <sheetData sheetId="1"/>
      <sheetData sheetId="2"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</sheetData>
      <sheetData sheetId="3">
        <row r="18">
          <cell r="E18">
            <v>109.48</v>
          </cell>
        </row>
        <row r="19">
          <cell r="E19">
            <v>78.2</v>
          </cell>
        </row>
        <row r="20">
          <cell r="E20">
            <v>547.4</v>
          </cell>
        </row>
        <row r="21">
          <cell r="E21">
            <v>93.84</v>
          </cell>
        </row>
        <row r="22">
          <cell r="E22">
            <v>15.64</v>
          </cell>
        </row>
        <row r="23">
          <cell r="E23">
            <v>0</v>
          </cell>
        </row>
        <row r="24">
          <cell r="E24">
            <v>46.92</v>
          </cell>
        </row>
        <row r="25">
          <cell r="E25">
            <v>15.64</v>
          </cell>
        </row>
        <row r="26">
          <cell r="E26">
            <v>46.92</v>
          </cell>
        </row>
        <row r="27">
          <cell r="E27">
            <v>15.64</v>
          </cell>
        </row>
        <row r="28">
          <cell r="E28">
            <v>186.68</v>
          </cell>
        </row>
        <row r="29">
          <cell r="E29">
            <v>15.64</v>
          </cell>
        </row>
        <row r="30">
          <cell r="E30">
            <v>0</v>
          </cell>
        </row>
        <row r="31">
          <cell r="E31">
            <v>1173</v>
          </cell>
        </row>
      </sheetData>
      <sheetData sheetId="4">
        <row r="20">
          <cell r="D20">
            <v>730</v>
          </cell>
          <cell r="E20">
            <v>3510</v>
          </cell>
        </row>
        <row r="21">
          <cell r="D21">
            <v>0</v>
          </cell>
          <cell r="E21">
            <v>165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1570</v>
          </cell>
          <cell r="E24">
            <v>165</v>
          </cell>
        </row>
        <row r="25">
          <cell r="D25">
            <v>0</v>
          </cell>
          <cell r="E25">
            <v>165</v>
          </cell>
        </row>
        <row r="26">
          <cell r="D26">
            <v>600</v>
          </cell>
          <cell r="E26">
            <v>0</v>
          </cell>
        </row>
        <row r="27">
          <cell r="D27">
            <v>0</v>
          </cell>
          <cell r="E27">
            <v>165</v>
          </cell>
        </row>
        <row r="28">
          <cell r="D28">
            <v>0</v>
          </cell>
          <cell r="E28">
            <v>165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165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2900</v>
          </cell>
        </row>
      </sheetData>
      <sheetData sheetId="5">
        <row r="9">
          <cell r="F9">
            <v>1172</v>
          </cell>
        </row>
        <row r="10">
          <cell r="F10">
            <v>275</v>
          </cell>
        </row>
        <row r="11">
          <cell r="F11">
            <v>1127</v>
          </cell>
        </row>
        <row r="12">
          <cell r="F12">
            <v>913</v>
          </cell>
        </row>
        <row r="13">
          <cell r="F13">
            <v>304</v>
          </cell>
        </row>
        <row r="14">
          <cell r="F14">
            <v>272</v>
          </cell>
        </row>
        <row r="15">
          <cell r="F15">
            <v>710</v>
          </cell>
        </row>
        <row r="16">
          <cell r="F16">
            <v>272</v>
          </cell>
        </row>
        <row r="17">
          <cell r="F17">
            <v>189</v>
          </cell>
        </row>
        <row r="18">
          <cell r="F18">
            <v>194</v>
          </cell>
        </row>
        <row r="19">
          <cell r="F19">
            <v>349</v>
          </cell>
        </row>
        <row r="20">
          <cell r="F20">
            <v>294</v>
          </cell>
        </row>
        <row r="21">
          <cell r="F21">
            <v>113</v>
          </cell>
        </row>
      </sheetData>
      <sheetData sheetId="6">
        <row r="26">
          <cell r="E26">
            <v>15200.315972449162</v>
          </cell>
        </row>
        <row r="27">
          <cell r="E27">
            <v>2909.5689608434536</v>
          </cell>
        </row>
        <row r="28">
          <cell r="E28">
            <v>11904.41915200997</v>
          </cell>
        </row>
        <row r="29">
          <cell r="E29">
            <v>9990.2631919183241</v>
          </cell>
        </row>
        <row r="30">
          <cell r="E30">
            <v>804.69041095890418</v>
          </cell>
        </row>
        <row r="31">
          <cell r="E31">
            <v>610.45479452054792</v>
          </cell>
        </row>
        <row r="32">
          <cell r="E32">
            <v>2830.2904109589044</v>
          </cell>
        </row>
        <row r="33">
          <cell r="E33">
            <v>471.71506849315074</v>
          </cell>
        </row>
        <row r="34">
          <cell r="E34">
            <v>499.46301369863016</v>
          </cell>
        </row>
        <row r="35">
          <cell r="E35">
            <v>527.21095890410959</v>
          </cell>
        </row>
        <row r="36">
          <cell r="E36">
            <v>3284.2272433270286</v>
          </cell>
        </row>
        <row r="37">
          <cell r="E37">
            <v>860.18630136986303</v>
          </cell>
        </row>
        <row r="38">
          <cell r="E38">
            <v>749.19452054794522</v>
          </cell>
        </row>
      </sheetData>
      <sheetData sheetId="7">
        <row r="27">
          <cell r="H27">
            <v>4932</v>
          </cell>
        </row>
        <row r="28">
          <cell r="H28">
            <v>1155</v>
          </cell>
        </row>
        <row r="29">
          <cell r="H29">
            <v>4742</v>
          </cell>
        </row>
        <row r="30">
          <cell r="H30">
            <v>3842</v>
          </cell>
        </row>
        <row r="31">
          <cell r="H31">
            <v>853</v>
          </cell>
        </row>
        <row r="32">
          <cell r="H32">
            <v>762</v>
          </cell>
        </row>
        <row r="33">
          <cell r="H33">
            <v>1992</v>
          </cell>
        </row>
        <row r="34">
          <cell r="H34">
            <v>763</v>
          </cell>
        </row>
        <row r="35">
          <cell r="H35">
            <v>530</v>
          </cell>
        </row>
        <row r="36">
          <cell r="H36">
            <v>546</v>
          </cell>
        </row>
        <row r="37">
          <cell r="H37">
            <v>1468</v>
          </cell>
        </row>
        <row r="38">
          <cell r="H38">
            <v>826</v>
          </cell>
        </row>
        <row r="39">
          <cell r="H39">
            <v>317</v>
          </cell>
        </row>
      </sheetData>
      <sheetData sheetId="8"/>
      <sheetData sheetId="9">
        <row r="39">
          <cell r="B39">
            <v>2344</v>
          </cell>
          <cell r="E39">
            <v>125.08408796895213</v>
          </cell>
        </row>
        <row r="40">
          <cell r="B40">
            <v>549</v>
          </cell>
          <cell r="E40">
            <v>29.296571798188875</v>
          </cell>
        </row>
        <row r="41">
          <cell r="B41">
            <v>2254</v>
          </cell>
          <cell r="E41">
            <v>120.28137128072446</v>
          </cell>
        </row>
        <row r="42">
          <cell r="B42">
            <v>1826</v>
          </cell>
          <cell r="E42">
            <v>98.441785252263898</v>
          </cell>
        </row>
        <row r="43">
          <cell r="B43">
            <v>608</v>
          </cell>
          <cell r="E43">
            <v>33.445019404915911</v>
          </cell>
        </row>
        <row r="44">
          <cell r="B44">
            <v>543</v>
          </cell>
          <cell r="E44">
            <v>28.976390685640364</v>
          </cell>
        </row>
        <row r="45">
          <cell r="B45">
            <v>1420</v>
          </cell>
          <cell r="E45">
            <v>75.776196636481245</v>
          </cell>
        </row>
        <row r="46">
          <cell r="B46">
            <v>544</v>
          </cell>
          <cell r="E46">
            <v>29.029754204398451</v>
          </cell>
        </row>
        <row r="47">
          <cell r="B47">
            <v>378</v>
          </cell>
          <cell r="E47">
            <v>20.171410090556275</v>
          </cell>
        </row>
        <row r="48">
          <cell r="B48">
            <v>389</v>
          </cell>
          <cell r="E48">
            <v>20.758408796895214</v>
          </cell>
        </row>
        <row r="49">
          <cell r="B49">
            <v>698</v>
          </cell>
          <cell r="E49">
            <v>37.247736093143601</v>
          </cell>
        </row>
        <row r="50">
          <cell r="B50">
            <v>589</v>
          </cell>
          <cell r="E50">
            <v>31.431112548512292</v>
          </cell>
        </row>
        <row r="51">
          <cell r="B51">
            <v>226</v>
          </cell>
          <cell r="E51">
            <v>12.060155239327297</v>
          </cell>
        </row>
      </sheetData>
      <sheetData sheetId="10">
        <row r="41">
          <cell r="V41">
            <v>395.67390583333349</v>
          </cell>
        </row>
        <row r="42">
          <cell r="V42">
            <v>253.42884916666665</v>
          </cell>
        </row>
        <row r="43">
          <cell r="V43">
            <v>342.58200958333356</v>
          </cell>
        </row>
        <row r="44">
          <cell r="V44">
            <v>189.24688458333341</v>
          </cell>
        </row>
        <row r="45">
          <cell r="V45">
            <v>199.33695291666675</v>
          </cell>
        </row>
        <row r="46">
          <cell r="V46">
            <v>363.01323958333353</v>
          </cell>
        </row>
        <row r="47">
          <cell r="V47">
            <v>925.84468062793417</v>
          </cell>
        </row>
        <row r="49">
          <cell r="V49">
            <v>1196.8236115434283</v>
          </cell>
        </row>
        <row r="50">
          <cell r="V50">
            <v>362.30524122065719</v>
          </cell>
        </row>
        <row r="51">
          <cell r="V51">
            <v>720.61048244131439</v>
          </cell>
        </row>
        <row r="53">
          <cell r="V53">
            <v>462.37694666666653</v>
          </cell>
        </row>
        <row r="54">
          <cell r="V54">
            <v>143.80529583333333</v>
          </cell>
        </row>
        <row r="56">
          <cell r="V56">
            <v>0</v>
          </cell>
        </row>
        <row r="57">
          <cell r="V57">
            <v>0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"/>
      <sheetName val="szoc. egyenkénti feladatok"/>
      <sheetName val="Házi segítségnyújtás"/>
      <sheetName val="Püg.,TV, étkeztetés "/>
      <sheetName val="Társulási hozzájár."/>
      <sheetName val="Ügyelet"/>
      <sheetName val="Labor"/>
      <sheetName val="TKT feladatok"/>
      <sheetName val="TKT műk."/>
      <sheetName val="Családsegítés"/>
      <sheetName val="Összesítő"/>
      <sheetName val="munka"/>
      <sheetName val="házi segítségnyújtás bér"/>
      <sheetName val="CSS GY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843"/>
  <sheetViews>
    <sheetView topLeftCell="B1" zoomScaleNormal="100" zoomScaleSheetLayoutView="100" workbookViewId="0">
      <selection activeCell="D64" sqref="D64"/>
    </sheetView>
  </sheetViews>
  <sheetFormatPr defaultRowHeight="12.75" x14ac:dyDescent="0.2"/>
  <cols>
    <col min="1" max="1" width="0" hidden="1" customWidth="1"/>
    <col min="2" max="2" width="8" style="2" customWidth="1"/>
    <col min="3" max="3" width="75.7109375" customWidth="1"/>
    <col min="4" max="4" width="16.42578125" customWidth="1"/>
    <col min="5" max="5" width="13" customWidth="1"/>
    <col min="6" max="6" width="13.42578125" style="37" customWidth="1"/>
    <col min="7" max="7" width="6.42578125" hidden="1" customWidth="1"/>
    <col min="8" max="8" width="17.85546875" hidden="1" customWidth="1"/>
    <col min="9" max="9" width="17" customWidth="1"/>
  </cols>
  <sheetData>
    <row r="1" spans="2:35" ht="4.5" customHeight="1" x14ac:dyDescent="0.3">
      <c r="B1" s="56"/>
      <c r="C1" s="34"/>
      <c r="D1" s="34"/>
      <c r="E1" s="34"/>
      <c r="F1" s="57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2:35" ht="18.75" customHeight="1" x14ac:dyDescent="0.35">
      <c r="B2" s="56"/>
      <c r="C2" s="779" t="s">
        <v>27</v>
      </c>
      <c r="D2" s="779"/>
      <c r="E2" s="779"/>
      <c r="F2" s="78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8.75" customHeight="1" x14ac:dyDescent="0.35">
      <c r="B3" s="56"/>
      <c r="C3" s="779" t="s">
        <v>1134</v>
      </c>
      <c r="D3" s="779"/>
      <c r="E3" s="779"/>
      <c r="F3" s="78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0.5" customHeight="1" thickBot="1" x14ac:dyDescent="0.25">
      <c r="B4" s="56"/>
      <c r="C4" s="1"/>
      <c r="D4" s="1"/>
      <c r="E4" s="1"/>
      <c r="F4" s="57" t="s">
        <v>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8.75" customHeight="1" thickBot="1" x14ac:dyDescent="0.25">
      <c r="B5" s="781" t="s">
        <v>120</v>
      </c>
      <c r="C5" s="783" t="s">
        <v>806</v>
      </c>
      <c r="D5" s="785" t="s">
        <v>1131</v>
      </c>
      <c r="E5" s="783"/>
      <c r="F5" s="78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2:35" ht="16.5" thickBot="1" x14ac:dyDescent="0.25">
      <c r="B6" s="782"/>
      <c r="C6" s="784"/>
      <c r="D6" s="114" t="s">
        <v>44</v>
      </c>
      <c r="E6" s="45" t="s">
        <v>807</v>
      </c>
      <c r="F6" s="510" t="s">
        <v>47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2:35" ht="18.75" customHeight="1" x14ac:dyDescent="0.2">
      <c r="B7" s="511" t="s">
        <v>121</v>
      </c>
      <c r="C7" s="228" t="s">
        <v>353</v>
      </c>
      <c r="D7" s="175">
        <f>SUM(D8+D32+D38+D43+D55+D58+D62)</f>
        <v>39065</v>
      </c>
      <c r="E7" s="175">
        <f>SUM(E8+E32+E38+E43+E55+E58+E62)</f>
        <v>102</v>
      </c>
      <c r="F7" s="524">
        <f>SUM(F8+F32+F38+F43+F55+F58+F62)</f>
        <v>39167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2:35" ht="15" x14ac:dyDescent="0.25">
      <c r="B8" s="512" t="s">
        <v>122</v>
      </c>
      <c r="C8" s="23" t="s">
        <v>223</v>
      </c>
      <c r="D8" s="38">
        <f>SUM(D9:D31)</f>
        <v>15176</v>
      </c>
      <c r="E8" s="38">
        <f>SUM(E9:E31)</f>
        <v>102</v>
      </c>
      <c r="F8" s="525">
        <f>SUM(F9:F31)</f>
        <v>15278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2:35" hidden="1" x14ac:dyDescent="0.2">
      <c r="B9" s="513" t="s">
        <v>212</v>
      </c>
      <c r="C9" s="610" t="s">
        <v>957</v>
      </c>
      <c r="D9" s="13"/>
      <c r="E9" s="13"/>
      <c r="F9" s="526">
        <f>D9+E9</f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2:35" hidden="1" x14ac:dyDescent="0.2">
      <c r="B10" s="513" t="s">
        <v>212</v>
      </c>
      <c r="C10" s="610" t="s">
        <v>1094</v>
      </c>
      <c r="D10" s="13"/>
      <c r="E10" s="13"/>
      <c r="F10" s="526">
        <f>D10+E10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2:35" hidden="1" x14ac:dyDescent="0.2">
      <c r="B11" s="513" t="s">
        <v>212</v>
      </c>
      <c r="C11" s="610" t="s">
        <v>957</v>
      </c>
      <c r="D11" s="13"/>
      <c r="E11" s="13"/>
      <c r="F11" s="526">
        <f t="shared" ref="F11:F31" si="0">D11+E11</f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2:35" hidden="1" x14ac:dyDescent="0.2">
      <c r="B12" s="513" t="s">
        <v>213</v>
      </c>
      <c r="C12" s="610" t="s">
        <v>959</v>
      </c>
      <c r="D12" s="13"/>
      <c r="E12" s="13"/>
      <c r="F12" s="526">
        <f t="shared" si="0"/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2:35" x14ac:dyDescent="0.2">
      <c r="B13" s="513" t="s">
        <v>213</v>
      </c>
      <c r="C13" s="610" t="s">
        <v>964</v>
      </c>
      <c r="D13" s="13">
        <v>362</v>
      </c>
      <c r="E13" s="13"/>
      <c r="F13" s="526">
        <f t="shared" si="0"/>
        <v>362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2:35" x14ac:dyDescent="0.2">
      <c r="B14" s="513" t="s">
        <v>214</v>
      </c>
      <c r="C14" s="610" t="s">
        <v>1344</v>
      </c>
      <c r="D14" s="13">
        <v>-24</v>
      </c>
      <c r="E14" s="13"/>
      <c r="F14" s="526">
        <f t="shared" si="0"/>
        <v>-24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2:35" x14ac:dyDescent="0.2">
      <c r="B15" s="513" t="s">
        <v>214</v>
      </c>
      <c r="C15" s="610" t="s">
        <v>1429</v>
      </c>
      <c r="D15" s="13">
        <v>1066</v>
      </c>
      <c r="E15" s="13"/>
      <c r="F15" s="526">
        <f t="shared" si="0"/>
        <v>1066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2:35" hidden="1" x14ac:dyDescent="0.2">
      <c r="B16" s="513" t="s">
        <v>214</v>
      </c>
      <c r="C16" s="610" t="s">
        <v>1345</v>
      </c>
      <c r="D16" s="13"/>
      <c r="E16" s="13"/>
      <c r="F16" s="526">
        <f t="shared" si="0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hidden="1" x14ac:dyDescent="0.2">
      <c r="B17" s="513" t="s">
        <v>214</v>
      </c>
      <c r="C17" s="610" t="s">
        <v>1343</v>
      </c>
      <c r="D17" s="13"/>
      <c r="E17" s="13"/>
      <c r="F17" s="526">
        <f t="shared" si="0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x14ac:dyDescent="0.2">
      <c r="B18" s="513" t="s">
        <v>214</v>
      </c>
      <c r="C18" s="610" t="s">
        <v>1432</v>
      </c>
      <c r="D18" s="13">
        <v>419</v>
      </c>
      <c r="E18" s="13"/>
      <c r="F18" s="526">
        <f t="shared" si="0"/>
        <v>419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hidden="1" x14ac:dyDescent="0.2">
      <c r="B19" s="513" t="s">
        <v>214</v>
      </c>
      <c r="C19" s="610" t="s">
        <v>1095</v>
      </c>
      <c r="D19" s="13"/>
      <c r="E19" s="13"/>
      <c r="F19" s="526">
        <f t="shared" si="0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x14ac:dyDescent="0.2">
      <c r="B20" s="513" t="s">
        <v>214</v>
      </c>
      <c r="C20" s="610" t="s">
        <v>1430</v>
      </c>
      <c r="D20" s="13">
        <v>-696</v>
      </c>
      <c r="E20" s="13"/>
      <c r="F20" s="526">
        <f>D20+E20</f>
        <v>-696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hidden="1" x14ac:dyDescent="0.2">
      <c r="B21" s="513" t="s">
        <v>215</v>
      </c>
      <c r="C21" s="610" t="s">
        <v>1113</v>
      </c>
      <c r="D21" s="13"/>
      <c r="E21" s="13"/>
      <c r="F21" s="526">
        <f t="shared" si="0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2:35" x14ac:dyDescent="0.2">
      <c r="B22" s="513" t="s">
        <v>216</v>
      </c>
      <c r="C22" s="610" t="s">
        <v>1434</v>
      </c>
      <c r="D22" s="13">
        <v>2534</v>
      </c>
      <c r="E22" s="13"/>
      <c r="F22" s="526">
        <f t="shared" si="0"/>
        <v>2534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2:35" hidden="1" x14ac:dyDescent="0.2">
      <c r="B23" s="513" t="s">
        <v>216</v>
      </c>
      <c r="C23" s="610" t="s">
        <v>1346</v>
      </c>
      <c r="D23" s="13"/>
      <c r="E23" s="13"/>
      <c r="F23" s="526">
        <f t="shared" si="0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2:35" hidden="1" x14ac:dyDescent="0.2">
      <c r="B24" s="513" t="s">
        <v>216</v>
      </c>
      <c r="C24" s="610" t="s">
        <v>1252</v>
      </c>
      <c r="D24" s="13"/>
      <c r="E24" s="13"/>
      <c r="F24" s="526">
        <f t="shared" si="0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2:35" hidden="1" x14ac:dyDescent="0.2">
      <c r="B25" s="513" t="s">
        <v>216</v>
      </c>
      <c r="C25" s="610" t="s">
        <v>1127</v>
      </c>
      <c r="D25" s="13"/>
      <c r="E25" s="13"/>
      <c r="F25" s="526">
        <f t="shared" si="0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2:35" x14ac:dyDescent="0.2">
      <c r="B26" s="513" t="s">
        <v>1361</v>
      </c>
      <c r="C26" s="610" t="s">
        <v>1437</v>
      </c>
      <c r="D26" s="13">
        <v>10989</v>
      </c>
      <c r="E26" s="13"/>
      <c r="F26" s="526">
        <f t="shared" si="0"/>
        <v>10989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2:35" x14ac:dyDescent="0.2">
      <c r="B27" s="513" t="s">
        <v>127</v>
      </c>
      <c r="C27" s="8" t="s">
        <v>1438</v>
      </c>
      <c r="D27" s="13">
        <v>22</v>
      </c>
      <c r="E27" s="13"/>
      <c r="F27" s="526">
        <f>D27+E27</f>
        <v>22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2:35" x14ac:dyDescent="0.2">
      <c r="B28" s="513" t="s">
        <v>127</v>
      </c>
      <c r="C28" s="8" t="s">
        <v>1464</v>
      </c>
      <c r="D28" s="13">
        <v>504</v>
      </c>
      <c r="E28" s="13"/>
      <c r="F28" s="526">
        <f>D28+E28</f>
        <v>504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2:35" x14ac:dyDescent="0.2">
      <c r="B29" s="513" t="s">
        <v>127</v>
      </c>
      <c r="C29" s="8" t="s">
        <v>1370</v>
      </c>
      <c r="D29" s="13"/>
      <c r="E29" s="13">
        <v>1240</v>
      </c>
      <c r="F29" s="526">
        <f>D29+E29</f>
        <v>1240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2:35" x14ac:dyDescent="0.2">
      <c r="B30" s="513" t="s">
        <v>127</v>
      </c>
      <c r="C30" s="8" t="s">
        <v>1407</v>
      </c>
      <c r="D30" s="13"/>
      <c r="E30" s="13">
        <f>94+102</f>
        <v>196</v>
      </c>
      <c r="F30" s="526">
        <f>D30+E30</f>
        <v>196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2:35" x14ac:dyDescent="0.2">
      <c r="B31" s="513" t="s">
        <v>127</v>
      </c>
      <c r="C31" s="8" t="s">
        <v>1406</v>
      </c>
      <c r="D31" s="13"/>
      <c r="E31" s="13">
        <f>-1240-94</f>
        <v>-1334</v>
      </c>
      <c r="F31" s="526">
        <f t="shared" si="0"/>
        <v>-1334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2:35" ht="13.5" customHeight="1" x14ac:dyDescent="0.25">
      <c r="B32" s="512" t="s">
        <v>133</v>
      </c>
      <c r="C32" s="23" t="s">
        <v>224</v>
      </c>
      <c r="D32" s="38">
        <f>SUM(D33:D37)</f>
        <v>0</v>
      </c>
      <c r="E32" s="38">
        <f>SUM(E33:E37)</f>
        <v>0</v>
      </c>
      <c r="F32" s="525">
        <f>SUM(F33:F37)</f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2:35" hidden="1" x14ac:dyDescent="0.2">
      <c r="B33" s="513" t="s">
        <v>137</v>
      </c>
      <c r="C33" s="20" t="s">
        <v>1354</v>
      </c>
      <c r="D33" s="13"/>
      <c r="E33" s="13"/>
      <c r="F33" s="526">
        <f>D33+E33</f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2:35" hidden="1" x14ac:dyDescent="0.2">
      <c r="B34" s="513" t="s">
        <v>137</v>
      </c>
      <c r="C34" s="8" t="s">
        <v>1235</v>
      </c>
      <c r="D34" s="13"/>
      <c r="E34" s="13"/>
      <c r="F34" s="526">
        <f>D34+E34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2:35" hidden="1" x14ac:dyDescent="0.2">
      <c r="B35" s="513" t="s">
        <v>137</v>
      </c>
      <c r="C35" s="8" t="s">
        <v>1241</v>
      </c>
      <c r="D35" s="13"/>
      <c r="E35" s="13"/>
      <c r="F35" s="526">
        <f>D35+E35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2:35" hidden="1" x14ac:dyDescent="0.2">
      <c r="B36" s="513" t="s">
        <v>137</v>
      </c>
      <c r="C36" s="8" t="s">
        <v>1242</v>
      </c>
      <c r="D36" s="13"/>
      <c r="E36" s="13"/>
      <c r="F36" s="526">
        <f>D36+E36</f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2:35" hidden="1" x14ac:dyDescent="0.2">
      <c r="B37" s="513" t="s">
        <v>137</v>
      </c>
      <c r="C37" s="8" t="s">
        <v>1258</v>
      </c>
      <c r="D37" s="13"/>
      <c r="E37" s="13"/>
      <c r="F37" s="526">
        <f>D37+E37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2:35" ht="15" x14ac:dyDescent="0.25">
      <c r="B38" s="512" t="s">
        <v>142</v>
      </c>
      <c r="C38" s="23" t="s">
        <v>104</v>
      </c>
      <c r="D38" s="42">
        <f>SUM(D39:D42)</f>
        <v>3800</v>
      </c>
      <c r="E38" s="42">
        <f>SUM(E39:E42)</f>
        <v>0</v>
      </c>
      <c r="F38" s="527">
        <f>SUM(F39:F42)</f>
        <v>3800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2:35" x14ac:dyDescent="0.2">
      <c r="B39" s="513" t="s">
        <v>1439</v>
      </c>
      <c r="C39" s="8" t="s">
        <v>1440</v>
      </c>
      <c r="D39" s="13">
        <v>500</v>
      </c>
      <c r="E39" s="506"/>
      <c r="F39" s="526">
        <f>D39+E39</f>
        <v>500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2:35" x14ac:dyDescent="0.2">
      <c r="B40" s="513" t="s">
        <v>846</v>
      </c>
      <c r="C40" s="8" t="s">
        <v>960</v>
      </c>
      <c r="D40" s="13">
        <v>2500</v>
      </c>
      <c r="E40" s="506"/>
      <c r="F40" s="526">
        <f t="shared" ref="F40:F41" si="1">D40+E40</f>
        <v>2500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2:35" hidden="1" x14ac:dyDescent="0.2">
      <c r="B41" s="513" t="s">
        <v>943</v>
      </c>
      <c r="C41" s="8" t="s">
        <v>1114</v>
      </c>
      <c r="D41" s="13"/>
      <c r="E41" s="13"/>
      <c r="F41" s="526">
        <f t="shared" si="1"/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2:35" x14ac:dyDescent="0.2">
      <c r="B42" s="513" t="s">
        <v>148</v>
      </c>
      <c r="C42" s="8" t="s">
        <v>1115</v>
      </c>
      <c r="D42" s="13">
        <v>800</v>
      </c>
      <c r="E42" s="13"/>
      <c r="F42" s="526">
        <f>D42+E42</f>
        <v>800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2:35" s="50" customFormat="1" ht="15" x14ac:dyDescent="0.25">
      <c r="B43" s="512" t="s">
        <v>153</v>
      </c>
      <c r="C43" s="23" t="s">
        <v>225</v>
      </c>
      <c r="D43" s="42">
        <f>SUM(D44:D54)</f>
        <v>17421</v>
      </c>
      <c r="E43" s="42">
        <f>SUM(E44:E54)</f>
        <v>0</v>
      </c>
      <c r="F43" s="527">
        <f>SUM(F44:F54)</f>
        <v>17421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2:35" ht="13.5" customHeight="1" x14ac:dyDescent="0.2">
      <c r="B44" s="513" t="s">
        <v>156</v>
      </c>
      <c r="C44" s="8" t="s">
        <v>1441</v>
      </c>
      <c r="D44" s="13">
        <v>310</v>
      </c>
      <c r="E44" s="13"/>
      <c r="F44" s="526">
        <f t="shared" ref="F44:F53" si="2">D44+E44</f>
        <v>310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2:35" ht="13.5" hidden="1" customHeight="1" x14ac:dyDescent="0.2">
      <c r="B45" s="513" t="s">
        <v>157</v>
      </c>
      <c r="C45" s="8" t="s">
        <v>1348</v>
      </c>
      <c r="D45" s="13"/>
      <c r="E45" s="13"/>
      <c r="F45" s="526">
        <f t="shared" si="2"/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2:35" ht="13.5" customHeight="1" x14ac:dyDescent="0.2">
      <c r="B46" s="513" t="s">
        <v>158</v>
      </c>
      <c r="C46" s="8" t="s">
        <v>1475</v>
      </c>
      <c r="D46" s="13">
        <v>1652</v>
      </c>
      <c r="E46" s="13"/>
      <c r="F46" s="526">
        <f t="shared" si="2"/>
        <v>1652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2:35" hidden="1" x14ac:dyDescent="0.2">
      <c r="B47" s="513" t="s">
        <v>159</v>
      </c>
      <c r="C47" s="20" t="s">
        <v>1349</v>
      </c>
      <c r="D47" s="13"/>
      <c r="E47" s="13"/>
      <c r="F47" s="526">
        <f t="shared" si="2"/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2:35" hidden="1" x14ac:dyDescent="0.2">
      <c r="B48" s="513" t="s">
        <v>160</v>
      </c>
      <c r="C48" s="20" t="s">
        <v>1350</v>
      </c>
      <c r="D48" s="13"/>
      <c r="E48" s="13"/>
      <c r="F48" s="526">
        <f t="shared" si="2"/>
        <v>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2:35" ht="13.5" customHeight="1" x14ac:dyDescent="0.2">
      <c r="B49" s="513" t="s">
        <v>164</v>
      </c>
      <c r="C49" s="20" t="s">
        <v>1119</v>
      </c>
      <c r="D49" s="13">
        <v>360</v>
      </c>
      <c r="E49" s="13"/>
      <c r="F49" s="526">
        <f t="shared" si="2"/>
        <v>360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2:35" hidden="1" x14ac:dyDescent="0.2">
      <c r="B50" s="513" t="s">
        <v>176</v>
      </c>
      <c r="C50" s="8" t="s">
        <v>1351</v>
      </c>
      <c r="D50" s="13"/>
      <c r="E50" s="13"/>
      <c r="F50" s="526">
        <f t="shared" si="2"/>
        <v>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2:35" ht="13.5" customHeight="1" x14ac:dyDescent="0.2">
      <c r="B51" s="513" t="s">
        <v>400</v>
      </c>
      <c r="C51" s="20" t="s">
        <v>1443</v>
      </c>
      <c r="D51" s="13">
        <f>15100-1</f>
        <v>15099</v>
      </c>
      <c r="E51" s="13"/>
      <c r="F51" s="526">
        <f t="shared" si="2"/>
        <v>15099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2:35" ht="13.5" hidden="1" customHeight="1" x14ac:dyDescent="0.2">
      <c r="B52" s="513" t="s">
        <v>400</v>
      </c>
      <c r="C52" s="20" t="s">
        <v>1374</v>
      </c>
      <c r="D52" s="13"/>
      <c r="E52" s="13"/>
      <c r="F52" s="526">
        <f t="shared" si="2"/>
        <v>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2:35" ht="13.5" hidden="1" customHeight="1" x14ac:dyDescent="0.2">
      <c r="B53" s="513" t="s">
        <v>400</v>
      </c>
      <c r="C53" s="20" t="s">
        <v>1376</v>
      </c>
      <c r="D53" s="13"/>
      <c r="E53" s="13"/>
      <c r="F53" s="526">
        <f t="shared" si="2"/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2:35" ht="13.5" hidden="1" customHeight="1" x14ac:dyDescent="0.2">
      <c r="B54" s="513"/>
      <c r="C54" s="20"/>
      <c r="D54" s="13"/>
      <c r="E54" s="13"/>
      <c r="F54" s="52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2:35" ht="15" x14ac:dyDescent="0.25">
      <c r="B55" s="512" t="s">
        <v>180</v>
      </c>
      <c r="C55" s="23" t="s">
        <v>226</v>
      </c>
      <c r="D55" s="42">
        <f>SUM(D56:D57)</f>
        <v>0</v>
      </c>
      <c r="E55" s="42">
        <f>SUM(E56:E57)</f>
        <v>0</v>
      </c>
      <c r="F55" s="527">
        <f>SUM(F56:F57)</f>
        <v>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2:35" ht="13.5" hidden="1" customHeight="1" x14ac:dyDescent="0.2">
      <c r="B56" s="603" t="s">
        <v>183</v>
      </c>
      <c r="C56" s="20" t="s">
        <v>1389</v>
      </c>
      <c r="D56" s="167"/>
      <c r="E56" s="167"/>
      <c r="F56" s="526">
        <f>D56+E56</f>
        <v>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2:35" ht="13.5" hidden="1" customHeight="1" x14ac:dyDescent="0.2">
      <c r="B57" s="603" t="s">
        <v>182</v>
      </c>
      <c r="C57" s="20"/>
      <c r="D57" s="167"/>
      <c r="E57" s="167"/>
      <c r="F57" s="60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2:35" ht="15.75" customHeight="1" x14ac:dyDescent="0.25">
      <c r="B58" s="512" t="s">
        <v>191</v>
      </c>
      <c r="C58" s="23" t="s">
        <v>227</v>
      </c>
      <c r="D58" s="42">
        <f>SUM(D59:D61)</f>
        <v>2668</v>
      </c>
      <c r="E58" s="42">
        <f>SUM(E59:E61)</f>
        <v>0</v>
      </c>
      <c r="F58" s="527">
        <f>SUM(F59:F61)</f>
        <v>2668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2:35" ht="13.5" customHeight="1" x14ac:dyDescent="0.2">
      <c r="B59" s="605" t="s">
        <v>407</v>
      </c>
      <c r="C59" s="8" t="s">
        <v>1444</v>
      </c>
      <c r="D59" s="13">
        <v>2668</v>
      </c>
      <c r="E59" s="13"/>
      <c r="F59" s="526">
        <f>D59+E59</f>
        <v>2668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2:35" ht="13.5" hidden="1" customHeight="1" x14ac:dyDescent="0.2">
      <c r="B60" s="605" t="s">
        <v>407</v>
      </c>
      <c r="C60" s="8" t="s">
        <v>1130</v>
      </c>
      <c r="D60" s="13"/>
      <c r="E60" s="13"/>
      <c r="F60" s="526">
        <f>D60+E60</f>
        <v>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2:35" ht="13.5" hidden="1" customHeight="1" x14ac:dyDescent="0.2">
      <c r="B61" s="605" t="s">
        <v>1129</v>
      </c>
      <c r="C61" s="8" t="s">
        <v>1108</v>
      </c>
      <c r="D61" s="13"/>
      <c r="E61" s="13"/>
      <c r="F61" s="526">
        <f>D61+E61</f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2:35" ht="14.25" customHeight="1" x14ac:dyDescent="0.25">
      <c r="B62" s="512" t="s">
        <v>192</v>
      </c>
      <c r="C62" s="23" t="s">
        <v>228</v>
      </c>
      <c r="D62" s="42">
        <f>SUM(D63:D63)</f>
        <v>0</v>
      </c>
      <c r="E62" s="42">
        <f>SUM(E63:E63)</f>
        <v>0</v>
      </c>
      <c r="F62" s="527">
        <f>SUM(F63:F63)</f>
        <v>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2:35" ht="13.5" hidden="1" customHeight="1" x14ac:dyDescent="0.2">
      <c r="B63" s="513" t="s">
        <v>512</v>
      </c>
      <c r="C63" s="20"/>
      <c r="D63" s="13"/>
      <c r="E63" s="13"/>
      <c r="F63" s="526">
        <f>D63+E63</f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2:35" ht="15" x14ac:dyDescent="0.25">
      <c r="B64" s="606" t="s">
        <v>808</v>
      </c>
      <c r="C64" s="189" t="s">
        <v>354</v>
      </c>
      <c r="D64" s="42">
        <f>SUM(D65+D70)</f>
        <v>19840</v>
      </c>
      <c r="E64" s="42">
        <f>SUM(E65+E70)</f>
        <v>0</v>
      </c>
      <c r="F64" s="527">
        <f>SUM(F65+F70)</f>
        <v>19840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2:35" ht="15" x14ac:dyDescent="0.25">
      <c r="B65" s="606"/>
      <c r="C65" s="23" t="s">
        <v>809</v>
      </c>
      <c r="D65" s="42">
        <f>SUM(D66+D69)</f>
        <v>19840</v>
      </c>
      <c r="E65" s="42">
        <f>SUM(E66+E69)</f>
        <v>0</v>
      </c>
      <c r="F65" s="527">
        <f>SUM(F66+F69)</f>
        <v>19840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2:35" ht="13.5" customHeight="1" x14ac:dyDescent="0.2">
      <c r="B66" s="513"/>
      <c r="C66" s="31" t="s">
        <v>1447</v>
      </c>
      <c r="D66" s="13">
        <f>D67+D68</f>
        <v>0</v>
      </c>
      <c r="E66" s="13">
        <f>E67+E68</f>
        <v>0</v>
      </c>
      <c r="F66" s="526">
        <f>F67+F68</f>
        <v>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2:35" s="517" customFormat="1" ht="13.5" hidden="1" customHeight="1" x14ac:dyDescent="0.2">
      <c r="B67" s="514"/>
      <c r="C67" s="515" t="s">
        <v>1445</v>
      </c>
      <c r="D67" s="196"/>
      <c r="E67" s="196"/>
      <c r="F67" s="528">
        <f>SUM(D67:E67)</f>
        <v>0</v>
      </c>
      <c r="G67" s="516"/>
      <c r="H67" s="516"/>
      <c r="I67" s="516"/>
      <c r="J67" s="516"/>
      <c r="K67" s="516"/>
      <c r="L67" s="516"/>
      <c r="M67" s="516"/>
      <c r="N67" s="516"/>
      <c r="O67" s="516"/>
      <c r="P67" s="516"/>
      <c r="Q67" s="516"/>
      <c r="R67" s="516"/>
      <c r="S67" s="516"/>
      <c r="T67" s="516"/>
      <c r="U67" s="516"/>
      <c r="V67" s="516"/>
      <c r="W67" s="516"/>
      <c r="X67" s="516"/>
      <c r="Y67" s="516"/>
      <c r="Z67" s="516"/>
      <c r="AA67" s="516"/>
      <c r="AB67" s="516"/>
      <c r="AC67" s="516"/>
      <c r="AD67" s="516"/>
      <c r="AE67" s="516"/>
      <c r="AF67" s="516"/>
      <c r="AG67" s="516"/>
      <c r="AH67" s="516"/>
      <c r="AI67" s="516"/>
    </row>
    <row r="68" spans="2:35" s="517" customFormat="1" ht="13.5" hidden="1" customHeight="1" x14ac:dyDescent="0.2">
      <c r="B68" s="514"/>
      <c r="C68" s="515" t="s">
        <v>1446</v>
      </c>
      <c r="D68" s="196"/>
      <c r="E68" s="196"/>
      <c r="F68" s="528"/>
      <c r="G68" s="516"/>
      <c r="H68" s="516"/>
      <c r="I68" s="516"/>
      <c r="J68" s="516"/>
      <c r="K68" s="516"/>
      <c r="L68" s="516"/>
      <c r="M68" s="516"/>
      <c r="N68" s="516"/>
      <c r="O68" s="516"/>
      <c r="P68" s="516"/>
      <c r="Q68" s="516"/>
      <c r="R68" s="516"/>
      <c r="S68" s="516"/>
      <c r="T68" s="516"/>
      <c r="U68" s="516"/>
      <c r="V68" s="516"/>
      <c r="W68" s="516"/>
      <c r="X68" s="516"/>
      <c r="Y68" s="516"/>
      <c r="Z68" s="516"/>
      <c r="AA68" s="516"/>
      <c r="AB68" s="516"/>
      <c r="AC68" s="516"/>
      <c r="AD68" s="516"/>
      <c r="AE68" s="516"/>
      <c r="AF68" s="516"/>
      <c r="AG68" s="516"/>
      <c r="AH68" s="516"/>
      <c r="AI68" s="516"/>
    </row>
    <row r="69" spans="2:35" s="517" customFormat="1" ht="13.5" customHeight="1" x14ac:dyDescent="0.2">
      <c r="B69" s="514"/>
      <c r="C69" s="31" t="s">
        <v>810</v>
      </c>
      <c r="D69" s="13">
        <v>19840</v>
      </c>
      <c r="E69" s="13"/>
      <c r="F69" s="526">
        <f>D69+E69</f>
        <v>19840</v>
      </c>
      <c r="G69" s="516"/>
      <c r="H69" s="516"/>
      <c r="I69" s="516"/>
      <c r="J69" s="516"/>
      <c r="K69" s="516"/>
      <c r="L69" s="516"/>
      <c r="M69" s="516"/>
      <c r="N69" s="516"/>
      <c r="O69" s="516"/>
      <c r="P69" s="516"/>
      <c r="Q69" s="516"/>
      <c r="R69" s="516"/>
      <c r="S69" s="516"/>
      <c r="T69" s="516"/>
      <c r="U69" s="516"/>
      <c r="V69" s="516"/>
      <c r="W69" s="516"/>
      <c r="X69" s="516"/>
      <c r="Y69" s="516"/>
      <c r="Z69" s="516"/>
      <c r="AA69" s="516"/>
      <c r="AB69" s="516"/>
      <c r="AC69" s="516"/>
      <c r="AD69" s="516"/>
      <c r="AE69" s="516"/>
      <c r="AF69" s="516"/>
      <c r="AG69" s="516"/>
      <c r="AH69" s="516"/>
      <c r="AI69" s="516"/>
    </row>
    <row r="70" spans="2:35" ht="15.75" thickBot="1" x14ac:dyDescent="0.3">
      <c r="B70" s="513"/>
      <c r="C70" s="23" t="s">
        <v>811</v>
      </c>
      <c r="D70" s="42">
        <f>SUM(D71:D71)</f>
        <v>0</v>
      </c>
      <c r="E70" s="42">
        <f>SUM(E71:E71)</f>
        <v>0</v>
      </c>
      <c r="F70" s="527">
        <f>SUM(F71:F71)</f>
        <v>0</v>
      </c>
      <c r="G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2:35" ht="13.5" hidden="1" customHeight="1" thickBot="1" x14ac:dyDescent="0.25">
      <c r="B71" s="518"/>
      <c r="C71" s="8" t="s">
        <v>1126</v>
      </c>
      <c r="D71" s="80"/>
      <c r="E71" s="12"/>
      <c r="F71" s="526">
        <f>D71+E71</f>
        <v>0</v>
      </c>
      <c r="G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2:35" ht="20.25" thickBot="1" x14ac:dyDescent="0.4">
      <c r="B72" s="519"/>
      <c r="C72" s="47" t="s">
        <v>812</v>
      </c>
      <c r="D72" s="520">
        <f>SUM(D7+D64)</f>
        <v>58905</v>
      </c>
      <c r="E72" s="520">
        <f>SUM(E7+E64)</f>
        <v>102</v>
      </c>
      <c r="F72" s="48">
        <f>SUM(F7+F64)</f>
        <v>59007</v>
      </c>
      <c r="G72" s="7">
        <f>F72-F182</f>
        <v>0</v>
      </c>
      <c r="H72" s="76">
        <f>'1.Bev-kiad.'!H63</f>
        <v>59007</v>
      </c>
      <c r="J72" s="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2:35" ht="15.75" x14ac:dyDescent="0.25">
      <c r="B73" s="511" t="s">
        <v>813</v>
      </c>
      <c r="C73" s="227" t="s">
        <v>355</v>
      </c>
      <c r="D73" s="176">
        <f>SUM(D74+D156)</f>
        <v>39990</v>
      </c>
      <c r="E73" s="176">
        <f>SUM(E74+E156)</f>
        <v>19017</v>
      </c>
      <c r="F73" s="529">
        <f>SUM(F74+F156)</f>
        <v>59007</v>
      </c>
      <c r="G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2:35" ht="15" x14ac:dyDescent="0.25">
      <c r="B74" s="512" t="s">
        <v>206</v>
      </c>
      <c r="C74" s="23" t="s">
        <v>8</v>
      </c>
      <c r="D74" s="38">
        <f>SUM(D75:D155)</f>
        <v>39990</v>
      </c>
      <c r="E74" s="38">
        <f>SUM(E75:E155)</f>
        <v>19017</v>
      </c>
      <c r="F74" s="525">
        <f>SUM(F75:F155)</f>
        <v>59007</v>
      </c>
      <c r="G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2:35" x14ac:dyDescent="0.2">
      <c r="B75" s="513" t="s">
        <v>814</v>
      </c>
      <c r="C75" s="8" t="s">
        <v>1408</v>
      </c>
      <c r="D75" s="167">
        <v>-5</v>
      </c>
      <c r="E75" s="167">
        <f>102+9700</f>
        <v>9802</v>
      </c>
      <c r="F75" s="526">
        <f t="shared" ref="F75:F155" si="3">D75+E75</f>
        <v>9797</v>
      </c>
      <c r="G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2:35" x14ac:dyDescent="0.2">
      <c r="B76" s="513" t="s">
        <v>814</v>
      </c>
      <c r="C76" s="8" t="s">
        <v>1408</v>
      </c>
      <c r="D76" s="167"/>
      <c r="E76" s="167">
        <v>1528</v>
      </c>
      <c r="F76" s="526">
        <f t="shared" si="3"/>
        <v>1528</v>
      </c>
      <c r="G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2:35" x14ac:dyDescent="0.2">
      <c r="B77" s="513" t="s">
        <v>941</v>
      </c>
      <c r="C77" s="8" t="s">
        <v>1409</v>
      </c>
      <c r="D77" s="167"/>
      <c r="E77" s="167">
        <v>400</v>
      </c>
      <c r="F77" s="526">
        <f t="shared" si="3"/>
        <v>400</v>
      </c>
      <c r="G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2:35" hidden="1" x14ac:dyDescent="0.2">
      <c r="B78" s="513" t="s">
        <v>1355</v>
      </c>
      <c r="C78" s="8" t="s">
        <v>1356</v>
      </c>
      <c r="D78" s="167"/>
      <c r="E78" s="167"/>
      <c r="F78" s="526">
        <f t="shared" si="3"/>
        <v>0</v>
      </c>
      <c r="G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2:35" hidden="1" x14ac:dyDescent="0.2">
      <c r="B79" s="513" t="s">
        <v>1381</v>
      </c>
      <c r="C79" s="8" t="s">
        <v>1382</v>
      </c>
      <c r="D79" s="167"/>
      <c r="E79" s="167"/>
      <c r="F79" s="526">
        <f t="shared" si="3"/>
        <v>0</v>
      </c>
      <c r="G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2:35" x14ac:dyDescent="0.2">
      <c r="B80" s="513" t="s">
        <v>853</v>
      </c>
      <c r="C80" s="8" t="s">
        <v>1410</v>
      </c>
      <c r="D80" s="167">
        <v>520</v>
      </c>
      <c r="E80" s="167">
        <v>674</v>
      </c>
      <c r="F80" s="526">
        <f t="shared" si="3"/>
        <v>1194</v>
      </c>
      <c r="G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2:35" hidden="1" x14ac:dyDescent="0.2">
      <c r="B81" s="513" t="s">
        <v>842</v>
      </c>
      <c r="C81" s="8" t="s">
        <v>1379</v>
      </c>
      <c r="D81" s="167"/>
      <c r="E81" s="167"/>
      <c r="F81" s="526">
        <f t="shared" si="3"/>
        <v>0</v>
      </c>
      <c r="G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2:35" hidden="1" x14ac:dyDescent="0.2">
      <c r="B82" s="513" t="s">
        <v>842</v>
      </c>
      <c r="C82" s="8" t="s">
        <v>958</v>
      </c>
      <c r="D82" s="167"/>
      <c r="E82" s="167"/>
      <c r="F82" s="526">
        <f t="shared" si="3"/>
        <v>0</v>
      </c>
      <c r="G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2:35" hidden="1" x14ac:dyDescent="0.2">
      <c r="B83" s="513" t="s">
        <v>852</v>
      </c>
      <c r="C83" s="8" t="s">
        <v>1255</v>
      </c>
      <c r="D83" s="167"/>
      <c r="E83" s="167"/>
      <c r="F83" s="526">
        <f t="shared" si="3"/>
        <v>0</v>
      </c>
      <c r="G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2:35" hidden="1" x14ac:dyDescent="0.2">
      <c r="B84" s="513" t="s">
        <v>852</v>
      </c>
      <c r="C84" s="8" t="s">
        <v>1380</v>
      </c>
      <c r="D84" s="167"/>
      <c r="E84" s="167"/>
      <c r="F84" s="526">
        <f t="shared" si="3"/>
        <v>0</v>
      </c>
      <c r="G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2:35" hidden="1" x14ac:dyDescent="0.2">
      <c r="B85" s="513" t="s">
        <v>815</v>
      </c>
      <c r="C85" s="8" t="s">
        <v>1388</v>
      </c>
      <c r="D85" s="167"/>
      <c r="E85" s="167"/>
      <c r="F85" s="526">
        <f t="shared" si="3"/>
        <v>0</v>
      </c>
      <c r="G85" s="2"/>
      <c r="I85" s="7"/>
      <c r="J85" s="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2:35" hidden="1" x14ac:dyDescent="0.2">
      <c r="B86" s="513" t="s">
        <v>815</v>
      </c>
      <c r="C86" s="8" t="s">
        <v>1097</v>
      </c>
      <c r="D86" s="167"/>
      <c r="E86" s="167"/>
      <c r="F86" s="526">
        <f t="shared" si="3"/>
        <v>0</v>
      </c>
      <c r="G86" s="2"/>
      <c r="I86" s="7"/>
      <c r="J86" s="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2:35" x14ac:dyDescent="0.2">
      <c r="B87" s="513" t="s">
        <v>815</v>
      </c>
      <c r="C87" s="8" t="s">
        <v>1450</v>
      </c>
      <c r="D87" s="167">
        <v>85</v>
      </c>
      <c r="E87" s="167"/>
      <c r="F87" s="526">
        <f t="shared" si="3"/>
        <v>85</v>
      </c>
      <c r="G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2:35" hidden="1" x14ac:dyDescent="0.2">
      <c r="B88" s="513" t="s">
        <v>815</v>
      </c>
      <c r="C88" s="8" t="s">
        <v>1375</v>
      </c>
      <c r="D88" s="167"/>
      <c r="E88" s="167"/>
      <c r="F88" s="526">
        <f t="shared" si="3"/>
        <v>0</v>
      </c>
      <c r="G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2:35" hidden="1" x14ac:dyDescent="0.2">
      <c r="B89" s="513" t="s">
        <v>815</v>
      </c>
      <c r="C89" s="8" t="s">
        <v>1109</v>
      </c>
      <c r="D89" s="167"/>
      <c r="E89" s="167"/>
      <c r="F89" s="526">
        <f t="shared" si="3"/>
        <v>0</v>
      </c>
      <c r="G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2:35" x14ac:dyDescent="0.2">
      <c r="B90" s="513" t="s">
        <v>1098</v>
      </c>
      <c r="C90" s="8" t="s">
        <v>1449</v>
      </c>
      <c r="D90" s="167">
        <v>115</v>
      </c>
      <c r="E90" s="167"/>
      <c r="F90" s="526">
        <f t="shared" si="3"/>
        <v>115</v>
      </c>
      <c r="G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2:35" x14ac:dyDescent="0.2">
      <c r="B91" s="513" t="s">
        <v>816</v>
      </c>
      <c r="C91" s="8" t="s">
        <v>1448</v>
      </c>
      <c r="D91" s="167">
        <f>-115-85</f>
        <v>-200</v>
      </c>
      <c r="E91" s="167"/>
      <c r="F91" s="526">
        <f t="shared" si="3"/>
        <v>-200</v>
      </c>
      <c r="G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2:35" x14ac:dyDescent="0.2">
      <c r="B92" s="513" t="s">
        <v>816</v>
      </c>
      <c r="C92" s="8" t="s">
        <v>1371</v>
      </c>
      <c r="D92" s="167"/>
      <c r="E92" s="167">
        <v>426</v>
      </c>
      <c r="F92" s="526">
        <f t="shared" si="3"/>
        <v>426</v>
      </c>
      <c r="G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2:35" hidden="1" x14ac:dyDescent="0.2">
      <c r="B93" s="513" t="s">
        <v>831</v>
      </c>
      <c r="C93" s="8" t="s">
        <v>1282</v>
      </c>
      <c r="D93" s="167"/>
      <c r="E93" s="167"/>
      <c r="F93" s="526">
        <f t="shared" si="3"/>
        <v>0</v>
      </c>
      <c r="G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2:35" hidden="1" x14ac:dyDescent="0.2">
      <c r="B94" s="513" t="s">
        <v>831</v>
      </c>
      <c r="C94" s="8" t="s">
        <v>1378</v>
      </c>
      <c r="D94" s="167"/>
      <c r="E94" s="167"/>
      <c r="F94" s="526">
        <f t="shared" si="3"/>
        <v>0</v>
      </c>
      <c r="G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2:35" x14ac:dyDescent="0.2">
      <c r="B95" s="513" t="s">
        <v>219</v>
      </c>
      <c r="C95" s="8" t="s">
        <v>1451</v>
      </c>
      <c r="D95" s="167">
        <v>5</v>
      </c>
      <c r="E95" s="167">
        <f>81+76+1500</f>
        <v>1657</v>
      </c>
      <c r="F95" s="526">
        <f t="shared" si="3"/>
        <v>1662</v>
      </c>
      <c r="G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2:35" x14ac:dyDescent="0.2">
      <c r="B96" s="513" t="s">
        <v>1100</v>
      </c>
      <c r="C96" s="8" t="s">
        <v>1414</v>
      </c>
      <c r="D96" s="167"/>
      <c r="E96" s="167">
        <v>20</v>
      </c>
      <c r="F96" s="526">
        <f t="shared" si="3"/>
        <v>20</v>
      </c>
      <c r="G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2:35" x14ac:dyDescent="0.2">
      <c r="B97" s="513" t="s">
        <v>956</v>
      </c>
      <c r="C97" s="8" t="s">
        <v>1411</v>
      </c>
      <c r="D97" s="167"/>
      <c r="E97" s="167">
        <v>750</v>
      </c>
      <c r="F97" s="526">
        <f t="shared" si="3"/>
        <v>750</v>
      </c>
      <c r="G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2:35" x14ac:dyDescent="0.2">
      <c r="B98" s="513" t="s">
        <v>956</v>
      </c>
      <c r="C98" s="8" t="s">
        <v>1412</v>
      </c>
      <c r="D98" s="167"/>
      <c r="E98" s="167">
        <v>500</v>
      </c>
      <c r="F98" s="526">
        <f t="shared" si="3"/>
        <v>500</v>
      </c>
      <c r="G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2:35" hidden="1" x14ac:dyDescent="0.2">
      <c r="B99" s="513" t="s">
        <v>956</v>
      </c>
      <c r="C99" s="8" t="s">
        <v>1421</v>
      </c>
      <c r="D99" s="167"/>
      <c r="E99" s="167"/>
      <c r="F99" s="526">
        <f t="shared" si="3"/>
        <v>0</v>
      </c>
      <c r="G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2:35" x14ac:dyDescent="0.2">
      <c r="B100" s="513" t="s">
        <v>956</v>
      </c>
      <c r="C100" s="8" t="s">
        <v>1420</v>
      </c>
      <c r="D100" s="167"/>
      <c r="E100" s="167">
        <v>750</v>
      </c>
      <c r="F100" s="526">
        <f t="shared" si="3"/>
        <v>750</v>
      </c>
      <c r="G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2:35" x14ac:dyDescent="0.2">
      <c r="B101" s="513" t="s">
        <v>956</v>
      </c>
      <c r="C101" s="8" t="s">
        <v>1413</v>
      </c>
      <c r="D101" s="167"/>
      <c r="E101" s="167">
        <v>36</v>
      </c>
      <c r="F101" s="526">
        <f t="shared" si="3"/>
        <v>36</v>
      </c>
      <c r="G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2:35" hidden="1" x14ac:dyDescent="0.2">
      <c r="B102" s="513" t="s">
        <v>956</v>
      </c>
      <c r="C102" s="8" t="s">
        <v>1286</v>
      </c>
      <c r="D102" s="167"/>
      <c r="E102" s="167"/>
      <c r="F102" s="526">
        <f t="shared" si="3"/>
        <v>0</v>
      </c>
      <c r="G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2:35" hidden="1" x14ac:dyDescent="0.2">
      <c r="B103" s="513" t="s">
        <v>956</v>
      </c>
      <c r="C103" s="8" t="s">
        <v>1285</v>
      </c>
      <c r="D103" s="167"/>
      <c r="E103" s="167"/>
      <c r="F103" s="526">
        <f t="shared" si="3"/>
        <v>0</v>
      </c>
      <c r="G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2:35" x14ac:dyDescent="0.2">
      <c r="B104" s="513" t="s">
        <v>1283</v>
      </c>
      <c r="C104" s="8" t="s">
        <v>1357</v>
      </c>
      <c r="D104" s="167">
        <v>35</v>
      </c>
      <c r="E104" s="167"/>
      <c r="F104" s="526">
        <f t="shared" si="3"/>
        <v>35</v>
      </c>
      <c r="G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2:35" x14ac:dyDescent="0.2">
      <c r="B105" s="513" t="s">
        <v>1101</v>
      </c>
      <c r="C105" s="8" t="s">
        <v>1453</v>
      </c>
      <c r="D105" s="167">
        <v>-12</v>
      </c>
      <c r="E105" s="167"/>
      <c r="F105" s="526">
        <f t="shared" si="3"/>
        <v>-12</v>
      </c>
      <c r="G105" s="2"/>
      <c r="I105" s="7"/>
      <c r="J105" s="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2:35" x14ac:dyDescent="0.2">
      <c r="B106" s="513" t="s">
        <v>817</v>
      </c>
      <c r="C106" s="8" t="s">
        <v>1452</v>
      </c>
      <c r="D106" s="167">
        <v>12</v>
      </c>
      <c r="E106" s="167"/>
      <c r="F106" s="526">
        <f t="shared" si="3"/>
        <v>12</v>
      </c>
      <c r="G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2:35" hidden="1" x14ac:dyDescent="0.2">
      <c r="B107" s="513" t="s">
        <v>1099</v>
      </c>
      <c r="C107" s="8" t="s">
        <v>322</v>
      </c>
      <c r="D107" s="167"/>
      <c r="E107" s="167"/>
      <c r="F107" s="526">
        <f t="shared" si="3"/>
        <v>0</v>
      </c>
      <c r="G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2:35" x14ac:dyDescent="0.2">
      <c r="B108" s="513" t="s">
        <v>1263</v>
      </c>
      <c r="C108" s="8" t="s">
        <v>1264</v>
      </c>
      <c r="D108" s="167">
        <v>422</v>
      </c>
      <c r="E108" s="167"/>
      <c r="F108" s="526">
        <f t="shared" si="3"/>
        <v>422</v>
      </c>
      <c r="G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2:35" hidden="1" x14ac:dyDescent="0.2">
      <c r="B109" s="513" t="s">
        <v>1102</v>
      </c>
      <c r="C109" s="8" t="s">
        <v>1352</v>
      </c>
      <c r="D109" s="167"/>
      <c r="E109" s="167"/>
      <c r="F109" s="526">
        <f t="shared" si="3"/>
        <v>0</v>
      </c>
      <c r="G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2:35" hidden="1" x14ac:dyDescent="0.2">
      <c r="B110" s="513" t="s">
        <v>1102</v>
      </c>
      <c r="C110" s="8" t="s">
        <v>1383</v>
      </c>
      <c r="D110" s="167"/>
      <c r="E110" s="167"/>
      <c r="F110" s="526">
        <f t="shared" si="3"/>
        <v>0</v>
      </c>
      <c r="G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2:35" hidden="1" x14ac:dyDescent="0.2">
      <c r="B111" s="513" t="s">
        <v>1102</v>
      </c>
      <c r="C111" s="8" t="s">
        <v>1121</v>
      </c>
      <c r="D111" s="167"/>
      <c r="E111" s="167"/>
      <c r="F111" s="526">
        <f t="shared" si="3"/>
        <v>0</v>
      </c>
      <c r="G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2:35" x14ac:dyDescent="0.2">
      <c r="B112" s="513" t="s">
        <v>1120</v>
      </c>
      <c r="C112" s="8" t="s">
        <v>1442</v>
      </c>
      <c r="D112" s="167">
        <v>1352</v>
      </c>
      <c r="E112" s="167"/>
      <c r="F112" s="526">
        <f t="shared" si="3"/>
        <v>1352</v>
      </c>
      <c r="G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2:35" x14ac:dyDescent="0.2">
      <c r="B113" s="513" t="s">
        <v>818</v>
      </c>
      <c r="C113" s="8" t="s">
        <v>1415</v>
      </c>
      <c r="D113" s="167"/>
      <c r="E113" s="167">
        <v>59</v>
      </c>
      <c r="F113" s="526">
        <f t="shared" si="3"/>
        <v>59</v>
      </c>
      <c r="G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2:35" x14ac:dyDescent="0.2">
      <c r="B114" s="513" t="s">
        <v>818</v>
      </c>
      <c r="C114" s="20" t="s">
        <v>1427</v>
      </c>
      <c r="D114" s="167"/>
      <c r="E114" s="167">
        <v>170</v>
      </c>
      <c r="F114" s="526">
        <f t="shared" si="3"/>
        <v>170</v>
      </c>
      <c r="G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2:35" hidden="1" x14ac:dyDescent="0.2">
      <c r="B115" s="513" t="s">
        <v>818</v>
      </c>
      <c r="C115" s="20" t="s">
        <v>1332</v>
      </c>
      <c r="D115" s="167"/>
      <c r="E115" s="167"/>
      <c r="F115" s="526">
        <f t="shared" si="3"/>
        <v>0</v>
      </c>
      <c r="G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2:35" hidden="1" x14ac:dyDescent="0.2">
      <c r="B116" s="513" t="s">
        <v>818</v>
      </c>
      <c r="C116" s="8" t="s">
        <v>1333</v>
      </c>
      <c r="D116" s="167"/>
      <c r="E116" s="167"/>
      <c r="F116" s="526">
        <f t="shared" si="3"/>
        <v>0</v>
      </c>
      <c r="G116" s="2"/>
      <c r="I116" s="7"/>
      <c r="J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2:35" hidden="1" x14ac:dyDescent="0.2">
      <c r="B117" s="513" t="s">
        <v>818</v>
      </c>
      <c r="C117" s="8" t="s">
        <v>1335</v>
      </c>
      <c r="D117" s="167"/>
      <c r="E117" s="167"/>
      <c r="F117" s="526">
        <f t="shared" si="3"/>
        <v>0</v>
      </c>
      <c r="G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2:35" hidden="1" x14ac:dyDescent="0.2">
      <c r="B118" s="513" t="s">
        <v>818</v>
      </c>
      <c r="C118" s="8" t="s">
        <v>1337</v>
      </c>
      <c r="D118" s="167"/>
      <c r="E118" s="167"/>
      <c r="F118" s="526">
        <f t="shared" si="3"/>
        <v>0</v>
      </c>
      <c r="G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2:35" hidden="1" x14ac:dyDescent="0.2">
      <c r="B119" s="513" t="s">
        <v>818</v>
      </c>
      <c r="C119" s="8" t="s">
        <v>1341</v>
      </c>
      <c r="D119" s="167"/>
      <c r="E119" s="167"/>
      <c r="F119" s="526">
        <f t="shared" si="3"/>
        <v>0</v>
      </c>
      <c r="G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2:35" hidden="1" x14ac:dyDescent="0.2">
      <c r="B120" s="513" t="s">
        <v>818</v>
      </c>
      <c r="C120" s="8" t="s">
        <v>1342</v>
      </c>
      <c r="D120" s="167"/>
      <c r="E120" s="167"/>
      <c r="F120" s="526">
        <f t="shared" si="3"/>
        <v>0</v>
      </c>
      <c r="G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2:35" hidden="1" x14ac:dyDescent="0.2">
      <c r="B121" s="513" t="s">
        <v>818</v>
      </c>
      <c r="C121" s="8" t="s">
        <v>1387</v>
      </c>
      <c r="D121" s="167"/>
      <c r="E121" s="167"/>
      <c r="F121" s="526">
        <f t="shared" si="3"/>
        <v>0</v>
      </c>
      <c r="G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2:35" hidden="1" x14ac:dyDescent="0.2">
      <c r="B122" s="513" t="s">
        <v>818</v>
      </c>
      <c r="C122" s="8" t="s">
        <v>1358</v>
      </c>
      <c r="D122" s="167"/>
      <c r="E122" s="167"/>
      <c r="F122" s="526">
        <f t="shared" si="3"/>
        <v>0</v>
      </c>
      <c r="G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2:35" hidden="1" x14ac:dyDescent="0.2">
      <c r="B123" s="513" t="s">
        <v>818</v>
      </c>
      <c r="C123" s="8" t="s">
        <v>1372</v>
      </c>
      <c r="D123" s="167"/>
      <c r="E123" s="167"/>
      <c r="F123" s="526">
        <f t="shared" si="3"/>
        <v>0</v>
      </c>
      <c r="G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2:35" hidden="1" x14ac:dyDescent="0.2">
      <c r="B124" s="513" t="s">
        <v>818</v>
      </c>
      <c r="C124" s="8" t="s">
        <v>1384</v>
      </c>
      <c r="D124" s="167"/>
      <c r="E124" s="167"/>
      <c r="F124" s="526">
        <f t="shared" si="3"/>
        <v>0</v>
      </c>
      <c r="G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2:35" hidden="1" x14ac:dyDescent="0.2">
      <c r="B125" s="513" t="s">
        <v>818</v>
      </c>
      <c r="C125" s="8" t="s">
        <v>1385</v>
      </c>
      <c r="D125" s="167"/>
      <c r="E125" s="167"/>
      <c r="F125" s="526">
        <f t="shared" si="3"/>
        <v>0</v>
      </c>
      <c r="G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2:35" hidden="1" x14ac:dyDescent="0.2">
      <c r="B126" s="513" t="s">
        <v>818</v>
      </c>
      <c r="C126" s="8" t="s">
        <v>1292</v>
      </c>
      <c r="D126" s="167"/>
      <c r="E126" s="167"/>
      <c r="F126" s="526">
        <f t="shared" si="3"/>
        <v>0</v>
      </c>
      <c r="G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2:35" hidden="1" x14ac:dyDescent="0.2">
      <c r="B127" s="513" t="s">
        <v>819</v>
      </c>
      <c r="C127" s="8" t="s">
        <v>1329</v>
      </c>
      <c r="D127" s="167"/>
      <c r="E127" s="167"/>
      <c r="F127" s="526">
        <f t="shared" ref="F127:F134" si="4">D127+E127</f>
        <v>0</v>
      </c>
      <c r="G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2:35" hidden="1" x14ac:dyDescent="0.2">
      <c r="B128" s="513" t="s">
        <v>819</v>
      </c>
      <c r="C128" s="8" t="s">
        <v>1347</v>
      </c>
      <c r="D128" s="167"/>
      <c r="E128" s="167"/>
      <c r="F128" s="526">
        <f t="shared" si="4"/>
        <v>0</v>
      </c>
      <c r="G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2:35" x14ac:dyDescent="0.2">
      <c r="B129" s="513" t="s">
        <v>819</v>
      </c>
      <c r="C129" s="8" t="s">
        <v>1416</v>
      </c>
      <c r="D129" s="167"/>
      <c r="E129" s="167">
        <v>105</v>
      </c>
      <c r="F129" s="526">
        <f t="shared" si="4"/>
        <v>105</v>
      </c>
      <c r="G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2:35" x14ac:dyDescent="0.2">
      <c r="B130" s="513" t="s">
        <v>819</v>
      </c>
      <c r="C130" s="8" t="s">
        <v>1417</v>
      </c>
      <c r="D130" s="167"/>
      <c r="E130" s="167">
        <v>140</v>
      </c>
      <c r="F130" s="526">
        <f t="shared" si="4"/>
        <v>140</v>
      </c>
      <c r="G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2:35" hidden="1" x14ac:dyDescent="0.2">
      <c r="B131" s="513" t="s">
        <v>819</v>
      </c>
      <c r="C131" s="8" t="s">
        <v>1266</v>
      </c>
      <c r="D131" s="167"/>
      <c r="E131" s="167"/>
      <c r="F131" s="526">
        <f t="shared" si="4"/>
        <v>0</v>
      </c>
      <c r="G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2:35" hidden="1" x14ac:dyDescent="0.2">
      <c r="B132" s="513" t="s">
        <v>819</v>
      </c>
      <c r="C132" s="8" t="s">
        <v>302</v>
      </c>
      <c r="D132" s="167"/>
      <c r="E132" s="167"/>
      <c r="F132" s="526">
        <f t="shared" si="4"/>
        <v>0</v>
      </c>
      <c r="G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2:35" x14ac:dyDescent="0.2">
      <c r="B133" s="513" t="s">
        <v>819</v>
      </c>
      <c r="C133" s="8" t="s">
        <v>1291</v>
      </c>
      <c r="D133" s="167"/>
      <c r="E133" s="167">
        <v>1700</v>
      </c>
      <c r="F133" s="526">
        <f t="shared" si="4"/>
        <v>1700</v>
      </c>
      <c r="G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2:35" hidden="1" x14ac:dyDescent="0.2">
      <c r="B134" s="513" t="s">
        <v>819</v>
      </c>
      <c r="C134" s="8" t="s">
        <v>1293</v>
      </c>
      <c r="D134" s="167"/>
      <c r="E134" s="167"/>
      <c r="F134" s="526">
        <f t="shared" si="4"/>
        <v>0</v>
      </c>
      <c r="G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2:35" hidden="1" x14ac:dyDescent="0.2">
      <c r="B135" s="513" t="s">
        <v>961</v>
      </c>
      <c r="C135" s="8" t="s">
        <v>962</v>
      </c>
      <c r="D135" s="167"/>
      <c r="E135" s="167"/>
      <c r="F135" s="526">
        <f t="shared" si="3"/>
        <v>0</v>
      </c>
      <c r="G135" s="2"/>
      <c r="I135" s="7"/>
      <c r="J135" s="7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2:35" x14ac:dyDescent="0.2">
      <c r="B136" s="513" t="s">
        <v>1240</v>
      </c>
      <c r="C136" s="8" t="s">
        <v>1457</v>
      </c>
      <c r="D136" s="167">
        <v>205</v>
      </c>
      <c r="E136" s="167"/>
      <c r="F136" s="526">
        <f t="shared" si="3"/>
        <v>205</v>
      </c>
      <c r="G136" s="2"/>
      <c r="I136" s="7"/>
      <c r="J136" s="7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2:35" hidden="1" x14ac:dyDescent="0.2">
      <c r="B137" s="513" t="s">
        <v>1240</v>
      </c>
      <c r="C137" s="8" t="s">
        <v>1269</v>
      </c>
      <c r="D137" s="167"/>
      <c r="E137" s="167"/>
      <c r="F137" s="526">
        <f t="shared" si="3"/>
        <v>0</v>
      </c>
      <c r="G137" s="2"/>
      <c r="I137" s="7"/>
      <c r="J137" s="7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2:35" hidden="1" x14ac:dyDescent="0.2">
      <c r="B138" s="513" t="s">
        <v>1240</v>
      </c>
      <c r="C138" s="8" t="s">
        <v>1268</v>
      </c>
      <c r="D138" s="167"/>
      <c r="E138" s="167"/>
      <c r="F138" s="526">
        <f t="shared" si="3"/>
        <v>0</v>
      </c>
      <c r="G138" s="2"/>
      <c r="I138" s="7"/>
      <c r="J138" s="7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2:35" ht="12" customHeight="1" x14ac:dyDescent="0.2">
      <c r="B139" s="513" t="s">
        <v>820</v>
      </c>
      <c r="C139" s="8" t="s">
        <v>821</v>
      </c>
      <c r="D139" s="167"/>
      <c r="E139" s="167">
        <v>300</v>
      </c>
      <c r="F139" s="526">
        <f t="shared" si="3"/>
        <v>300</v>
      </c>
      <c r="G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2:35" hidden="1" x14ac:dyDescent="0.2">
      <c r="B140" s="513" t="s">
        <v>847</v>
      </c>
      <c r="C140" s="8" t="s">
        <v>848</v>
      </c>
      <c r="D140" s="167"/>
      <c r="E140" s="167"/>
      <c r="F140" s="526">
        <f t="shared" si="3"/>
        <v>0</v>
      </c>
      <c r="G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2:35" hidden="1" x14ac:dyDescent="0.2">
      <c r="B141" s="513" t="s">
        <v>847</v>
      </c>
      <c r="C141" s="8" t="s">
        <v>967</v>
      </c>
      <c r="D141" s="167"/>
      <c r="E141" s="167"/>
      <c r="F141" s="526">
        <f t="shared" si="3"/>
        <v>0</v>
      </c>
      <c r="G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2:35" x14ac:dyDescent="0.2">
      <c r="B142" s="513" t="s">
        <v>1261</v>
      </c>
      <c r="C142" s="8" t="s">
        <v>1360</v>
      </c>
      <c r="D142" s="167">
        <v>1400</v>
      </c>
      <c r="E142" s="167"/>
      <c r="F142" s="526">
        <f t="shared" si="3"/>
        <v>1400</v>
      </c>
      <c r="G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2:35" hidden="1" x14ac:dyDescent="0.2">
      <c r="B143" s="513" t="s">
        <v>822</v>
      </c>
      <c r="C143" s="8" t="s">
        <v>1359</v>
      </c>
      <c r="D143" s="167"/>
      <c r="E143" s="167"/>
      <c r="F143" s="526">
        <f t="shared" si="3"/>
        <v>0</v>
      </c>
      <c r="G143" s="2"/>
      <c r="I143" s="7"/>
      <c r="J143" s="7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2:35" x14ac:dyDescent="0.2">
      <c r="B144" s="513" t="s">
        <v>822</v>
      </c>
      <c r="C144" s="8" t="s">
        <v>1455</v>
      </c>
      <c r="D144" s="167">
        <v>-205</v>
      </c>
      <c r="E144" s="167"/>
      <c r="F144" s="526">
        <f t="shared" si="3"/>
        <v>-205</v>
      </c>
      <c r="G144" s="2"/>
      <c r="I144" s="7"/>
      <c r="J144" s="7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2:35" x14ac:dyDescent="0.2">
      <c r="B145" s="513" t="s">
        <v>1317</v>
      </c>
      <c r="C145" s="8" t="s">
        <v>1456</v>
      </c>
      <c r="D145" s="167">
        <v>1750</v>
      </c>
      <c r="E145" s="167"/>
      <c r="F145" s="526">
        <f t="shared" si="3"/>
        <v>1750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2:35" x14ac:dyDescent="0.2">
      <c r="B146" s="521" t="s">
        <v>823</v>
      </c>
      <c r="C146" s="15" t="s">
        <v>1462</v>
      </c>
      <c r="D146" s="167">
        <f>362+1066</f>
        <v>1428</v>
      </c>
      <c r="E146" s="167"/>
      <c r="F146" s="526">
        <f t="shared" si="3"/>
        <v>1428</v>
      </c>
      <c r="G146" s="2"/>
      <c r="H146" s="7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2:35" x14ac:dyDescent="0.2">
      <c r="B147" s="521" t="s">
        <v>823</v>
      </c>
      <c r="C147" s="8" t="s">
        <v>1431</v>
      </c>
      <c r="D147" s="167">
        <v>-696</v>
      </c>
      <c r="E147" s="167"/>
      <c r="F147" s="526">
        <f t="shared" si="3"/>
        <v>-696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2:35" x14ac:dyDescent="0.2">
      <c r="B148" s="521" t="s">
        <v>823</v>
      </c>
      <c r="C148" s="610" t="s">
        <v>1435</v>
      </c>
      <c r="D148" s="167">
        <v>2534</v>
      </c>
      <c r="E148" s="167"/>
      <c r="F148" s="526">
        <f t="shared" si="3"/>
        <v>2534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2:35" x14ac:dyDescent="0.2">
      <c r="B149" s="521" t="s">
        <v>823</v>
      </c>
      <c r="C149" s="15" t="s">
        <v>1433</v>
      </c>
      <c r="D149" s="167">
        <v>419</v>
      </c>
      <c r="E149" s="167"/>
      <c r="F149" s="526">
        <f t="shared" si="3"/>
        <v>419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2:35" x14ac:dyDescent="0.2">
      <c r="B150" s="513" t="s">
        <v>824</v>
      </c>
      <c r="C150" s="15" t="s">
        <v>1458</v>
      </c>
      <c r="D150" s="13">
        <v>606</v>
      </c>
      <c r="E150" s="13"/>
      <c r="F150" s="526">
        <f t="shared" si="3"/>
        <v>606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2:35" x14ac:dyDescent="0.2">
      <c r="B151" s="513" t="s">
        <v>824</v>
      </c>
      <c r="C151" s="15" t="s">
        <v>1459</v>
      </c>
      <c r="D151" s="13">
        <v>260</v>
      </c>
      <c r="E151" s="13"/>
      <c r="F151" s="526">
        <f t="shared" si="3"/>
        <v>260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2:35" hidden="1" x14ac:dyDescent="0.2">
      <c r="B152" s="513" t="s">
        <v>824</v>
      </c>
      <c r="C152" s="8" t="s">
        <v>1271</v>
      </c>
      <c r="D152" s="13"/>
      <c r="E152" s="13"/>
      <c r="F152" s="526">
        <f t="shared" si="3"/>
        <v>0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2:35" hidden="1" x14ac:dyDescent="0.2">
      <c r="B153" s="513" t="s">
        <v>824</v>
      </c>
      <c r="C153" s="21" t="s">
        <v>1272</v>
      </c>
      <c r="D153" s="13"/>
      <c r="E153" s="13"/>
      <c r="F153" s="526">
        <f t="shared" si="3"/>
        <v>0</v>
      </c>
      <c r="G153" s="2"/>
      <c r="H153" s="7">
        <f>H154-20480</f>
        <v>9480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2:35" ht="13.5" customHeight="1" x14ac:dyDescent="0.2">
      <c r="B154" s="513" t="s">
        <v>825</v>
      </c>
      <c r="C154" s="8" t="s">
        <v>1473</v>
      </c>
      <c r="D154" s="13">
        <f>-18915-24+10989+22+504+3800+310+300+360+15100+2668+19840-520-35-422-1400-1750-606-260-1</f>
        <v>29960</v>
      </c>
      <c r="E154" s="13"/>
      <c r="F154" s="526">
        <f t="shared" si="3"/>
        <v>29960</v>
      </c>
      <c r="G154" s="2"/>
      <c r="H154" s="7">
        <f>'2.működés'!H125</f>
        <v>29960</v>
      </c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2:35" ht="13.5" hidden="1" customHeight="1" x14ac:dyDescent="0.2">
      <c r="B155" s="513" t="s">
        <v>825</v>
      </c>
      <c r="C155" s="8" t="s">
        <v>826</v>
      </c>
      <c r="D155" s="13"/>
      <c r="E155" s="13"/>
      <c r="F155" s="526">
        <f t="shared" si="3"/>
        <v>0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2:35" ht="15" x14ac:dyDescent="0.25">
      <c r="B156" s="512" t="s">
        <v>207</v>
      </c>
      <c r="C156" s="23" t="s">
        <v>229</v>
      </c>
      <c r="D156" s="42">
        <f>SUM(D160:D178)</f>
        <v>0</v>
      </c>
      <c r="E156" s="42">
        <f>SUM(E157:E175)+E178</f>
        <v>0</v>
      </c>
      <c r="F156" s="527">
        <f>SUM(F157:F175)+F178+F179</f>
        <v>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2:35" s="425" customFormat="1" hidden="1" x14ac:dyDescent="0.2">
      <c r="B157" s="521" t="s">
        <v>256</v>
      </c>
      <c r="C157" s="8" t="s">
        <v>1231</v>
      </c>
      <c r="D157" s="13"/>
      <c r="E157" s="167"/>
      <c r="F157" s="526">
        <f t="shared" ref="F157:F167" si="5">D157+E157</f>
        <v>0</v>
      </c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</row>
    <row r="158" spans="2:35" s="50" customFormat="1" ht="13.5" hidden="1" customHeight="1" x14ac:dyDescent="0.2">
      <c r="B158" s="521" t="s">
        <v>256</v>
      </c>
      <c r="C158" s="8" t="s">
        <v>1248</v>
      </c>
      <c r="D158" s="13"/>
      <c r="E158" s="13"/>
      <c r="F158" s="526">
        <f t="shared" si="5"/>
        <v>0</v>
      </c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2:35" s="50" customFormat="1" ht="26.25" hidden="1" customHeight="1" x14ac:dyDescent="0.2">
      <c r="B159" s="521" t="s">
        <v>256</v>
      </c>
      <c r="C159" s="20" t="s">
        <v>1363</v>
      </c>
      <c r="D159" s="13"/>
      <c r="E159" s="13"/>
      <c r="F159" s="526">
        <f t="shared" si="5"/>
        <v>0</v>
      </c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2:35" s="50" customFormat="1" x14ac:dyDescent="0.2">
      <c r="B160" s="521" t="s">
        <v>256</v>
      </c>
      <c r="C160" s="8" t="s">
        <v>1460</v>
      </c>
      <c r="D160" s="13">
        <v>223</v>
      </c>
      <c r="E160" s="13"/>
      <c r="F160" s="526">
        <f t="shared" si="5"/>
        <v>223</v>
      </c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2:35" s="50" customFormat="1" x14ac:dyDescent="0.2">
      <c r="B161" s="521" t="s">
        <v>256</v>
      </c>
      <c r="C161" s="8" t="s">
        <v>1461</v>
      </c>
      <c r="D161" s="13">
        <v>454</v>
      </c>
      <c r="E161" s="13"/>
      <c r="F161" s="526">
        <f t="shared" si="5"/>
        <v>454</v>
      </c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2:35" s="50" customFormat="1" ht="13.5" hidden="1" customHeight="1" x14ac:dyDescent="0.2">
      <c r="B162" s="521" t="s">
        <v>256</v>
      </c>
      <c r="C162" s="8" t="s">
        <v>1277</v>
      </c>
      <c r="D162" s="13"/>
      <c r="E162" s="13"/>
      <c r="F162" s="526">
        <f t="shared" si="5"/>
        <v>0</v>
      </c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2:35" s="50" customFormat="1" ht="13.5" hidden="1" customHeight="1" x14ac:dyDescent="0.2">
      <c r="B163" s="521" t="s">
        <v>370</v>
      </c>
      <c r="C163" s="8" t="s">
        <v>1339</v>
      </c>
      <c r="D163" s="13"/>
      <c r="E163" s="13"/>
      <c r="F163" s="526">
        <f t="shared" si="5"/>
        <v>0</v>
      </c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2:35" s="50" customFormat="1" ht="13.5" hidden="1" customHeight="1" x14ac:dyDescent="0.2">
      <c r="B164" s="521" t="s">
        <v>370</v>
      </c>
      <c r="C164" s="8" t="s">
        <v>1247</v>
      </c>
      <c r="D164" s="13"/>
      <c r="E164" s="13"/>
      <c r="F164" s="526">
        <f t="shared" si="5"/>
        <v>0</v>
      </c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2:35" s="50" customFormat="1" ht="13.5" hidden="1" customHeight="1" x14ac:dyDescent="0.2">
      <c r="B165" s="521" t="s">
        <v>370</v>
      </c>
      <c r="C165" s="8" t="s">
        <v>1364</v>
      </c>
      <c r="D165" s="13"/>
      <c r="E165" s="13"/>
      <c r="F165" s="526">
        <f t="shared" si="5"/>
        <v>0</v>
      </c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2:35" s="50" customFormat="1" ht="13.5" hidden="1" customHeight="1" x14ac:dyDescent="0.2">
      <c r="B166" s="521" t="s">
        <v>370</v>
      </c>
      <c r="C166" s="8" t="s">
        <v>1250</v>
      </c>
      <c r="D166" s="13"/>
      <c r="E166" s="13"/>
      <c r="F166" s="526">
        <f t="shared" si="5"/>
        <v>0</v>
      </c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2:35" s="50" customFormat="1" ht="13.5" hidden="1" customHeight="1" x14ac:dyDescent="0.2">
      <c r="B167" s="521" t="s">
        <v>370</v>
      </c>
      <c r="C167" s="8" t="s">
        <v>1251</v>
      </c>
      <c r="D167" s="13"/>
      <c r="E167" s="13"/>
      <c r="F167" s="526">
        <f t="shared" si="5"/>
        <v>0</v>
      </c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2:35" s="50" customFormat="1" ht="13.5" hidden="1" customHeight="1" x14ac:dyDescent="0.2">
      <c r="B168" s="521" t="s">
        <v>370</v>
      </c>
      <c r="C168" s="8" t="s">
        <v>1123</v>
      </c>
      <c r="D168" s="13"/>
      <c r="E168" s="13"/>
      <c r="F168" s="526">
        <f t="shared" ref="F168:F181" si="6">D168+E168</f>
        <v>0</v>
      </c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2:35" s="50" customFormat="1" ht="13.5" hidden="1" customHeight="1" x14ac:dyDescent="0.2">
      <c r="B169" s="521"/>
      <c r="C169" s="8"/>
      <c r="D169" s="13"/>
      <c r="E169" s="13"/>
      <c r="F169" s="526">
        <f t="shared" si="6"/>
        <v>0</v>
      </c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2:35" s="50" customFormat="1" hidden="1" x14ac:dyDescent="0.2">
      <c r="B170" s="521"/>
      <c r="C170" s="20" t="s">
        <v>944</v>
      </c>
      <c r="D170" s="13"/>
      <c r="E170" s="13"/>
      <c r="F170" s="526">
        <f t="shared" si="6"/>
        <v>0</v>
      </c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2:35" s="50" customFormat="1" ht="13.5" hidden="1" customHeight="1" x14ac:dyDescent="0.2">
      <c r="B171" s="521"/>
      <c r="C171" s="8"/>
      <c r="D171" s="13"/>
      <c r="E171" s="13"/>
      <c r="F171" s="526">
        <f t="shared" si="6"/>
        <v>0</v>
      </c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2:35" s="50" customFormat="1" ht="13.5" hidden="1" customHeight="1" x14ac:dyDescent="0.2">
      <c r="B172" s="521" t="s">
        <v>829</v>
      </c>
      <c r="C172" s="8" t="s">
        <v>837</v>
      </c>
      <c r="D172" s="13"/>
      <c r="E172" s="13"/>
      <c r="F172" s="526">
        <f t="shared" si="6"/>
        <v>0</v>
      </c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2:35" s="50" customFormat="1" ht="13.5" hidden="1" customHeight="1" x14ac:dyDescent="0.2">
      <c r="B173" s="521" t="s">
        <v>829</v>
      </c>
      <c r="C173" s="8" t="s">
        <v>838</v>
      </c>
      <c r="D173" s="13"/>
      <c r="E173" s="13"/>
      <c r="F173" s="526">
        <f t="shared" si="6"/>
        <v>0</v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2:35" s="50" customFormat="1" ht="13.5" hidden="1" customHeight="1" x14ac:dyDescent="0.2">
      <c r="B174" s="521" t="s">
        <v>829</v>
      </c>
      <c r="C174" s="8" t="s">
        <v>841</v>
      </c>
      <c r="D174" s="13"/>
      <c r="E174" s="13"/>
      <c r="F174" s="526">
        <f t="shared" si="6"/>
        <v>0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2:35" s="50" customFormat="1" ht="13.5" hidden="1" customHeight="1" x14ac:dyDescent="0.25">
      <c r="B175" s="513" t="s">
        <v>369</v>
      </c>
      <c r="C175" s="522" t="s">
        <v>1104</v>
      </c>
      <c r="D175" s="161">
        <f>SUM(D176:D177)</f>
        <v>0</v>
      </c>
      <c r="E175" s="161">
        <f>SUM(E176:E177)</f>
        <v>0</v>
      </c>
      <c r="F175" s="530">
        <f>SUM(F176:F177)</f>
        <v>0</v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2:35" s="50" customFormat="1" ht="13.5" hidden="1" customHeight="1" x14ac:dyDescent="0.2">
      <c r="B176" s="513" t="s">
        <v>1106</v>
      </c>
      <c r="C176" s="226" t="s">
        <v>1365</v>
      </c>
      <c r="D176" s="13"/>
      <c r="E176" s="13"/>
      <c r="F176" s="526">
        <f t="shared" si="6"/>
        <v>0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2:35" s="50" customFormat="1" ht="13.5" hidden="1" customHeight="1" x14ac:dyDescent="0.2">
      <c r="B177" s="513"/>
      <c r="C177" s="226"/>
      <c r="D177" s="13"/>
      <c r="E177" s="13"/>
      <c r="F177" s="526">
        <f t="shared" si="6"/>
        <v>0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2:35" s="50" customFormat="1" ht="13.5" customHeight="1" x14ac:dyDescent="0.2">
      <c r="B178" s="513"/>
      <c r="C178" s="8" t="s">
        <v>1463</v>
      </c>
      <c r="D178" s="13">
        <f>-223-454</f>
        <v>-677</v>
      </c>
      <c r="E178" s="13"/>
      <c r="F178" s="526">
        <f t="shared" si="6"/>
        <v>-677</v>
      </c>
      <c r="G178" s="2"/>
      <c r="H178" s="7"/>
      <c r="I178" s="2"/>
      <c r="J178" s="7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2:35" s="50" customFormat="1" ht="13.5" hidden="1" customHeight="1" x14ac:dyDescent="0.2">
      <c r="B179" s="513"/>
      <c r="C179" s="8" t="s">
        <v>827</v>
      </c>
      <c r="D179" s="13"/>
      <c r="E179" s="13"/>
      <c r="F179" s="526">
        <f t="shared" si="6"/>
        <v>0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2:35" ht="16.5" customHeight="1" thickBot="1" x14ac:dyDescent="0.3">
      <c r="B180" s="512" t="s">
        <v>208</v>
      </c>
      <c r="C180" s="189" t="s">
        <v>358</v>
      </c>
      <c r="D180" s="43">
        <f>SUM(D181:D181)</f>
        <v>0</v>
      </c>
      <c r="E180" s="43">
        <f>SUM(E181:E181)</f>
        <v>0</v>
      </c>
      <c r="F180" s="531">
        <f>SUM(F181:F181)</f>
        <v>0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2:35" s="50" customFormat="1" ht="13.5" hidden="1" customHeight="1" thickBot="1" x14ac:dyDescent="0.25">
      <c r="B181" s="518" t="s">
        <v>401</v>
      </c>
      <c r="C181" s="8" t="s">
        <v>405</v>
      </c>
      <c r="D181" s="12"/>
      <c r="E181" s="12"/>
      <c r="F181" s="526">
        <f t="shared" si="6"/>
        <v>0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2:35" ht="20.25" thickBot="1" x14ac:dyDescent="0.4">
      <c r="B182" s="519"/>
      <c r="C182" s="523" t="s">
        <v>828</v>
      </c>
      <c r="D182" s="520">
        <f>SUM(D73+D180)</f>
        <v>39990</v>
      </c>
      <c r="E182" s="520">
        <f>SUM(E73+E180)</f>
        <v>19017</v>
      </c>
      <c r="F182" s="48">
        <f>SUM(F73+F180)</f>
        <v>59007</v>
      </c>
      <c r="G182" s="7">
        <f>F72-F182</f>
        <v>0</v>
      </c>
      <c r="H182" s="7">
        <f>'1.Bev-kiad.'!H84</f>
        <v>59007</v>
      </c>
      <c r="I182" s="7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2:35" ht="15.75" customHeight="1" x14ac:dyDescent="0.2">
      <c r="E183" s="76"/>
      <c r="F183" s="7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2:35" ht="15.75" hidden="1" customHeight="1" x14ac:dyDescent="0.2">
      <c r="D184" s="76">
        <f>D72-D182</f>
        <v>18915</v>
      </c>
      <c r="E184" s="76">
        <f>E72-E182</f>
        <v>-18915</v>
      </c>
      <c r="F184" s="76">
        <f>F72-F182</f>
        <v>0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2:35" ht="15.75" hidden="1" customHeight="1" x14ac:dyDescent="0.2">
      <c r="C185" t="s">
        <v>965</v>
      </c>
      <c r="E185" s="76">
        <f>SUM(E182-E72)</f>
        <v>18915</v>
      </c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2:35" ht="15.75" customHeight="1" x14ac:dyDescent="0.2"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2:35" ht="15.75" customHeight="1" x14ac:dyDescent="0.2">
      <c r="B187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2:35" ht="15.75" customHeight="1" x14ac:dyDescent="0.2">
      <c r="B188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2:35" ht="15.75" customHeight="1" x14ac:dyDescent="0.2">
      <c r="B189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2:35" ht="15.75" customHeight="1" x14ac:dyDescent="0.2">
      <c r="B190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2:35" ht="15.75" customHeight="1" x14ac:dyDescent="0.2">
      <c r="B19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2:35" ht="15.75" customHeight="1" x14ac:dyDescent="0.2">
      <c r="B19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2:35" ht="15.75" customHeight="1" x14ac:dyDescent="0.2">
      <c r="B19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2:35" ht="15.75" customHeight="1" x14ac:dyDescent="0.2">
      <c r="B19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2:35" ht="15.75" customHeight="1" x14ac:dyDescent="0.2">
      <c r="B19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2:35" ht="15.75" customHeight="1" x14ac:dyDescent="0.2">
      <c r="B19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2:35" ht="15.75" customHeight="1" x14ac:dyDescent="0.2">
      <c r="B19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2:35" ht="15.75" customHeight="1" x14ac:dyDescent="0.2">
      <c r="B198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2:35" ht="15.75" customHeight="1" x14ac:dyDescent="0.2">
      <c r="B199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2:35" ht="15.75" customHeight="1" x14ac:dyDescent="0.2">
      <c r="B200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2:35" ht="15.75" customHeight="1" x14ac:dyDescent="0.2">
      <c r="B20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2:35" ht="15.75" customHeight="1" x14ac:dyDescent="0.2">
      <c r="B20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2:35" ht="15.75" customHeight="1" x14ac:dyDescent="0.2">
      <c r="B20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2:35" ht="15.75" customHeight="1" x14ac:dyDescent="0.2">
      <c r="B20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2:35" ht="15.75" customHeight="1" x14ac:dyDescent="0.2">
      <c r="B20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2:35" ht="15.75" customHeight="1" x14ac:dyDescent="0.2">
      <c r="B20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2:35" ht="15.75" customHeight="1" x14ac:dyDescent="0.2">
      <c r="B20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2:35" ht="15.75" customHeight="1" x14ac:dyDescent="0.2">
      <c r="B208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2:35" ht="15.75" customHeight="1" x14ac:dyDescent="0.2">
      <c r="B209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2:35" ht="15.75" customHeight="1" x14ac:dyDescent="0.2">
      <c r="B210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2:35" ht="15.75" customHeight="1" x14ac:dyDescent="0.2">
      <c r="B21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2:35" ht="15.75" customHeight="1" x14ac:dyDescent="0.2">
      <c r="B21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2:35" ht="15.75" customHeight="1" x14ac:dyDescent="0.2">
      <c r="B21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2:35" ht="15.75" customHeight="1" x14ac:dyDescent="0.2">
      <c r="B21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2:35" ht="15.75" customHeight="1" x14ac:dyDescent="0.2">
      <c r="B2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2:35" ht="15.75" customHeight="1" x14ac:dyDescent="0.2">
      <c r="B21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2:35" ht="15.75" customHeight="1" x14ac:dyDescent="0.2">
      <c r="B21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2:35" ht="15.75" customHeight="1" x14ac:dyDescent="0.2">
      <c r="B218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2:35" ht="15.75" customHeight="1" x14ac:dyDescent="0.2">
      <c r="B219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2:35" ht="15.75" customHeight="1" x14ac:dyDescent="0.2">
      <c r="B220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2:35" ht="15.75" customHeight="1" x14ac:dyDescent="0.2">
      <c r="B22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2:35" ht="15.75" customHeight="1" x14ac:dyDescent="0.2">
      <c r="B22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2:35" ht="15.75" customHeight="1" x14ac:dyDescent="0.2">
      <c r="B22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2:35" ht="15.75" customHeight="1" x14ac:dyDescent="0.2">
      <c r="B22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2:35" ht="15.75" customHeight="1" x14ac:dyDescent="0.2">
      <c r="B22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2:35" ht="15.75" customHeight="1" x14ac:dyDescent="0.2">
      <c r="B2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2:35" ht="15.75" customHeight="1" x14ac:dyDescent="0.2">
      <c r="B22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2:35" ht="15.75" customHeight="1" x14ac:dyDescent="0.2">
      <c r="B228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2:35" ht="15.75" customHeight="1" x14ac:dyDescent="0.2">
      <c r="B229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2:35" ht="15.75" customHeight="1" x14ac:dyDescent="0.2">
      <c r="B230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2:35" ht="15.75" customHeight="1" x14ac:dyDescent="0.2">
      <c r="B23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2:35" ht="15.75" customHeight="1" x14ac:dyDescent="0.2">
      <c r="B23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2:35" ht="15.75" customHeight="1" x14ac:dyDescent="0.2">
      <c r="B23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2:35" ht="15.75" customHeight="1" x14ac:dyDescent="0.2">
      <c r="B2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2:35" ht="15.75" customHeight="1" x14ac:dyDescent="0.2">
      <c r="B23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2:35" ht="15.75" customHeight="1" x14ac:dyDescent="0.2">
      <c r="B2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2:35" ht="15.75" customHeight="1" x14ac:dyDescent="0.2">
      <c r="B23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2:35" ht="15.75" customHeight="1" x14ac:dyDescent="0.2">
      <c r="B238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2:35" ht="15.75" customHeight="1" x14ac:dyDescent="0.2">
      <c r="B239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2:35" ht="15.75" customHeight="1" x14ac:dyDescent="0.2">
      <c r="B240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2:35" ht="15.75" customHeight="1" x14ac:dyDescent="0.2">
      <c r="B24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2:35" ht="15.75" customHeight="1" x14ac:dyDescent="0.2">
      <c r="B24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2:35" ht="15.75" customHeight="1" x14ac:dyDescent="0.2">
      <c r="B24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2:35" ht="15.75" customHeight="1" x14ac:dyDescent="0.2">
      <c r="B24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2:35" ht="15.75" customHeight="1" x14ac:dyDescent="0.2">
      <c r="B24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2:35" ht="15.75" customHeight="1" x14ac:dyDescent="0.2">
      <c r="B24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2:35" ht="15.75" customHeight="1" x14ac:dyDescent="0.2">
      <c r="B24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2:35" ht="15.75" customHeight="1" x14ac:dyDescent="0.2">
      <c r="B248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2:35" ht="15.75" customHeight="1" x14ac:dyDescent="0.2">
      <c r="B249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2:35" ht="15.75" customHeight="1" x14ac:dyDescent="0.2">
      <c r="B250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2:35" ht="15.75" customHeight="1" x14ac:dyDescent="0.2">
      <c r="B25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2:35" ht="15.75" customHeight="1" x14ac:dyDescent="0.2">
      <c r="B25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2:35" ht="15.75" customHeight="1" x14ac:dyDescent="0.2">
      <c r="B25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2:35" ht="15.75" customHeight="1" x14ac:dyDescent="0.2">
      <c r="B25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2:35" ht="15.75" customHeight="1" x14ac:dyDescent="0.2">
      <c r="B25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2:35" ht="15.75" customHeight="1" x14ac:dyDescent="0.2">
      <c r="B25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2:35" ht="15.75" customHeight="1" x14ac:dyDescent="0.2">
      <c r="B25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2:35" ht="15.75" customHeight="1" x14ac:dyDescent="0.2">
      <c r="B258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2:35" ht="15.75" customHeight="1" x14ac:dyDescent="0.2">
      <c r="B259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2:35" ht="15.75" customHeight="1" x14ac:dyDescent="0.2">
      <c r="B260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2:35" ht="15.75" customHeight="1" x14ac:dyDescent="0.2">
      <c r="B26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2:35" ht="15.75" customHeight="1" x14ac:dyDescent="0.2">
      <c r="B26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2:35" ht="15.75" customHeight="1" x14ac:dyDescent="0.2">
      <c r="B26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2:35" ht="15.75" customHeight="1" x14ac:dyDescent="0.2">
      <c r="B26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2:35" ht="15.75" customHeight="1" x14ac:dyDescent="0.2">
      <c r="B26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2:35" ht="15.75" customHeight="1" x14ac:dyDescent="0.2">
      <c r="B26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2:35" ht="15.75" customHeight="1" x14ac:dyDescent="0.2">
      <c r="B267"/>
      <c r="C267" s="2"/>
      <c r="D267" s="2"/>
      <c r="E267" s="2"/>
      <c r="F267" s="29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2:35" ht="15.75" customHeight="1" x14ac:dyDescent="0.2">
      <c r="B268"/>
      <c r="C268" s="2"/>
      <c r="D268" s="2"/>
      <c r="E268" s="2"/>
      <c r="F268" s="29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2:35" ht="15.75" customHeight="1" x14ac:dyDescent="0.2">
      <c r="B269"/>
      <c r="C269" s="2"/>
      <c r="D269" s="2"/>
      <c r="E269" s="2"/>
      <c r="F269" s="29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2:35" ht="15.75" customHeight="1" x14ac:dyDescent="0.2">
      <c r="B270"/>
      <c r="C270" s="2"/>
      <c r="D270" s="2"/>
      <c r="E270" s="2"/>
      <c r="F270" s="29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2:35" ht="15.75" customHeight="1" x14ac:dyDescent="0.2">
      <c r="B271"/>
      <c r="C271" s="2"/>
      <c r="D271" s="2"/>
      <c r="E271" s="2"/>
      <c r="F271" s="29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2:35" ht="15.75" customHeight="1" x14ac:dyDescent="0.2">
      <c r="B272"/>
      <c r="C272" s="2"/>
      <c r="D272" s="2"/>
      <c r="E272" s="2"/>
      <c r="F272" s="29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2:35" ht="15.75" customHeight="1" x14ac:dyDescent="0.2">
      <c r="B273"/>
      <c r="C273" s="2"/>
      <c r="D273" s="2"/>
      <c r="E273" s="2"/>
      <c r="F273" s="29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2:35" ht="15.75" customHeight="1" x14ac:dyDescent="0.2">
      <c r="B274"/>
      <c r="C274" s="2"/>
      <c r="D274" s="2"/>
      <c r="E274" s="2"/>
      <c r="F274" s="29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2:35" ht="15.75" customHeight="1" x14ac:dyDescent="0.2">
      <c r="B275"/>
      <c r="C275" s="2"/>
      <c r="D275" s="2"/>
      <c r="E275" s="2"/>
      <c r="F275" s="29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2:35" ht="15.75" customHeight="1" x14ac:dyDescent="0.2">
      <c r="B276"/>
      <c r="C276" s="2"/>
      <c r="D276" s="2"/>
      <c r="E276" s="2"/>
      <c r="F276" s="29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2:35" ht="15.75" customHeight="1" x14ac:dyDescent="0.2">
      <c r="B277"/>
      <c r="C277" s="2"/>
      <c r="D277" s="2"/>
      <c r="E277" s="2"/>
      <c r="F277" s="29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2:35" ht="15.75" customHeight="1" x14ac:dyDescent="0.2">
      <c r="B278"/>
      <c r="C278" s="2"/>
      <c r="D278" s="2"/>
      <c r="E278" s="2"/>
      <c r="F278" s="29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2:35" ht="15.75" customHeight="1" x14ac:dyDescent="0.2">
      <c r="B279"/>
      <c r="C279" s="2"/>
      <c r="D279" s="2"/>
      <c r="E279" s="2"/>
      <c r="F279" s="29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2:35" ht="15.75" customHeight="1" x14ac:dyDescent="0.2">
      <c r="B280"/>
      <c r="C280" s="2"/>
      <c r="D280" s="2"/>
      <c r="E280" s="2"/>
      <c r="F280" s="29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2:35" ht="15.75" customHeight="1" x14ac:dyDescent="0.2">
      <c r="B281"/>
      <c r="C281" s="2"/>
      <c r="D281" s="2"/>
      <c r="E281" s="2"/>
      <c r="F281" s="29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2:35" ht="15.75" customHeight="1" x14ac:dyDescent="0.2">
      <c r="B282"/>
      <c r="C282" s="2"/>
      <c r="D282" s="2"/>
      <c r="E282" s="2"/>
      <c r="F282" s="29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2:35" ht="15.75" customHeight="1" x14ac:dyDescent="0.2">
      <c r="B283"/>
      <c r="C283" s="2"/>
      <c r="D283" s="2"/>
      <c r="E283" s="2"/>
      <c r="F283" s="29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2:35" ht="15.75" customHeight="1" x14ac:dyDescent="0.2">
      <c r="B284"/>
      <c r="C284" s="2"/>
      <c r="D284" s="2"/>
      <c r="E284" s="2"/>
      <c r="F284" s="29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2:35" ht="15.75" customHeight="1" x14ac:dyDescent="0.2">
      <c r="B285"/>
      <c r="C285" s="2"/>
      <c r="D285" s="2"/>
      <c r="E285" s="2"/>
      <c r="F285" s="29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2:35" ht="15.75" customHeight="1" x14ac:dyDescent="0.2">
      <c r="B286"/>
      <c r="C286" s="2"/>
      <c r="D286" s="2"/>
      <c r="E286" s="2"/>
      <c r="F286" s="29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2:35" ht="15.75" customHeight="1" x14ac:dyDescent="0.2">
      <c r="B287"/>
      <c r="C287" s="2"/>
      <c r="D287" s="2"/>
      <c r="E287" s="2"/>
      <c r="F287" s="29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2:35" ht="15.75" customHeight="1" x14ac:dyDescent="0.2">
      <c r="B288"/>
      <c r="C288" s="2"/>
      <c r="D288" s="2"/>
      <c r="E288" s="2"/>
      <c r="F288" s="29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2:35" ht="15.75" customHeight="1" x14ac:dyDescent="0.2">
      <c r="B289"/>
      <c r="C289" s="2"/>
      <c r="D289" s="2"/>
      <c r="E289" s="2"/>
      <c r="F289" s="29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2:35" ht="15.75" customHeight="1" x14ac:dyDescent="0.2">
      <c r="B290"/>
      <c r="C290" s="2"/>
      <c r="D290" s="2"/>
      <c r="E290" s="2"/>
      <c r="F290" s="29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2:35" ht="15.75" customHeight="1" x14ac:dyDescent="0.2">
      <c r="B291"/>
      <c r="C291" s="2"/>
      <c r="D291" s="2"/>
      <c r="E291" s="2"/>
      <c r="F291" s="29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2:35" ht="15.75" customHeight="1" x14ac:dyDescent="0.2">
      <c r="B292"/>
      <c r="C292" s="2"/>
      <c r="D292" s="2"/>
      <c r="E292" s="2"/>
      <c r="F292" s="29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2:35" ht="15.75" customHeight="1" x14ac:dyDescent="0.2">
      <c r="B293"/>
      <c r="C293" s="2"/>
      <c r="D293" s="2"/>
      <c r="E293" s="2"/>
      <c r="F293" s="29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2:35" ht="15.75" customHeight="1" x14ac:dyDescent="0.2">
      <c r="B294"/>
      <c r="C294" s="2"/>
      <c r="D294" s="2"/>
      <c r="E294" s="2"/>
      <c r="F294" s="29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2:35" ht="15.75" customHeight="1" x14ac:dyDescent="0.2">
      <c r="B295"/>
      <c r="C295" s="2"/>
      <c r="D295" s="2"/>
      <c r="E295" s="2"/>
      <c r="F295" s="29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2:35" ht="15.75" customHeight="1" x14ac:dyDescent="0.2">
      <c r="B296"/>
      <c r="C296" s="2"/>
      <c r="D296" s="2"/>
      <c r="E296" s="2"/>
      <c r="F296" s="29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2:35" ht="15.75" customHeight="1" x14ac:dyDescent="0.2">
      <c r="B297"/>
      <c r="C297" s="2"/>
      <c r="D297" s="2"/>
      <c r="E297" s="2"/>
      <c r="F297" s="29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2:35" ht="15.75" customHeight="1" x14ac:dyDescent="0.2">
      <c r="B298"/>
      <c r="C298" s="2"/>
      <c r="D298" s="2"/>
      <c r="E298" s="2"/>
      <c r="F298" s="29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2:35" ht="15.75" customHeight="1" x14ac:dyDescent="0.2">
      <c r="B299"/>
      <c r="C299" s="2"/>
      <c r="D299" s="2"/>
      <c r="E299" s="2"/>
      <c r="F299" s="29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2:35" ht="15.75" customHeight="1" x14ac:dyDescent="0.2">
      <c r="B300"/>
      <c r="C300" s="2"/>
      <c r="D300" s="2"/>
      <c r="E300" s="2"/>
      <c r="F300" s="29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2:35" ht="15.75" customHeight="1" x14ac:dyDescent="0.2">
      <c r="B301"/>
      <c r="C301" s="2"/>
      <c r="D301" s="2"/>
      <c r="E301" s="2"/>
      <c r="F301" s="29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2:35" ht="15.75" customHeight="1" x14ac:dyDescent="0.2">
      <c r="B302"/>
      <c r="C302" s="2"/>
      <c r="D302" s="2"/>
      <c r="E302" s="2"/>
      <c r="F302" s="29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2:35" ht="15.75" customHeight="1" x14ac:dyDescent="0.2">
      <c r="B303"/>
      <c r="C303" s="2"/>
      <c r="D303" s="2"/>
      <c r="E303" s="2"/>
      <c r="F303" s="29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2:35" ht="15.75" customHeight="1" x14ac:dyDescent="0.2">
      <c r="B304"/>
      <c r="C304" s="2"/>
      <c r="D304" s="2"/>
      <c r="E304" s="2"/>
      <c r="F304" s="29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2:35" ht="15.75" customHeight="1" x14ac:dyDescent="0.2">
      <c r="B305"/>
      <c r="C305" s="2"/>
      <c r="D305" s="2"/>
      <c r="E305" s="2"/>
      <c r="F305" s="29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2:35" ht="15.75" customHeight="1" x14ac:dyDescent="0.2">
      <c r="B306"/>
      <c r="C306" s="2"/>
      <c r="D306" s="2"/>
      <c r="E306" s="2"/>
      <c r="F306" s="29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2:35" ht="15.75" customHeight="1" x14ac:dyDescent="0.2">
      <c r="B307"/>
      <c r="C307" s="2"/>
      <c r="D307" s="2"/>
      <c r="E307" s="2"/>
      <c r="F307" s="29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2:35" ht="15.75" customHeight="1" x14ac:dyDescent="0.2">
      <c r="B308"/>
      <c r="C308" s="2"/>
      <c r="D308" s="2"/>
      <c r="E308" s="2"/>
      <c r="F308" s="2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2:35" ht="15.75" customHeight="1" x14ac:dyDescent="0.2">
      <c r="B309"/>
      <c r="C309" s="2"/>
      <c r="D309" s="2"/>
      <c r="E309" s="2"/>
      <c r="F309" s="29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2:35" ht="15.75" customHeight="1" x14ac:dyDescent="0.2">
      <c r="B310"/>
      <c r="C310" s="2"/>
      <c r="D310" s="2"/>
      <c r="E310" s="2"/>
      <c r="F310" s="2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2:35" ht="15.75" customHeight="1" x14ac:dyDescent="0.2">
      <c r="B311"/>
      <c r="C311" s="2"/>
      <c r="D311" s="2"/>
      <c r="E311" s="2"/>
      <c r="F311" s="29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2:35" ht="15.75" customHeight="1" x14ac:dyDescent="0.2">
      <c r="B312"/>
      <c r="C312" s="2"/>
      <c r="D312" s="2"/>
      <c r="E312" s="2"/>
      <c r="F312" s="29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2:35" ht="15.75" customHeight="1" x14ac:dyDescent="0.2">
      <c r="B313"/>
      <c r="C313" s="2"/>
      <c r="D313" s="2"/>
      <c r="E313" s="2"/>
      <c r="F313" s="29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2:35" ht="15.75" customHeight="1" x14ac:dyDescent="0.2">
      <c r="B314"/>
      <c r="C314" s="2"/>
      <c r="D314" s="2"/>
      <c r="E314" s="2"/>
      <c r="F314" s="29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2:35" ht="15.75" customHeight="1" x14ac:dyDescent="0.2">
      <c r="B315"/>
      <c r="C315" s="2"/>
      <c r="D315" s="2"/>
      <c r="E315" s="2"/>
      <c r="F315" s="29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2:35" ht="15.75" customHeight="1" x14ac:dyDescent="0.2">
      <c r="B316"/>
      <c r="C316" s="2"/>
      <c r="D316" s="2"/>
      <c r="E316" s="2"/>
      <c r="F316" s="29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2:35" ht="15.75" customHeight="1" x14ac:dyDescent="0.2">
      <c r="B317"/>
      <c r="C317" s="2"/>
      <c r="D317" s="2"/>
      <c r="E317" s="2"/>
      <c r="F317" s="29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2:35" ht="15.75" customHeight="1" x14ac:dyDescent="0.2">
      <c r="B318"/>
      <c r="C318" s="2"/>
      <c r="D318" s="2"/>
      <c r="E318" s="2"/>
      <c r="F318" s="29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2:35" ht="15.75" customHeight="1" x14ac:dyDescent="0.2">
      <c r="B319"/>
      <c r="C319" s="2"/>
      <c r="D319" s="2"/>
      <c r="E319" s="2"/>
      <c r="F319" s="29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2:35" ht="15.75" customHeight="1" x14ac:dyDescent="0.2">
      <c r="B320"/>
      <c r="C320" s="2"/>
      <c r="D320" s="2"/>
      <c r="E320" s="2"/>
      <c r="F320" s="29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2:35" ht="15.75" customHeight="1" x14ac:dyDescent="0.2">
      <c r="B321"/>
      <c r="C321" s="2"/>
      <c r="D321" s="2"/>
      <c r="E321" s="2"/>
      <c r="F321" s="29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2:35" ht="15.75" customHeight="1" x14ac:dyDescent="0.2">
      <c r="B322"/>
      <c r="C322" s="2"/>
      <c r="D322" s="2"/>
      <c r="E322" s="2"/>
      <c r="F322" s="29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2:35" ht="15.75" customHeight="1" x14ac:dyDescent="0.2">
      <c r="B323"/>
      <c r="C323" s="2"/>
      <c r="D323" s="2"/>
      <c r="E323" s="2"/>
      <c r="F323" s="29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2:35" ht="15.75" customHeight="1" x14ac:dyDescent="0.2">
      <c r="B324"/>
      <c r="C324" s="2"/>
      <c r="D324" s="2"/>
      <c r="E324" s="2"/>
      <c r="F324" s="29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2:35" ht="15.75" customHeight="1" x14ac:dyDescent="0.2">
      <c r="B325"/>
      <c r="C325" s="2"/>
      <c r="D325" s="2"/>
      <c r="E325" s="2"/>
      <c r="F325" s="29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2:35" ht="15.75" customHeight="1" x14ac:dyDescent="0.2">
      <c r="B326"/>
      <c r="C326" s="2"/>
      <c r="D326" s="2"/>
      <c r="E326" s="2"/>
      <c r="F326" s="29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2:35" ht="15.75" customHeight="1" x14ac:dyDescent="0.2">
      <c r="B327"/>
      <c r="C327" s="2"/>
      <c r="D327" s="2"/>
      <c r="E327" s="2"/>
      <c r="F327" s="29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2:35" ht="15.75" customHeight="1" x14ac:dyDescent="0.2">
      <c r="B328"/>
      <c r="C328" s="2"/>
      <c r="D328" s="2"/>
      <c r="E328" s="2"/>
      <c r="F328" s="29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2:35" ht="15.75" customHeight="1" x14ac:dyDescent="0.2">
      <c r="B329"/>
      <c r="C329" s="2"/>
      <c r="D329" s="2"/>
      <c r="E329" s="2"/>
      <c r="F329" s="29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2:35" ht="15.75" customHeight="1" x14ac:dyDescent="0.2">
      <c r="B330"/>
      <c r="C330" s="2"/>
      <c r="D330" s="2"/>
      <c r="E330" s="2"/>
      <c r="F330" s="29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2:35" ht="15.75" customHeight="1" x14ac:dyDescent="0.2">
      <c r="B331"/>
      <c r="C331" s="2"/>
      <c r="D331" s="2"/>
      <c r="E331" s="2"/>
      <c r="F331" s="29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2:35" ht="15.75" customHeight="1" x14ac:dyDescent="0.2">
      <c r="B332"/>
      <c r="C332" s="2"/>
      <c r="D332" s="2"/>
      <c r="E332" s="2"/>
      <c r="F332" s="29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2:35" ht="15.75" customHeight="1" x14ac:dyDescent="0.2">
      <c r="B333"/>
      <c r="C333" s="2"/>
      <c r="D333" s="2"/>
      <c r="E333" s="2"/>
      <c r="F333" s="29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2:35" ht="15.75" customHeight="1" x14ac:dyDescent="0.2">
      <c r="B334"/>
      <c r="C334" s="2"/>
      <c r="D334" s="2"/>
      <c r="E334" s="2"/>
      <c r="F334" s="29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2:35" ht="15.75" customHeight="1" x14ac:dyDescent="0.2">
      <c r="B335"/>
      <c r="C335" s="2"/>
      <c r="D335" s="2"/>
      <c r="E335" s="2"/>
      <c r="F335" s="29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2:35" ht="15.75" customHeight="1" x14ac:dyDescent="0.2">
      <c r="B336"/>
      <c r="C336" s="2"/>
      <c r="D336" s="2"/>
      <c r="E336" s="2"/>
      <c r="F336" s="29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2:35" ht="15.75" customHeight="1" x14ac:dyDescent="0.2">
      <c r="B337"/>
      <c r="C337" s="2"/>
      <c r="D337" s="2"/>
      <c r="E337" s="2"/>
      <c r="F337" s="29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2:35" ht="15.75" customHeight="1" x14ac:dyDescent="0.2">
      <c r="B338"/>
      <c r="C338" s="2"/>
      <c r="D338" s="2"/>
      <c r="E338" s="2"/>
      <c r="F338" s="29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2:35" ht="15.75" customHeight="1" x14ac:dyDescent="0.2">
      <c r="B339"/>
      <c r="C339" s="2"/>
      <c r="D339" s="2"/>
      <c r="E339" s="2"/>
      <c r="F339" s="29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2:35" ht="15.75" customHeight="1" x14ac:dyDescent="0.2">
      <c r="B340"/>
      <c r="C340" s="2"/>
      <c r="D340" s="2"/>
      <c r="E340" s="2"/>
      <c r="F340" s="29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2:35" ht="15.75" customHeight="1" x14ac:dyDescent="0.2">
      <c r="B341"/>
      <c r="C341" s="2"/>
      <c r="D341" s="2"/>
      <c r="E341" s="2"/>
      <c r="F341" s="29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2:35" ht="15.75" customHeight="1" x14ac:dyDescent="0.2">
      <c r="B342"/>
      <c r="C342" s="2"/>
      <c r="D342" s="2"/>
      <c r="E342" s="2"/>
      <c r="F342" s="29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2:35" ht="15.75" customHeight="1" x14ac:dyDescent="0.2">
      <c r="B343"/>
      <c r="C343" s="2"/>
      <c r="D343" s="2"/>
      <c r="E343" s="2"/>
      <c r="F343" s="29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2:35" ht="15.75" customHeight="1" x14ac:dyDescent="0.2">
      <c r="B344"/>
      <c r="C344" s="2"/>
      <c r="D344" s="2"/>
      <c r="E344" s="2"/>
      <c r="F344" s="29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2:35" ht="15.75" customHeight="1" x14ac:dyDescent="0.2">
      <c r="B345"/>
      <c r="C345" s="2"/>
      <c r="D345" s="2"/>
      <c r="E345" s="2"/>
      <c r="F345" s="29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2:35" ht="15.75" customHeight="1" x14ac:dyDescent="0.2">
      <c r="B346"/>
      <c r="C346" s="2"/>
      <c r="D346" s="2"/>
      <c r="E346" s="2"/>
      <c r="F346" s="29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2:35" ht="15.75" customHeight="1" x14ac:dyDescent="0.2">
      <c r="B347"/>
      <c r="C347" s="2"/>
      <c r="D347" s="2"/>
      <c r="E347" s="2"/>
      <c r="F347" s="29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2:35" ht="15.75" customHeight="1" x14ac:dyDescent="0.2">
      <c r="B348"/>
      <c r="C348" s="2"/>
      <c r="D348" s="2"/>
      <c r="E348" s="2"/>
      <c r="F348" s="29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2:35" ht="15.75" customHeight="1" x14ac:dyDescent="0.2">
      <c r="B349"/>
      <c r="C349" s="2"/>
      <c r="D349" s="2"/>
      <c r="E349" s="2"/>
      <c r="F349" s="29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2:35" ht="15.75" customHeight="1" x14ac:dyDescent="0.2">
      <c r="B350"/>
      <c r="C350" s="2"/>
      <c r="D350" s="2"/>
      <c r="E350" s="2"/>
      <c r="F350" s="29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2:35" ht="15.75" customHeight="1" x14ac:dyDescent="0.2">
      <c r="B351"/>
      <c r="C351" s="2"/>
      <c r="D351" s="2"/>
      <c r="E351" s="2"/>
      <c r="F351" s="29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2:35" ht="15.75" customHeight="1" x14ac:dyDescent="0.2">
      <c r="B352"/>
      <c r="C352" s="2"/>
      <c r="D352" s="2"/>
      <c r="E352" s="2"/>
      <c r="F352" s="29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2:35" ht="15.75" customHeight="1" x14ac:dyDescent="0.2">
      <c r="B353"/>
      <c r="C353" s="2"/>
      <c r="D353" s="2"/>
      <c r="E353" s="2"/>
      <c r="F353" s="29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2:35" ht="15.75" customHeight="1" x14ac:dyDescent="0.2">
      <c r="B354"/>
      <c r="C354" s="2"/>
      <c r="D354" s="2"/>
      <c r="E354" s="2"/>
      <c r="F354" s="29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2:35" ht="15.75" customHeight="1" x14ac:dyDescent="0.2">
      <c r="B355"/>
      <c r="C355" s="2"/>
      <c r="D355" s="2"/>
      <c r="E355" s="2"/>
      <c r="F355" s="29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2:35" ht="15.75" customHeight="1" x14ac:dyDescent="0.2">
      <c r="B356"/>
      <c r="C356" s="2"/>
      <c r="D356" s="2"/>
      <c r="E356" s="2"/>
      <c r="F356" s="29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2:35" ht="15.75" customHeight="1" x14ac:dyDescent="0.2">
      <c r="B357"/>
      <c r="C357" s="2"/>
      <c r="D357" s="2"/>
      <c r="E357" s="2"/>
      <c r="F357" s="29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2:35" ht="15.75" customHeight="1" x14ac:dyDescent="0.2">
      <c r="B358"/>
      <c r="C358" s="2"/>
      <c r="D358" s="2"/>
      <c r="E358" s="2"/>
      <c r="F358" s="29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2:35" ht="15.75" customHeight="1" x14ac:dyDescent="0.2">
      <c r="B359"/>
      <c r="C359" s="2"/>
      <c r="D359" s="2"/>
      <c r="E359" s="2"/>
      <c r="F359" s="29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2:35" ht="15.75" customHeight="1" x14ac:dyDescent="0.2">
      <c r="B360"/>
      <c r="C360" s="2"/>
      <c r="D360" s="2"/>
      <c r="E360" s="2"/>
      <c r="F360" s="29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2:35" ht="15.75" customHeight="1" x14ac:dyDescent="0.2">
      <c r="B361"/>
      <c r="C361" s="2"/>
      <c r="D361" s="2"/>
      <c r="E361" s="2"/>
      <c r="F361" s="29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2:35" ht="15.75" customHeight="1" x14ac:dyDescent="0.2">
      <c r="B362"/>
      <c r="C362" s="2"/>
      <c r="D362" s="2"/>
      <c r="E362" s="2"/>
      <c r="F362" s="29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2:35" ht="15.75" customHeight="1" x14ac:dyDescent="0.2">
      <c r="B363"/>
      <c r="C363" s="2"/>
      <c r="D363" s="2"/>
      <c r="E363" s="2"/>
      <c r="F363" s="29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2:35" ht="15.75" customHeight="1" x14ac:dyDescent="0.2">
      <c r="B364"/>
      <c r="C364" s="2"/>
      <c r="D364" s="2"/>
      <c r="E364" s="2"/>
      <c r="F364" s="29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2:35" ht="15.75" customHeight="1" x14ac:dyDescent="0.2">
      <c r="B365"/>
      <c r="C365" s="2"/>
      <c r="D365" s="2"/>
      <c r="E365" s="2"/>
      <c r="F365" s="29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2:35" ht="15.75" customHeight="1" x14ac:dyDescent="0.2">
      <c r="B366"/>
      <c r="C366" s="2"/>
      <c r="D366" s="2"/>
      <c r="E366" s="2"/>
      <c r="F366" s="29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2:35" ht="15.75" customHeight="1" x14ac:dyDescent="0.2">
      <c r="B367"/>
      <c r="C367" s="2"/>
      <c r="D367" s="2"/>
      <c r="E367" s="2"/>
      <c r="F367" s="29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2:35" ht="15.75" customHeight="1" x14ac:dyDescent="0.2">
      <c r="B368"/>
      <c r="C368" s="2"/>
      <c r="D368" s="2"/>
      <c r="E368" s="2"/>
      <c r="F368" s="29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2:35" ht="15.75" customHeight="1" x14ac:dyDescent="0.2">
      <c r="B369"/>
      <c r="C369" s="2"/>
      <c r="D369" s="2"/>
      <c r="E369" s="2"/>
      <c r="F369" s="29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2:35" ht="15.75" customHeight="1" x14ac:dyDescent="0.2">
      <c r="B370"/>
      <c r="C370" s="2"/>
      <c r="D370" s="2"/>
      <c r="E370" s="2"/>
      <c r="F370" s="29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2:35" ht="15.75" customHeight="1" x14ac:dyDescent="0.2">
      <c r="B371"/>
      <c r="C371" s="2"/>
      <c r="D371" s="2"/>
      <c r="E371" s="2"/>
      <c r="F371" s="29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2:35" ht="15.75" customHeight="1" x14ac:dyDescent="0.2">
      <c r="B372"/>
      <c r="C372" s="2"/>
      <c r="D372" s="2"/>
      <c r="E372" s="2"/>
      <c r="F372" s="29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2:35" ht="15.75" customHeight="1" x14ac:dyDescent="0.2">
      <c r="B373"/>
      <c r="C373" s="2"/>
      <c r="D373" s="2"/>
      <c r="E373" s="2"/>
      <c r="F373" s="29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2:35" ht="15.75" customHeight="1" x14ac:dyDescent="0.2">
      <c r="B374"/>
      <c r="C374" s="2"/>
      <c r="D374" s="2"/>
      <c r="E374" s="2"/>
      <c r="F374" s="29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2:35" ht="15.75" customHeight="1" x14ac:dyDescent="0.2">
      <c r="B375"/>
      <c r="C375" s="2"/>
      <c r="D375" s="2"/>
      <c r="E375" s="2"/>
      <c r="F375" s="29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2:35" ht="15.75" customHeight="1" x14ac:dyDescent="0.2">
      <c r="B376"/>
      <c r="C376" s="2"/>
      <c r="D376" s="2"/>
      <c r="E376" s="2"/>
      <c r="F376" s="29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2:35" ht="15.75" customHeight="1" x14ac:dyDescent="0.2">
      <c r="B377"/>
      <c r="C377" s="2"/>
      <c r="D377" s="2"/>
      <c r="E377" s="2"/>
      <c r="F377" s="29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2:35" ht="15.75" customHeight="1" x14ac:dyDescent="0.2">
      <c r="B378"/>
      <c r="C378" s="2"/>
      <c r="D378" s="2"/>
      <c r="E378" s="2"/>
      <c r="F378" s="29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2:35" ht="15.75" customHeight="1" x14ac:dyDescent="0.2">
      <c r="B379"/>
      <c r="C379" s="2"/>
      <c r="D379" s="2"/>
      <c r="E379" s="2"/>
      <c r="F379" s="29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2:35" ht="15.75" customHeight="1" x14ac:dyDescent="0.2">
      <c r="B380"/>
      <c r="C380" s="2"/>
      <c r="D380" s="2"/>
      <c r="E380" s="2"/>
      <c r="F380" s="29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2:35" ht="15.75" customHeight="1" x14ac:dyDescent="0.2">
      <c r="B381"/>
      <c r="C381" s="2"/>
      <c r="D381" s="2"/>
      <c r="E381" s="2"/>
      <c r="F381" s="29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2:35" ht="15.75" customHeight="1" x14ac:dyDescent="0.2">
      <c r="B382"/>
      <c r="C382" s="2"/>
      <c r="D382" s="2"/>
      <c r="E382" s="2"/>
      <c r="F382" s="29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2:35" ht="15.75" customHeight="1" x14ac:dyDescent="0.2">
      <c r="B383"/>
      <c r="C383" s="2"/>
      <c r="D383" s="2"/>
      <c r="E383" s="2"/>
      <c r="F383" s="29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2:35" ht="15.75" customHeight="1" x14ac:dyDescent="0.2">
      <c r="B384"/>
      <c r="C384" s="2"/>
      <c r="D384" s="2"/>
      <c r="E384" s="2"/>
      <c r="F384" s="29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2:35" ht="15.75" customHeight="1" x14ac:dyDescent="0.2">
      <c r="B385"/>
      <c r="C385" s="2"/>
      <c r="D385" s="2"/>
      <c r="E385" s="2"/>
      <c r="F385" s="29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2:35" ht="15.75" customHeight="1" x14ac:dyDescent="0.2">
      <c r="B386"/>
      <c r="C386" s="2"/>
      <c r="D386" s="2"/>
      <c r="E386" s="2"/>
      <c r="F386" s="29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2:35" ht="15.75" customHeight="1" x14ac:dyDescent="0.2">
      <c r="B387"/>
      <c r="C387" s="2"/>
      <c r="D387" s="2"/>
      <c r="E387" s="2"/>
      <c r="F387" s="29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2:35" ht="15.75" customHeight="1" x14ac:dyDescent="0.2">
      <c r="B388"/>
      <c r="C388" s="2"/>
      <c r="D388" s="2"/>
      <c r="E388" s="2"/>
      <c r="F388" s="29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2:35" ht="15.75" customHeight="1" x14ac:dyDescent="0.2">
      <c r="B389"/>
      <c r="C389" s="2"/>
      <c r="D389" s="2"/>
      <c r="E389" s="2"/>
      <c r="F389" s="29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2:35" ht="15.75" customHeight="1" x14ac:dyDescent="0.2">
      <c r="B390"/>
      <c r="C390" s="2"/>
      <c r="D390" s="2"/>
      <c r="E390" s="2"/>
      <c r="F390" s="29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2:35" ht="15.75" customHeight="1" x14ac:dyDescent="0.2">
      <c r="B391"/>
      <c r="C391" s="2"/>
      <c r="D391" s="2"/>
      <c r="E391" s="2"/>
      <c r="F391" s="29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2:35" ht="15.75" customHeight="1" x14ac:dyDescent="0.2">
      <c r="B392"/>
      <c r="C392" s="2"/>
      <c r="D392" s="2"/>
      <c r="E392" s="2"/>
      <c r="F392" s="29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2:35" ht="15.75" customHeight="1" x14ac:dyDescent="0.2">
      <c r="B393"/>
      <c r="C393" s="2"/>
      <c r="D393" s="2"/>
      <c r="E393" s="2"/>
      <c r="F393" s="29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2:35" ht="15.75" customHeight="1" x14ac:dyDescent="0.2">
      <c r="B394"/>
      <c r="C394" s="2"/>
      <c r="D394" s="2"/>
      <c r="E394" s="2"/>
      <c r="F394" s="29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2:35" ht="15.75" customHeight="1" x14ac:dyDescent="0.2">
      <c r="B395"/>
      <c r="C395" s="2"/>
      <c r="D395" s="2"/>
      <c r="E395" s="2"/>
      <c r="F395" s="29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2:35" ht="15.75" customHeight="1" x14ac:dyDescent="0.2">
      <c r="B396"/>
      <c r="C396" s="2"/>
      <c r="D396" s="2"/>
      <c r="E396" s="2"/>
      <c r="F396" s="29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2:35" ht="15.75" customHeight="1" x14ac:dyDescent="0.2">
      <c r="B397"/>
      <c r="C397" s="2"/>
      <c r="D397" s="2"/>
      <c r="E397" s="2"/>
      <c r="F397" s="29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2:35" ht="15.75" customHeight="1" x14ac:dyDescent="0.2">
      <c r="B398"/>
      <c r="C398" s="2"/>
      <c r="D398" s="2"/>
      <c r="E398" s="2"/>
      <c r="F398" s="29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2:35" ht="15.75" customHeight="1" x14ac:dyDescent="0.2">
      <c r="B399"/>
      <c r="C399" s="2"/>
      <c r="D399" s="2"/>
      <c r="E399" s="2"/>
      <c r="F399" s="29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2:35" ht="15.75" customHeight="1" x14ac:dyDescent="0.2">
      <c r="B400"/>
      <c r="C400" s="2"/>
      <c r="D400" s="2"/>
      <c r="E400" s="2"/>
      <c r="F400" s="29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2:35" ht="15.75" customHeight="1" x14ac:dyDescent="0.2">
      <c r="B401"/>
      <c r="C401" s="2"/>
      <c r="D401" s="2"/>
      <c r="E401" s="2"/>
      <c r="F401" s="29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2:35" ht="15.75" customHeight="1" x14ac:dyDescent="0.2">
      <c r="B402"/>
      <c r="C402" s="2"/>
      <c r="D402" s="2"/>
      <c r="E402" s="2"/>
      <c r="F402" s="29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2:35" ht="15.75" customHeight="1" x14ac:dyDescent="0.2">
      <c r="B403"/>
      <c r="C403" s="2"/>
      <c r="D403" s="2"/>
      <c r="E403" s="2"/>
      <c r="F403" s="29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2:35" ht="15.75" customHeight="1" x14ac:dyDescent="0.2">
      <c r="B404"/>
      <c r="C404" s="2"/>
      <c r="D404" s="2"/>
      <c r="E404" s="2"/>
      <c r="F404" s="29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2:35" ht="15.75" customHeight="1" x14ac:dyDescent="0.2">
      <c r="B405"/>
      <c r="C405" s="2"/>
      <c r="D405" s="2"/>
      <c r="E405" s="2"/>
      <c r="F405" s="29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2:35" ht="15.75" customHeight="1" x14ac:dyDescent="0.2">
      <c r="B406"/>
      <c r="C406" s="2"/>
      <c r="D406" s="2"/>
      <c r="E406" s="2"/>
      <c r="F406" s="29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2:35" ht="15.75" customHeight="1" x14ac:dyDescent="0.2">
      <c r="B407"/>
      <c r="C407" s="2"/>
      <c r="D407" s="2"/>
      <c r="E407" s="2"/>
      <c r="F407" s="29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2:35" ht="15.75" customHeight="1" x14ac:dyDescent="0.2">
      <c r="B408"/>
      <c r="C408" s="2"/>
      <c r="D408" s="2"/>
      <c r="E408" s="2"/>
      <c r="F408" s="29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2:35" ht="15.75" customHeight="1" x14ac:dyDescent="0.2">
      <c r="B409"/>
      <c r="C409" s="2"/>
      <c r="D409" s="2"/>
      <c r="E409" s="2"/>
      <c r="F409" s="29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2:35" ht="15.75" customHeight="1" x14ac:dyDescent="0.2">
      <c r="B410"/>
      <c r="C410" s="2"/>
      <c r="D410" s="2"/>
      <c r="E410" s="2"/>
      <c r="F410" s="29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2:35" ht="15.75" customHeight="1" x14ac:dyDescent="0.2">
      <c r="B411"/>
      <c r="C411" s="2"/>
      <c r="D411" s="2"/>
      <c r="E411" s="2"/>
      <c r="F411" s="29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2:35" ht="15.75" customHeight="1" x14ac:dyDescent="0.2">
      <c r="B412"/>
      <c r="C412" s="2"/>
      <c r="D412" s="2"/>
      <c r="E412" s="2"/>
      <c r="F412" s="29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2:35" ht="15.75" customHeight="1" x14ac:dyDescent="0.2">
      <c r="B413"/>
      <c r="C413" s="2"/>
      <c r="D413" s="2"/>
      <c r="E413" s="2"/>
      <c r="F413" s="29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2:35" ht="15.75" customHeight="1" x14ac:dyDescent="0.2">
      <c r="B414"/>
      <c r="C414" s="2"/>
      <c r="D414" s="2"/>
      <c r="E414" s="2"/>
      <c r="F414" s="29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2:35" ht="15.75" customHeight="1" x14ac:dyDescent="0.2">
      <c r="B415"/>
      <c r="C415" s="2"/>
      <c r="D415" s="2"/>
      <c r="E415" s="2"/>
      <c r="F415" s="29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2:35" ht="15.75" customHeight="1" x14ac:dyDescent="0.2">
      <c r="B416"/>
      <c r="C416" s="2"/>
      <c r="D416" s="2"/>
      <c r="E416" s="2"/>
      <c r="F416" s="29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2:35" ht="15.75" customHeight="1" x14ac:dyDescent="0.2">
      <c r="B417"/>
      <c r="C417" s="2"/>
      <c r="D417" s="2"/>
      <c r="E417" s="2"/>
      <c r="F417" s="29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2:35" ht="15.75" customHeight="1" x14ac:dyDescent="0.2">
      <c r="B418"/>
      <c r="C418" s="2"/>
      <c r="D418" s="2"/>
      <c r="E418" s="2"/>
      <c r="F418" s="29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2:35" ht="15.75" customHeight="1" x14ac:dyDescent="0.2">
      <c r="B419"/>
      <c r="C419" s="2"/>
      <c r="D419" s="2"/>
      <c r="E419" s="2"/>
      <c r="F419" s="29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2:35" ht="15.75" customHeight="1" x14ac:dyDescent="0.2">
      <c r="B420"/>
      <c r="C420" s="2"/>
      <c r="D420" s="2"/>
      <c r="E420" s="2"/>
      <c r="F420" s="29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2:35" ht="15.75" customHeight="1" x14ac:dyDescent="0.2">
      <c r="B421"/>
      <c r="C421" s="2"/>
      <c r="D421" s="2"/>
      <c r="E421" s="2"/>
      <c r="F421" s="29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2:35" ht="15.75" customHeight="1" x14ac:dyDescent="0.2">
      <c r="B422"/>
      <c r="C422" s="2"/>
      <c r="D422" s="2"/>
      <c r="E422" s="2"/>
      <c r="F422" s="29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2:35" ht="15.75" customHeight="1" x14ac:dyDescent="0.2">
      <c r="B423"/>
      <c r="C423" s="2"/>
      <c r="D423" s="2"/>
      <c r="E423" s="2"/>
      <c r="F423" s="29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2:35" ht="15.75" customHeight="1" x14ac:dyDescent="0.2">
      <c r="B424"/>
      <c r="C424" s="2"/>
      <c r="D424" s="2"/>
      <c r="E424" s="2"/>
      <c r="F424" s="29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2:35" ht="15.75" customHeight="1" x14ac:dyDescent="0.2">
      <c r="B425"/>
      <c r="C425" s="2"/>
      <c r="D425" s="2"/>
      <c r="E425" s="2"/>
      <c r="F425" s="29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2:35" ht="15.75" customHeight="1" x14ac:dyDescent="0.2">
      <c r="B426"/>
      <c r="C426" s="2"/>
      <c r="D426" s="2"/>
      <c r="E426" s="2"/>
      <c r="F426" s="29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2:35" ht="15.75" customHeight="1" x14ac:dyDescent="0.2">
      <c r="B427"/>
      <c r="C427" s="2"/>
      <c r="D427" s="2"/>
      <c r="E427" s="2"/>
      <c r="F427" s="29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2:35" ht="15.75" customHeight="1" x14ac:dyDescent="0.2">
      <c r="B428"/>
      <c r="C428" s="2"/>
      <c r="D428" s="2"/>
      <c r="E428" s="2"/>
      <c r="F428" s="29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2:35" ht="15.75" customHeight="1" x14ac:dyDescent="0.2">
      <c r="B429"/>
      <c r="C429" s="2"/>
      <c r="D429" s="2"/>
      <c r="E429" s="2"/>
      <c r="F429" s="29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2:35" ht="15.75" customHeight="1" x14ac:dyDescent="0.2">
      <c r="B430"/>
      <c r="C430" s="2"/>
      <c r="D430" s="2"/>
      <c r="E430" s="2"/>
      <c r="F430" s="29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2:35" ht="15.75" customHeight="1" x14ac:dyDescent="0.2">
      <c r="B431"/>
      <c r="C431" s="2"/>
      <c r="D431" s="2"/>
      <c r="E431" s="2"/>
      <c r="F431" s="29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2:35" ht="15.75" customHeight="1" x14ac:dyDescent="0.2">
      <c r="B432"/>
      <c r="C432" s="2"/>
      <c r="D432" s="2"/>
      <c r="E432" s="2"/>
      <c r="F432" s="29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2:35" ht="15.75" customHeight="1" x14ac:dyDescent="0.2">
      <c r="B433"/>
      <c r="C433" s="2"/>
      <c r="D433" s="2"/>
      <c r="E433" s="2"/>
      <c r="F433" s="29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2:35" ht="15.75" customHeight="1" x14ac:dyDescent="0.2">
      <c r="B434"/>
      <c r="C434" s="2"/>
      <c r="D434" s="2"/>
      <c r="E434" s="2"/>
      <c r="F434" s="29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2:35" ht="15.75" customHeight="1" x14ac:dyDescent="0.2">
      <c r="B435"/>
      <c r="C435" s="2"/>
      <c r="D435" s="2"/>
      <c r="E435" s="2"/>
      <c r="F435" s="29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2:35" ht="15.75" customHeight="1" x14ac:dyDescent="0.2">
      <c r="B436"/>
      <c r="C436" s="2"/>
      <c r="D436" s="2"/>
      <c r="E436" s="2"/>
      <c r="F436" s="29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2:35" ht="15.75" customHeight="1" x14ac:dyDescent="0.2">
      <c r="B437"/>
      <c r="C437" s="2"/>
      <c r="D437" s="2"/>
      <c r="E437" s="2"/>
      <c r="F437" s="29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2:35" ht="15.75" customHeight="1" x14ac:dyDescent="0.2">
      <c r="B438"/>
      <c r="C438" s="2"/>
      <c r="D438" s="2"/>
      <c r="E438" s="2"/>
      <c r="F438" s="29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2:35" ht="15.75" customHeight="1" x14ac:dyDescent="0.2">
      <c r="B439"/>
      <c r="C439" s="2"/>
      <c r="D439" s="2"/>
      <c r="E439" s="2"/>
      <c r="F439" s="29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2:35" ht="15.75" customHeight="1" x14ac:dyDescent="0.2">
      <c r="B440"/>
      <c r="C440" s="2"/>
      <c r="D440" s="2"/>
      <c r="E440" s="2"/>
      <c r="F440" s="29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2:35" ht="15.75" customHeight="1" x14ac:dyDescent="0.2">
      <c r="B441"/>
      <c r="C441" s="2"/>
      <c r="D441" s="2"/>
      <c r="E441" s="2"/>
      <c r="F441" s="29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2:35" ht="15.75" customHeight="1" x14ac:dyDescent="0.2">
      <c r="B442"/>
      <c r="C442" s="2"/>
      <c r="D442" s="2"/>
      <c r="E442" s="2"/>
      <c r="F442" s="29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2:35" ht="15.75" customHeight="1" x14ac:dyDescent="0.2">
      <c r="B443"/>
      <c r="C443" s="2"/>
      <c r="D443" s="2"/>
      <c r="E443" s="2"/>
      <c r="F443" s="29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2:35" ht="15.75" customHeight="1" x14ac:dyDescent="0.2">
      <c r="B444"/>
      <c r="C444" s="2"/>
      <c r="D444" s="2"/>
      <c r="E444" s="2"/>
      <c r="F444" s="29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2:35" ht="15.75" customHeight="1" x14ac:dyDescent="0.2">
      <c r="B445"/>
      <c r="C445" s="2"/>
      <c r="D445" s="2"/>
      <c r="E445" s="2"/>
      <c r="F445" s="29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2:35" ht="15.75" customHeight="1" x14ac:dyDescent="0.2">
      <c r="B446"/>
      <c r="C446" s="2"/>
      <c r="D446" s="2"/>
      <c r="E446" s="2"/>
      <c r="F446" s="29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2:35" ht="15.75" customHeight="1" x14ac:dyDescent="0.2">
      <c r="B447"/>
      <c r="C447" s="2"/>
      <c r="D447" s="2"/>
      <c r="E447" s="2"/>
      <c r="F447" s="29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2:35" ht="15.75" customHeight="1" x14ac:dyDescent="0.2">
      <c r="B448"/>
      <c r="C448" s="2"/>
      <c r="D448" s="2"/>
      <c r="E448" s="2"/>
      <c r="F448" s="29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2:35" ht="15.75" customHeight="1" x14ac:dyDescent="0.2">
      <c r="B449"/>
      <c r="C449" s="2"/>
      <c r="D449" s="2"/>
      <c r="E449" s="2"/>
      <c r="F449" s="29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2:35" ht="15.75" customHeight="1" x14ac:dyDescent="0.2">
      <c r="B450"/>
      <c r="C450" s="2"/>
      <c r="D450" s="2"/>
      <c r="E450" s="2"/>
      <c r="F450" s="29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2:35" ht="15.75" customHeight="1" x14ac:dyDescent="0.2">
      <c r="B451"/>
      <c r="C451" s="2"/>
      <c r="D451" s="2"/>
      <c r="E451" s="2"/>
      <c r="F451" s="29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2:35" ht="15.75" customHeight="1" x14ac:dyDescent="0.2">
      <c r="B452"/>
      <c r="C452" s="2"/>
      <c r="D452" s="2"/>
      <c r="E452" s="2"/>
      <c r="F452" s="29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2:35" ht="15.75" customHeight="1" x14ac:dyDescent="0.2">
      <c r="B453"/>
      <c r="C453" s="2"/>
      <c r="D453" s="2"/>
      <c r="E453" s="2"/>
      <c r="F453" s="29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2:35" ht="15.75" customHeight="1" x14ac:dyDescent="0.2">
      <c r="B454"/>
      <c r="C454" s="2"/>
      <c r="D454" s="2"/>
      <c r="E454" s="2"/>
      <c r="F454" s="29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2:35" ht="15.75" customHeight="1" x14ac:dyDescent="0.2">
      <c r="B455"/>
      <c r="C455" s="2"/>
      <c r="D455" s="2"/>
      <c r="E455" s="2"/>
      <c r="F455" s="29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2:35" ht="15.75" customHeight="1" x14ac:dyDescent="0.2">
      <c r="B456"/>
      <c r="C456" s="2"/>
      <c r="D456" s="2"/>
      <c r="E456" s="2"/>
      <c r="F456" s="29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2:35" ht="15.75" customHeight="1" x14ac:dyDescent="0.2">
      <c r="B457"/>
      <c r="C457" s="2"/>
      <c r="D457" s="2"/>
      <c r="E457" s="2"/>
      <c r="F457" s="29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2:35" ht="15.75" customHeight="1" x14ac:dyDescent="0.2">
      <c r="B458"/>
      <c r="C458" s="2"/>
      <c r="D458" s="2"/>
      <c r="E458" s="2"/>
      <c r="F458" s="29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2:35" ht="15.75" customHeight="1" x14ac:dyDescent="0.2">
      <c r="B459"/>
      <c r="C459" s="2"/>
      <c r="D459" s="2"/>
      <c r="E459" s="2"/>
      <c r="F459" s="29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2:35" ht="15.75" customHeight="1" x14ac:dyDescent="0.2">
      <c r="B460"/>
      <c r="C460" s="2"/>
      <c r="D460" s="2"/>
      <c r="E460" s="2"/>
      <c r="F460" s="29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2:35" ht="15.75" customHeight="1" x14ac:dyDescent="0.2">
      <c r="B461"/>
      <c r="C461" s="2"/>
      <c r="D461" s="2"/>
      <c r="E461" s="2"/>
      <c r="F461" s="29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2:35" ht="15.75" customHeight="1" x14ac:dyDescent="0.2">
      <c r="B462"/>
      <c r="C462" s="2"/>
      <c r="D462" s="2"/>
      <c r="E462" s="2"/>
      <c r="F462" s="29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2:35" ht="15.75" customHeight="1" x14ac:dyDescent="0.2">
      <c r="B463"/>
      <c r="C463" s="2"/>
      <c r="D463" s="2"/>
      <c r="E463" s="2"/>
      <c r="F463" s="29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2:35" ht="15.75" customHeight="1" x14ac:dyDescent="0.2">
      <c r="B464"/>
      <c r="C464" s="2"/>
      <c r="D464" s="2"/>
      <c r="E464" s="2"/>
      <c r="F464" s="29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2:35" ht="15.75" customHeight="1" x14ac:dyDescent="0.2">
      <c r="B465"/>
      <c r="C465" s="2"/>
      <c r="D465" s="2"/>
      <c r="E465" s="2"/>
      <c r="F465" s="29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2:35" ht="15.75" customHeight="1" x14ac:dyDescent="0.2">
      <c r="B466"/>
      <c r="C466" s="2"/>
      <c r="D466" s="2"/>
      <c r="E466" s="2"/>
      <c r="F466" s="29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2:35" ht="15.75" customHeight="1" x14ac:dyDescent="0.2">
      <c r="B467"/>
      <c r="C467" s="2"/>
      <c r="D467" s="2"/>
      <c r="E467" s="2"/>
      <c r="F467" s="29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2:35" ht="15.75" customHeight="1" x14ac:dyDescent="0.2">
      <c r="B468"/>
      <c r="C468" s="2"/>
      <c r="D468" s="2"/>
      <c r="E468" s="2"/>
      <c r="F468" s="29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2:35" ht="15.75" customHeight="1" x14ac:dyDescent="0.2">
      <c r="B469"/>
      <c r="C469" s="2"/>
      <c r="D469" s="2"/>
      <c r="E469" s="2"/>
      <c r="F469" s="29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2:35" ht="15.75" customHeight="1" x14ac:dyDescent="0.2">
      <c r="B470"/>
      <c r="C470" s="2"/>
      <c r="D470" s="2"/>
      <c r="E470" s="2"/>
      <c r="F470" s="29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2:35" ht="15.75" customHeight="1" x14ac:dyDescent="0.2">
      <c r="B471"/>
      <c r="C471" s="2"/>
      <c r="D471" s="2"/>
      <c r="E471" s="2"/>
      <c r="F471" s="29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2:35" ht="15.75" customHeight="1" x14ac:dyDescent="0.2">
      <c r="B472"/>
      <c r="C472" s="2"/>
      <c r="D472" s="2"/>
      <c r="E472" s="2"/>
      <c r="F472" s="29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2:35" ht="15.75" customHeight="1" x14ac:dyDescent="0.2">
      <c r="B473"/>
      <c r="C473" s="2"/>
      <c r="D473" s="2"/>
      <c r="E473" s="2"/>
      <c r="F473" s="29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2:35" ht="15.75" customHeight="1" x14ac:dyDescent="0.2">
      <c r="B474"/>
      <c r="C474" s="2"/>
      <c r="D474" s="2"/>
      <c r="E474" s="2"/>
      <c r="F474" s="29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2:35" ht="15.75" customHeight="1" x14ac:dyDescent="0.2">
      <c r="B475"/>
      <c r="C475" s="2"/>
      <c r="D475" s="2"/>
      <c r="E475" s="2"/>
      <c r="F475" s="29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2:35" ht="15.75" customHeight="1" x14ac:dyDescent="0.2">
      <c r="B476"/>
      <c r="C476" s="2"/>
      <c r="D476" s="2"/>
      <c r="E476" s="2"/>
      <c r="F476" s="29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2:35" ht="15.75" customHeight="1" x14ac:dyDescent="0.2">
      <c r="B477"/>
      <c r="C477" s="2"/>
      <c r="D477" s="2"/>
      <c r="E477" s="2"/>
      <c r="F477" s="29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2:35" ht="15.75" customHeight="1" x14ac:dyDescent="0.2">
      <c r="B478"/>
      <c r="C478" s="2"/>
      <c r="D478" s="2"/>
      <c r="E478" s="2"/>
      <c r="F478" s="29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2:35" ht="15.75" customHeight="1" x14ac:dyDescent="0.2">
      <c r="B479"/>
      <c r="C479" s="2"/>
      <c r="D479" s="2"/>
      <c r="E479" s="2"/>
      <c r="F479" s="29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2:35" ht="15.75" customHeight="1" x14ac:dyDescent="0.2">
      <c r="B480"/>
      <c r="C480" s="2"/>
      <c r="D480" s="2"/>
      <c r="E480" s="2"/>
      <c r="F480" s="29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2:35" ht="15.75" customHeight="1" x14ac:dyDescent="0.2">
      <c r="B481"/>
      <c r="C481" s="2"/>
      <c r="D481" s="2"/>
      <c r="E481" s="2"/>
      <c r="F481" s="29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2:35" ht="15.75" customHeight="1" x14ac:dyDescent="0.2">
      <c r="B482"/>
      <c r="C482" s="2"/>
      <c r="D482" s="2"/>
      <c r="E482" s="2"/>
      <c r="F482" s="29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2:35" ht="15.75" customHeight="1" x14ac:dyDescent="0.2">
      <c r="B483"/>
      <c r="C483" s="2"/>
      <c r="D483" s="2"/>
      <c r="E483" s="2"/>
      <c r="F483" s="29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2:35" ht="15.75" customHeight="1" x14ac:dyDescent="0.2">
      <c r="B484"/>
      <c r="C484" s="2"/>
      <c r="D484" s="2"/>
      <c r="E484" s="2"/>
      <c r="F484" s="29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2:35" ht="15.75" customHeight="1" x14ac:dyDescent="0.2">
      <c r="B485"/>
      <c r="C485" s="2"/>
      <c r="D485" s="2"/>
      <c r="E485" s="2"/>
      <c r="F485" s="29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2:35" ht="15.75" customHeight="1" x14ac:dyDescent="0.2">
      <c r="B486"/>
      <c r="C486" s="2"/>
      <c r="D486" s="2"/>
      <c r="E486" s="2"/>
      <c r="F486" s="29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2:35" ht="15.75" customHeight="1" x14ac:dyDescent="0.2">
      <c r="B487"/>
      <c r="C487" s="2"/>
      <c r="D487" s="2"/>
      <c r="E487" s="2"/>
      <c r="F487" s="29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2:35" ht="15.75" customHeight="1" x14ac:dyDescent="0.2">
      <c r="B488"/>
      <c r="C488" s="2"/>
      <c r="D488" s="2"/>
      <c r="E488" s="2"/>
      <c r="F488" s="29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2:35" ht="15.75" customHeight="1" x14ac:dyDescent="0.2">
      <c r="B489"/>
      <c r="C489" s="2"/>
      <c r="D489" s="2"/>
      <c r="E489" s="2"/>
      <c r="F489" s="29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2:35" ht="15.75" customHeight="1" x14ac:dyDescent="0.2">
      <c r="B490"/>
      <c r="C490" s="2"/>
      <c r="D490" s="2"/>
      <c r="E490" s="2"/>
      <c r="F490" s="29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2:35" ht="15.75" customHeight="1" x14ac:dyDescent="0.2">
      <c r="B491"/>
      <c r="C491" s="2"/>
      <c r="D491" s="2"/>
      <c r="E491" s="2"/>
      <c r="F491" s="29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2:35" ht="15.75" customHeight="1" x14ac:dyDescent="0.2">
      <c r="B492"/>
      <c r="C492" s="2"/>
      <c r="D492" s="2"/>
      <c r="E492" s="2"/>
      <c r="F492" s="29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2:35" ht="15.75" customHeight="1" x14ac:dyDescent="0.2">
      <c r="B493"/>
      <c r="C493" s="2"/>
      <c r="D493" s="2"/>
      <c r="E493" s="2"/>
      <c r="F493" s="29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2:35" ht="15.75" customHeight="1" x14ac:dyDescent="0.2">
      <c r="B494"/>
      <c r="C494" s="2"/>
      <c r="D494" s="2"/>
      <c r="E494" s="2"/>
      <c r="F494" s="29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2:35" ht="15.75" customHeight="1" x14ac:dyDescent="0.2">
      <c r="B495"/>
      <c r="C495" s="2"/>
      <c r="D495" s="2"/>
      <c r="E495" s="2"/>
      <c r="F495" s="29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2:35" ht="15.75" customHeight="1" x14ac:dyDescent="0.2">
      <c r="B496"/>
      <c r="C496" s="2"/>
      <c r="D496" s="2"/>
      <c r="E496" s="2"/>
      <c r="F496" s="29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2:35" ht="15.75" customHeight="1" x14ac:dyDescent="0.2">
      <c r="B497"/>
      <c r="C497" s="2"/>
      <c r="D497" s="2"/>
      <c r="E497" s="2"/>
      <c r="F497" s="29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2:35" ht="15.75" customHeight="1" x14ac:dyDescent="0.2">
      <c r="B498"/>
      <c r="C498" s="2"/>
      <c r="D498" s="2"/>
      <c r="E498" s="2"/>
      <c r="F498" s="29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2:35" ht="15.75" customHeight="1" x14ac:dyDescent="0.2">
      <c r="B499"/>
      <c r="C499" s="2"/>
      <c r="D499" s="2"/>
      <c r="E499" s="2"/>
      <c r="F499" s="29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2:35" ht="15.75" customHeight="1" x14ac:dyDescent="0.2">
      <c r="B500"/>
      <c r="C500" s="2"/>
      <c r="D500" s="2"/>
      <c r="E500" s="2"/>
      <c r="F500" s="29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2:35" ht="15.75" customHeight="1" x14ac:dyDescent="0.2">
      <c r="B501"/>
      <c r="C501" s="2"/>
      <c r="D501" s="2"/>
      <c r="E501" s="2"/>
      <c r="F501" s="29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2:35" ht="15.75" customHeight="1" x14ac:dyDescent="0.2">
      <c r="B502"/>
      <c r="C502" s="2"/>
      <c r="D502" s="2"/>
      <c r="E502" s="2"/>
      <c r="F502" s="29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2:35" ht="15.75" customHeight="1" x14ac:dyDescent="0.2">
      <c r="B503"/>
      <c r="C503" s="2"/>
      <c r="D503" s="2"/>
      <c r="E503" s="2"/>
      <c r="F503" s="29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2:35" ht="15.75" customHeight="1" x14ac:dyDescent="0.2">
      <c r="B504"/>
      <c r="C504" s="2"/>
      <c r="D504" s="2"/>
      <c r="E504" s="2"/>
      <c r="F504" s="29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2:35" ht="15.75" customHeight="1" x14ac:dyDescent="0.2">
      <c r="B505"/>
      <c r="C505" s="2"/>
      <c r="D505" s="2"/>
      <c r="E505" s="2"/>
      <c r="F505" s="29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2:35" ht="15.75" customHeight="1" x14ac:dyDescent="0.2">
      <c r="B506"/>
      <c r="C506" s="2"/>
      <c r="D506" s="2"/>
      <c r="E506" s="2"/>
      <c r="F506" s="29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2:35" ht="15.75" customHeight="1" x14ac:dyDescent="0.2">
      <c r="B507"/>
      <c r="C507" s="2"/>
      <c r="D507" s="2"/>
      <c r="E507" s="2"/>
      <c r="F507" s="29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2:35" ht="15.75" customHeight="1" x14ac:dyDescent="0.2">
      <c r="B508"/>
      <c r="C508" s="2"/>
      <c r="D508" s="2"/>
      <c r="E508" s="2"/>
      <c r="F508" s="29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2:35" ht="15.75" customHeight="1" x14ac:dyDescent="0.2">
      <c r="B509"/>
      <c r="C509" s="2"/>
      <c r="D509" s="2"/>
      <c r="E509" s="2"/>
      <c r="F509" s="29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2:35" ht="15.75" customHeight="1" x14ac:dyDescent="0.2">
      <c r="B510"/>
      <c r="C510" s="2"/>
      <c r="D510" s="2"/>
      <c r="E510" s="2"/>
      <c r="F510" s="29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2:35" ht="15.75" customHeight="1" x14ac:dyDescent="0.2">
      <c r="B511"/>
      <c r="C511" s="2"/>
      <c r="D511" s="2"/>
      <c r="E511" s="2"/>
      <c r="F511" s="29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2:35" ht="15.75" customHeight="1" x14ac:dyDescent="0.2">
      <c r="B512"/>
      <c r="C512" s="2"/>
      <c r="D512" s="2"/>
      <c r="E512" s="2"/>
      <c r="F512" s="29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2:35" ht="15.75" customHeight="1" x14ac:dyDescent="0.2">
      <c r="B513"/>
      <c r="C513" s="2"/>
      <c r="D513" s="2"/>
      <c r="E513" s="2"/>
      <c r="F513" s="29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2:35" ht="15.75" customHeight="1" x14ac:dyDescent="0.2">
      <c r="B514"/>
      <c r="C514" s="2"/>
      <c r="D514" s="2"/>
      <c r="E514" s="2"/>
      <c r="F514" s="29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2:35" ht="15.75" customHeight="1" x14ac:dyDescent="0.2">
      <c r="B515"/>
      <c r="C515" s="2"/>
      <c r="D515" s="2"/>
      <c r="E515" s="2"/>
      <c r="F515" s="29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2:35" ht="15.75" customHeight="1" x14ac:dyDescent="0.2">
      <c r="B516"/>
      <c r="C516" s="2"/>
      <c r="D516" s="2"/>
      <c r="E516" s="2"/>
      <c r="F516" s="29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2:35" ht="15.75" customHeight="1" x14ac:dyDescent="0.2">
      <c r="B517"/>
      <c r="C517" s="2"/>
      <c r="D517" s="2"/>
      <c r="E517" s="2"/>
      <c r="F517" s="29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2:35" ht="15.75" customHeight="1" x14ac:dyDescent="0.2">
      <c r="B518"/>
      <c r="C518" s="2"/>
      <c r="D518" s="2"/>
      <c r="E518" s="2"/>
      <c r="F518" s="29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2:35" ht="15.75" customHeight="1" x14ac:dyDescent="0.2">
      <c r="B519"/>
      <c r="C519" s="2"/>
      <c r="D519" s="2"/>
      <c r="E519" s="2"/>
      <c r="F519" s="29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2:35" ht="15.75" customHeight="1" x14ac:dyDescent="0.2">
      <c r="B520"/>
      <c r="C520" s="2"/>
      <c r="D520" s="2"/>
      <c r="E520" s="2"/>
      <c r="F520" s="29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2:35" ht="15.75" customHeight="1" x14ac:dyDescent="0.2">
      <c r="B521"/>
      <c r="C521" s="2"/>
      <c r="D521" s="2"/>
      <c r="E521" s="2"/>
      <c r="F521" s="29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2:35" ht="15.75" customHeight="1" x14ac:dyDescent="0.2">
      <c r="B522"/>
      <c r="C522" s="2"/>
      <c r="D522" s="2"/>
      <c r="E522" s="2"/>
      <c r="F522" s="29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2:35" ht="15.75" customHeight="1" x14ac:dyDescent="0.2">
      <c r="B523"/>
      <c r="C523" s="2"/>
      <c r="D523" s="2"/>
      <c r="E523" s="2"/>
      <c r="F523" s="29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2:35" ht="15.75" customHeight="1" x14ac:dyDescent="0.2">
      <c r="B524"/>
      <c r="C524" s="2"/>
      <c r="D524" s="2"/>
      <c r="E524" s="2"/>
      <c r="F524" s="29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2:35" ht="15.75" customHeight="1" x14ac:dyDescent="0.2">
      <c r="B525"/>
      <c r="C525" s="2"/>
      <c r="D525" s="2"/>
      <c r="E525" s="2"/>
      <c r="F525" s="29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2:35" ht="15.75" customHeight="1" x14ac:dyDescent="0.2">
      <c r="B526"/>
      <c r="C526" s="2"/>
      <c r="D526" s="2"/>
      <c r="E526" s="2"/>
      <c r="F526" s="29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2:35" ht="15.75" customHeight="1" x14ac:dyDescent="0.2">
      <c r="B527"/>
      <c r="C527" s="2"/>
      <c r="D527" s="2"/>
      <c r="E527" s="2"/>
      <c r="F527" s="29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2:35" ht="15.75" customHeight="1" x14ac:dyDescent="0.2">
      <c r="B528"/>
      <c r="C528" s="2"/>
      <c r="D528" s="2"/>
      <c r="E528" s="2"/>
      <c r="F528" s="29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2:35" ht="15.75" customHeight="1" x14ac:dyDescent="0.2">
      <c r="B529"/>
      <c r="C529" s="2"/>
      <c r="D529" s="2"/>
      <c r="E529" s="2"/>
      <c r="F529" s="29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2:35" ht="15.75" customHeight="1" x14ac:dyDescent="0.2">
      <c r="B530"/>
      <c r="C530" s="2"/>
      <c r="D530" s="2"/>
      <c r="E530" s="2"/>
      <c r="F530" s="29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2:35" ht="15.75" customHeight="1" x14ac:dyDescent="0.2">
      <c r="B531"/>
      <c r="C531" s="2"/>
      <c r="D531" s="2"/>
      <c r="E531" s="2"/>
      <c r="F531" s="29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2:35" ht="15.75" customHeight="1" x14ac:dyDescent="0.2">
      <c r="B532"/>
      <c r="C532" s="2"/>
      <c r="D532" s="2"/>
      <c r="E532" s="2"/>
      <c r="F532" s="29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2:35" ht="15.75" customHeight="1" x14ac:dyDescent="0.2">
      <c r="B533"/>
      <c r="C533" s="2"/>
      <c r="D533" s="2"/>
      <c r="E533" s="2"/>
      <c r="F533" s="29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2:35" ht="15.75" customHeight="1" x14ac:dyDescent="0.2">
      <c r="B534"/>
      <c r="C534" s="2"/>
      <c r="D534" s="2"/>
      <c r="E534" s="2"/>
      <c r="F534" s="29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2:35" ht="15.75" customHeight="1" x14ac:dyDescent="0.2">
      <c r="B535"/>
      <c r="C535" s="2"/>
      <c r="D535" s="2"/>
      <c r="E535" s="2"/>
      <c r="F535" s="29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2:35" ht="15.75" customHeight="1" x14ac:dyDescent="0.2">
      <c r="B536"/>
      <c r="C536" s="2"/>
      <c r="D536" s="2"/>
      <c r="E536" s="2"/>
      <c r="F536" s="29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2:35" ht="15.75" customHeight="1" x14ac:dyDescent="0.2">
      <c r="B537"/>
      <c r="C537" s="2"/>
      <c r="D537" s="2"/>
      <c r="E537" s="2"/>
      <c r="F537" s="29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2:35" ht="15.75" customHeight="1" x14ac:dyDescent="0.2">
      <c r="B538"/>
      <c r="C538" s="2"/>
      <c r="D538" s="2"/>
      <c r="E538" s="2"/>
      <c r="F538" s="29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2:35" ht="15.75" customHeight="1" x14ac:dyDescent="0.2">
      <c r="B539"/>
      <c r="C539" s="2"/>
      <c r="D539" s="2"/>
      <c r="E539" s="2"/>
      <c r="F539" s="29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2:35" ht="15.75" customHeight="1" x14ac:dyDescent="0.2">
      <c r="B540"/>
      <c r="C540" s="2"/>
      <c r="D540" s="2"/>
      <c r="E540" s="2"/>
      <c r="F540" s="29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2:35" ht="15.75" customHeight="1" x14ac:dyDescent="0.2">
      <c r="B541"/>
      <c r="C541" s="2"/>
      <c r="D541" s="2"/>
      <c r="E541" s="2"/>
      <c r="F541" s="29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2:35" ht="15.75" customHeight="1" x14ac:dyDescent="0.2">
      <c r="B542"/>
      <c r="C542" s="2"/>
      <c r="D542" s="2"/>
      <c r="E542" s="2"/>
      <c r="F542" s="29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2:35" ht="15.75" customHeight="1" x14ac:dyDescent="0.2">
      <c r="B543"/>
      <c r="C543" s="2"/>
      <c r="D543" s="2"/>
      <c r="E543" s="2"/>
      <c r="F543" s="29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2:35" ht="15.75" customHeight="1" x14ac:dyDescent="0.2">
      <c r="B544"/>
      <c r="C544" s="2"/>
      <c r="D544" s="2"/>
      <c r="E544" s="2"/>
      <c r="F544" s="29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2:35" ht="15.75" customHeight="1" x14ac:dyDescent="0.2">
      <c r="B545"/>
      <c r="C545" s="2"/>
      <c r="D545" s="2"/>
      <c r="E545" s="2"/>
      <c r="F545" s="29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2:35" ht="15.75" customHeight="1" x14ac:dyDescent="0.2">
      <c r="B546"/>
      <c r="C546" s="2"/>
      <c r="D546" s="2"/>
      <c r="E546" s="2"/>
      <c r="F546" s="29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2:35" ht="15.75" customHeight="1" x14ac:dyDescent="0.2">
      <c r="B547"/>
      <c r="C547" s="2"/>
      <c r="D547" s="2"/>
      <c r="E547" s="2"/>
      <c r="F547" s="29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2:35" ht="15.75" customHeight="1" x14ac:dyDescent="0.2">
      <c r="B548"/>
      <c r="C548" s="2"/>
      <c r="D548" s="2"/>
      <c r="E548" s="2"/>
      <c r="F548" s="29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2:35" ht="15.75" customHeight="1" x14ac:dyDescent="0.2">
      <c r="B549"/>
      <c r="C549" s="2"/>
      <c r="D549" s="2"/>
      <c r="E549" s="2"/>
      <c r="F549" s="29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2:35" ht="15.75" customHeight="1" x14ac:dyDescent="0.2">
      <c r="B550"/>
      <c r="C550" s="2"/>
      <c r="D550" s="2"/>
      <c r="E550" s="2"/>
      <c r="F550" s="29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2:35" ht="15.75" customHeight="1" x14ac:dyDescent="0.2">
      <c r="B551"/>
      <c r="C551" s="2"/>
      <c r="D551" s="2"/>
      <c r="E551" s="2"/>
      <c r="F551" s="29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2:35" ht="15.75" customHeight="1" x14ac:dyDescent="0.2">
      <c r="B552"/>
      <c r="C552" s="2"/>
      <c r="D552" s="2"/>
      <c r="E552" s="2"/>
      <c r="F552" s="29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2:35" ht="15.75" customHeight="1" x14ac:dyDescent="0.2">
      <c r="B553"/>
      <c r="C553" s="2"/>
      <c r="D553" s="2"/>
      <c r="E553" s="2"/>
      <c r="F553" s="29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2:35" ht="15.75" customHeight="1" x14ac:dyDescent="0.2">
      <c r="B554"/>
      <c r="C554" s="2"/>
      <c r="D554" s="2"/>
      <c r="E554" s="2"/>
      <c r="F554" s="29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2:35" ht="15.75" customHeight="1" x14ac:dyDescent="0.2">
      <c r="B555"/>
      <c r="C555" s="2"/>
      <c r="D555" s="2"/>
      <c r="E555" s="2"/>
      <c r="F555" s="29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2:35" ht="15.75" customHeight="1" x14ac:dyDescent="0.2">
      <c r="B556"/>
      <c r="C556" s="2"/>
      <c r="D556" s="2"/>
      <c r="E556" s="2"/>
      <c r="F556" s="29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2:35" ht="15.75" customHeight="1" x14ac:dyDescent="0.2">
      <c r="B557"/>
      <c r="C557" s="2"/>
      <c r="D557" s="2"/>
      <c r="E557" s="2"/>
      <c r="F557" s="29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2:35" ht="15.75" customHeight="1" x14ac:dyDescent="0.2">
      <c r="B558"/>
      <c r="C558" s="2"/>
      <c r="D558" s="2"/>
      <c r="E558" s="2"/>
      <c r="F558" s="29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2:35" ht="15.75" customHeight="1" x14ac:dyDescent="0.2">
      <c r="B559"/>
      <c r="C559" s="2"/>
      <c r="D559" s="2"/>
      <c r="E559" s="2"/>
      <c r="F559" s="29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2:35" ht="15.75" customHeight="1" x14ac:dyDescent="0.2">
      <c r="B560"/>
      <c r="C560" s="2"/>
      <c r="D560" s="2"/>
      <c r="E560" s="2"/>
      <c r="F560" s="29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2:35" ht="15.75" customHeight="1" x14ac:dyDescent="0.2">
      <c r="B561"/>
      <c r="C561" s="2"/>
      <c r="D561" s="2"/>
      <c r="E561" s="2"/>
      <c r="F561" s="29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2:35" ht="15.75" customHeight="1" x14ac:dyDescent="0.2">
      <c r="B562"/>
      <c r="C562" s="2"/>
      <c r="D562" s="2"/>
      <c r="E562" s="2"/>
      <c r="F562" s="29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2:35" ht="15.75" customHeight="1" x14ac:dyDescent="0.2">
      <c r="B563"/>
      <c r="C563" s="2"/>
      <c r="D563" s="2"/>
      <c r="E563" s="2"/>
      <c r="F563" s="29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2:35" ht="15.75" customHeight="1" x14ac:dyDescent="0.2">
      <c r="B564"/>
      <c r="C564" s="2"/>
      <c r="D564" s="2"/>
      <c r="E564" s="2"/>
      <c r="F564" s="29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2:35" ht="15.75" customHeight="1" x14ac:dyDescent="0.2">
      <c r="B565"/>
      <c r="C565" s="2"/>
      <c r="D565" s="2"/>
      <c r="E565" s="2"/>
      <c r="F565" s="29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2:35" ht="15.75" customHeight="1" x14ac:dyDescent="0.2">
      <c r="B566"/>
      <c r="C566" s="2"/>
      <c r="D566" s="2"/>
      <c r="E566" s="2"/>
      <c r="F566" s="29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2:35" ht="15.75" customHeight="1" x14ac:dyDescent="0.2">
      <c r="B567"/>
      <c r="C567" s="2"/>
      <c r="D567" s="2"/>
      <c r="E567" s="2"/>
      <c r="F567" s="29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2:35" ht="15.75" customHeight="1" x14ac:dyDescent="0.2">
      <c r="B568"/>
      <c r="C568" s="2"/>
      <c r="D568" s="2"/>
      <c r="E568" s="2"/>
      <c r="F568" s="29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2:35" ht="15.75" customHeight="1" x14ac:dyDescent="0.2">
      <c r="B569"/>
      <c r="C569" s="2"/>
      <c r="D569" s="2"/>
      <c r="E569" s="2"/>
      <c r="F569" s="29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2:35" ht="15.75" customHeight="1" x14ac:dyDescent="0.2">
      <c r="B570"/>
      <c r="C570" s="2"/>
      <c r="D570" s="2"/>
      <c r="E570" s="2"/>
      <c r="F570" s="29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2:35" ht="15.75" customHeight="1" x14ac:dyDescent="0.2">
      <c r="B571"/>
      <c r="C571" s="2"/>
      <c r="D571" s="2"/>
      <c r="E571" s="2"/>
      <c r="F571" s="29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2:35" ht="15.75" customHeight="1" x14ac:dyDescent="0.2">
      <c r="B572"/>
      <c r="C572" s="2"/>
      <c r="D572" s="2"/>
      <c r="E572" s="2"/>
      <c r="F572" s="29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2:35" ht="15.75" customHeight="1" x14ac:dyDescent="0.2">
      <c r="B573"/>
      <c r="C573" s="2"/>
      <c r="D573" s="2"/>
      <c r="E573" s="2"/>
      <c r="F573" s="29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2:35" ht="15.75" customHeight="1" x14ac:dyDescent="0.2">
      <c r="B574"/>
      <c r="C574" s="2"/>
      <c r="D574" s="2"/>
      <c r="E574" s="2"/>
      <c r="F574" s="29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2:35" ht="15.75" customHeight="1" x14ac:dyDescent="0.2">
      <c r="B575"/>
      <c r="C575" s="2"/>
      <c r="D575" s="2"/>
      <c r="E575" s="2"/>
      <c r="F575" s="29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2:35" ht="15.75" customHeight="1" x14ac:dyDescent="0.2">
      <c r="B576"/>
      <c r="C576" s="2"/>
      <c r="D576" s="2"/>
      <c r="E576" s="2"/>
      <c r="F576" s="29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2:35" ht="15.75" customHeight="1" x14ac:dyDescent="0.2">
      <c r="B577"/>
      <c r="C577" s="2"/>
      <c r="D577" s="2"/>
      <c r="E577" s="2"/>
      <c r="F577" s="29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2:35" ht="15.75" customHeight="1" x14ac:dyDescent="0.2">
      <c r="B578"/>
      <c r="C578" s="2"/>
      <c r="D578" s="2"/>
      <c r="E578" s="2"/>
      <c r="F578" s="29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2:35" ht="15.75" customHeight="1" x14ac:dyDescent="0.2">
      <c r="B579"/>
      <c r="C579" s="2"/>
      <c r="D579" s="2"/>
      <c r="E579" s="2"/>
      <c r="F579" s="29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2:35" ht="15.75" customHeight="1" x14ac:dyDescent="0.2">
      <c r="B580"/>
      <c r="C580" s="2"/>
      <c r="D580" s="2"/>
      <c r="E580" s="2"/>
      <c r="F580" s="29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2:35" ht="15.75" customHeight="1" x14ac:dyDescent="0.2">
      <c r="B581"/>
      <c r="C581" s="2"/>
      <c r="D581" s="2"/>
      <c r="E581" s="2"/>
      <c r="F581" s="29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2:35" ht="15.75" customHeight="1" x14ac:dyDescent="0.2">
      <c r="B582"/>
      <c r="C582" s="2"/>
      <c r="D582" s="2"/>
      <c r="E582" s="2"/>
      <c r="F582" s="29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2:35" ht="15.75" customHeight="1" x14ac:dyDescent="0.2">
      <c r="B583"/>
      <c r="C583" s="2"/>
      <c r="D583" s="2"/>
      <c r="E583" s="2"/>
      <c r="F583" s="29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2:35" ht="15.75" customHeight="1" x14ac:dyDescent="0.2">
      <c r="B584"/>
      <c r="C584" s="2"/>
      <c r="D584" s="2"/>
      <c r="E584" s="2"/>
      <c r="F584" s="29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2:35" ht="15.75" customHeight="1" x14ac:dyDescent="0.2">
      <c r="B585"/>
      <c r="C585" s="2"/>
      <c r="D585" s="2"/>
      <c r="E585" s="2"/>
      <c r="F585" s="29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2:35" ht="15.75" customHeight="1" x14ac:dyDescent="0.2">
      <c r="B586"/>
      <c r="C586" s="2"/>
      <c r="D586" s="2"/>
      <c r="E586" s="2"/>
      <c r="F586" s="29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2:35" ht="15.75" customHeight="1" x14ac:dyDescent="0.2">
      <c r="B587"/>
      <c r="C587" s="2"/>
      <c r="D587" s="2"/>
      <c r="E587" s="2"/>
      <c r="F587" s="29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2:35" ht="15.75" customHeight="1" x14ac:dyDescent="0.2">
      <c r="B588"/>
      <c r="C588" s="2"/>
      <c r="D588" s="2"/>
      <c r="E588" s="2"/>
      <c r="F588" s="29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2:35" ht="15.75" customHeight="1" x14ac:dyDescent="0.2">
      <c r="B589"/>
      <c r="C589" s="2"/>
      <c r="D589" s="2"/>
      <c r="E589" s="2"/>
      <c r="F589" s="29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2:35" ht="15.75" customHeight="1" x14ac:dyDescent="0.2">
      <c r="B590"/>
      <c r="C590" s="2"/>
      <c r="D590" s="2"/>
      <c r="E590" s="2"/>
      <c r="F590" s="29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2:35" ht="15.75" customHeight="1" x14ac:dyDescent="0.2">
      <c r="B591"/>
      <c r="C591" s="2"/>
      <c r="D591" s="2"/>
      <c r="E591" s="2"/>
      <c r="F591" s="29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2:35" ht="15.75" customHeight="1" x14ac:dyDescent="0.2">
      <c r="B592"/>
      <c r="C592" s="2"/>
      <c r="D592" s="2"/>
      <c r="E592" s="2"/>
      <c r="F592" s="29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2:35" ht="15.75" customHeight="1" x14ac:dyDescent="0.2">
      <c r="B593"/>
      <c r="C593" s="2"/>
      <c r="D593" s="2"/>
      <c r="E593" s="2"/>
      <c r="F593" s="29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2:35" ht="15.75" customHeight="1" x14ac:dyDescent="0.2">
      <c r="B594"/>
      <c r="C594" s="2"/>
      <c r="D594" s="2"/>
      <c r="E594" s="2"/>
      <c r="F594" s="29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2:35" ht="15.75" customHeight="1" x14ac:dyDescent="0.2">
      <c r="B595"/>
      <c r="C595" s="2"/>
      <c r="D595" s="2"/>
      <c r="E595" s="2"/>
      <c r="F595" s="29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2:35" ht="15.75" customHeight="1" x14ac:dyDescent="0.2">
      <c r="B596"/>
      <c r="C596" s="2"/>
      <c r="D596" s="2"/>
      <c r="E596" s="2"/>
      <c r="F596" s="29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2:35" ht="15.75" customHeight="1" x14ac:dyDescent="0.2">
      <c r="B597"/>
      <c r="C597" s="2"/>
      <c r="D597" s="2"/>
      <c r="E597" s="2"/>
      <c r="F597" s="29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2:35" ht="15.75" customHeight="1" x14ac:dyDescent="0.2">
      <c r="B598"/>
      <c r="C598" s="2"/>
      <c r="D598" s="2"/>
      <c r="E598" s="2"/>
      <c r="F598" s="29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2:35" ht="15.75" customHeight="1" x14ac:dyDescent="0.2">
      <c r="B599"/>
      <c r="C599" s="2"/>
      <c r="D599" s="2"/>
      <c r="E599" s="2"/>
      <c r="F599" s="29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2:35" ht="15.75" customHeight="1" x14ac:dyDescent="0.2">
      <c r="B600"/>
      <c r="C600" s="2"/>
      <c r="D600" s="2"/>
      <c r="E600" s="2"/>
      <c r="F600" s="29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2:35" ht="15.75" customHeight="1" x14ac:dyDescent="0.2">
      <c r="B601"/>
      <c r="C601" s="2"/>
      <c r="D601" s="2"/>
      <c r="E601" s="2"/>
      <c r="F601" s="29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2:35" ht="15.75" customHeight="1" x14ac:dyDescent="0.2">
      <c r="B602"/>
      <c r="C602" s="2"/>
      <c r="D602" s="2"/>
      <c r="E602" s="2"/>
      <c r="F602" s="29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2:35" ht="15.75" customHeight="1" x14ac:dyDescent="0.2">
      <c r="B603"/>
      <c r="C603" s="2"/>
      <c r="D603" s="2"/>
      <c r="E603" s="2"/>
      <c r="F603" s="29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2:35" ht="15.75" customHeight="1" x14ac:dyDescent="0.2">
      <c r="B604"/>
      <c r="C604" s="2"/>
      <c r="D604" s="2"/>
      <c r="E604" s="2"/>
      <c r="F604" s="29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2:35" ht="15.75" customHeight="1" x14ac:dyDescent="0.2">
      <c r="B605"/>
      <c r="C605" s="2"/>
      <c r="D605" s="2"/>
      <c r="E605" s="2"/>
      <c r="F605" s="29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2:35" ht="15.75" customHeight="1" x14ac:dyDescent="0.2">
      <c r="B606"/>
      <c r="C606" s="2"/>
      <c r="D606" s="2"/>
      <c r="E606" s="2"/>
      <c r="F606" s="29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2:35" ht="15.75" customHeight="1" x14ac:dyDescent="0.2">
      <c r="B607"/>
      <c r="C607" s="2"/>
      <c r="D607" s="2"/>
      <c r="E607" s="2"/>
      <c r="F607" s="29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2:35" ht="15.75" customHeight="1" x14ac:dyDescent="0.2">
      <c r="B608"/>
      <c r="C608" s="2"/>
      <c r="D608" s="2"/>
      <c r="E608" s="2"/>
      <c r="F608" s="29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2:35" ht="15.75" customHeight="1" x14ac:dyDescent="0.2">
      <c r="B609"/>
      <c r="C609" s="2"/>
      <c r="D609" s="2"/>
      <c r="E609" s="2"/>
      <c r="F609" s="29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2:35" ht="15.75" customHeight="1" x14ac:dyDescent="0.2">
      <c r="B610"/>
      <c r="C610" s="2"/>
      <c r="D610" s="2"/>
      <c r="E610" s="2"/>
      <c r="F610" s="29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2:35" ht="15.75" customHeight="1" x14ac:dyDescent="0.2">
      <c r="B611"/>
      <c r="C611" s="2"/>
      <c r="D611" s="2"/>
      <c r="E611" s="2"/>
      <c r="F611" s="29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2:35" ht="15.75" customHeight="1" x14ac:dyDescent="0.2">
      <c r="B612"/>
      <c r="C612" s="2"/>
      <c r="D612" s="2"/>
      <c r="E612" s="2"/>
      <c r="F612" s="29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2:35" ht="15.75" customHeight="1" x14ac:dyDescent="0.2">
      <c r="B613"/>
      <c r="C613" s="2"/>
      <c r="D613" s="2"/>
      <c r="E613" s="2"/>
      <c r="F613" s="29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2:35" ht="15.75" customHeight="1" x14ac:dyDescent="0.2">
      <c r="B614"/>
      <c r="C614" s="2"/>
      <c r="D614" s="2"/>
      <c r="E614" s="2"/>
      <c r="F614" s="29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2:35" ht="15.75" customHeight="1" x14ac:dyDescent="0.2">
      <c r="B615"/>
      <c r="C615" s="2"/>
      <c r="D615" s="2"/>
      <c r="E615" s="2"/>
      <c r="F615" s="29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2:35" ht="15.75" customHeight="1" x14ac:dyDescent="0.2">
      <c r="B616"/>
      <c r="C616" s="2"/>
      <c r="D616" s="2"/>
      <c r="E616" s="2"/>
      <c r="F616" s="29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2:35" ht="15.75" customHeight="1" x14ac:dyDescent="0.2">
      <c r="B617"/>
      <c r="C617" s="2"/>
      <c r="D617" s="2"/>
      <c r="E617" s="2"/>
      <c r="F617" s="29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2:35" ht="15.75" customHeight="1" x14ac:dyDescent="0.2">
      <c r="B618"/>
      <c r="C618" s="2"/>
      <c r="D618" s="2"/>
      <c r="E618" s="2"/>
      <c r="F618" s="29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2:35" ht="15.75" customHeight="1" x14ac:dyDescent="0.2">
      <c r="B619"/>
      <c r="C619" s="2"/>
      <c r="D619" s="2"/>
      <c r="E619" s="2"/>
      <c r="F619" s="29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2:35" ht="15.75" customHeight="1" x14ac:dyDescent="0.2">
      <c r="B620"/>
      <c r="C620" s="2"/>
      <c r="D620" s="2"/>
      <c r="E620" s="2"/>
      <c r="F620" s="29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2:35" ht="15.75" customHeight="1" x14ac:dyDescent="0.2">
      <c r="B621"/>
      <c r="C621" s="2"/>
      <c r="D621" s="2"/>
      <c r="E621" s="2"/>
      <c r="F621" s="29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2:35" ht="15.75" customHeight="1" x14ac:dyDescent="0.2">
      <c r="B622"/>
      <c r="C622" s="2"/>
      <c r="D622" s="2"/>
      <c r="E622" s="2"/>
      <c r="F622" s="29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2:35" ht="15.75" customHeight="1" x14ac:dyDescent="0.2">
      <c r="B623"/>
      <c r="C623" s="2"/>
      <c r="D623" s="2"/>
      <c r="E623" s="2"/>
      <c r="F623" s="29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2:35" ht="15.75" customHeight="1" x14ac:dyDescent="0.2">
      <c r="B624"/>
      <c r="C624" s="2"/>
      <c r="D624" s="2"/>
      <c r="E624" s="2"/>
      <c r="F624" s="29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2:35" ht="15.75" customHeight="1" x14ac:dyDescent="0.2">
      <c r="B625"/>
      <c r="C625" s="2"/>
      <c r="D625" s="2"/>
      <c r="E625" s="2"/>
      <c r="F625" s="29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2:35" ht="15.75" customHeight="1" x14ac:dyDescent="0.2">
      <c r="B626"/>
      <c r="C626" s="2"/>
      <c r="D626" s="2"/>
      <c r="E626" s="2"/>
      <c r="F626" s="29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2:35" ht="15.75" customHeight="1" x14ac:dyDescent="0.2">
      <c r="B627"/>
      <c r="C627" s="2"/>
      <c r="D627" s="2"/>
      <c r="E627" s="2"/>
      <c r="F627" s="29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2:35" ht="15.75" customHeight="1" x14ac:dyDescent="0.2">
      <c r="B628"/>
      <c r="C628" s="2"/>
      <c r="D628" s="2"/>
      <c r="E628" s="2"/>
      <c r="F628" s="29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2:35" ht="15.75" customHeight="1" x14ac:dyDescent="0.2">
      <c r="B629"/>
      <c r="C629" s="2"/>
      <c r="D629" s="2"/>
      <c r="E629" s="2"/>
      <c r="F629" s="29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2:35" ht="15.75" customHeight="1" x14ac:dyDescent="0.2">
      <c r="B630"/>
      <c r="C630" s="2"/>
      <c r="D630" s="2"/>
      <c r="E630" s="2"/>
      <c r="F630" s="29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2:35" ht="15.75" customHeight="1" x14ac:dyDescent="0.2">
      <c r="B631"/>
      <c r="C631" s="2"/>
      <c r="D631" s="2"/>
      <c r="E631" s="2"/>
      <c r="F631" s="29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2:35" ht="15.75" customHeight="1" x14ac:dyDescent="0.2">
      <c r="B632"/>
      <c r="C632" s="2"/>
      <c r="D632" s="2"/>
      <c r="E632" s="2"/>
      <c r="F632" s="29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2:35" ht="15.75" customHeight="1" x14ac:dyDescent="0.2">
      <c r="B633"/>
      <c r="C633" s="2"/>
      <c r="D633" s="2"/>
      <c r="E633" s="2"/>
      <c r="F633" s="29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2:35" ht="15.75" customHeight="1" x14ac:dyDescent="0.2">
      <c r="B634"/>
      <c r="C634" s="2"/>
      <c r="D634" s="2"/>
      <c r="E634" s="2"/>
      <c r="F634" s="29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2:35" ht="15.75" customHeight="1" x14ac:dyDescent="0.2">
      <c r="B635"/>
      <c r="C635" s="2"/>
      <c r="D635" s="2"/>
      <c r="E635" s="2"/>
      <c r="F635" s="29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2:35" ht="15.75" customHeight="1" x14ac:dyDescent="0.2">
      <c r="B636"/>
      <c r="C636" s="2"/>
      <c r="D636" s="2"/>
      <c r="E636" s="2"/>
      <c r="F636" s="29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2:35" ht="15.75" customHeight="1" x14ac:dyDescent="0.2">
      <c r="B637"/>
      <c r="C637" s="2"/>
      <c r="D637" s="2"/>
      <c r="E637" s="2"/>
      <c r="F637" s="29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2:35" ht="15.75" customHeight="1" x14ac:dyDescent="0.2">
      <c r="B638"/>
      <c r="C638" s="2"/>
      <c r="D638" s="2"/>
      <c r="E638" s="2"/>
      <c r="F638" s="29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2:35" ht="15.75" customHeight="1" x14ac:dyDescent="0.2">
      <c r="B639"/>
      <c r="C639" s="2"/>
      <c r="D639" s="2"/>
      <c r="E639" s="2"/>
      <c r="F639" s="29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2:35" ht="15.75" customHeight="1" x14ac:dyDescent="0.2">
      <c r="B640"/>
      <c r="C640" s="2"/>
      <c r="D640" s="2"/>
      <c r="E640" s="2"/>
      <c r="F640" s="29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2:35" ht="15.75" customHeight="1" x14ac:dyDescent="0.2">
      <c r="B641"/>
      <c r="C641" s="2"/>
      <c r="D641" s="2"/>
      <c r="E641" s="2"/>
      <c r="F641" s="29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2:35" ht="15.75" customHeight="1" x14ac:dyDescent="0.2">
      <c r="B642"/>
      <c r="C642" s="2"/>
      <c r="D642" s="2"/>
      <c r="E642" s="2"/>
      <c r="F642" s="29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2:35" ht="15.75" customHeight="1" x14ac:dyDescent="0.2">
      <c r="B643"/>
      <c r="C643" s="2"/>
      <c r="D643" s="2"/>
      <c r="E643" s="2"/>
      <c r="F643" s="29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2:35" ht="15.75" customHeight="1" x14ac:dyDescent="0.2">
      <c r="B644"/>
      <c r="C644" s="2"/>
      <c r="D644" s="2"/>
      <c r="E644" s="2"/>
      <c r="F644" s="29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2:35" ht="15.75" customHeight="1" x14ac:dyDescent="0.2">
      <c r="B645"/>
      <c r="C645" s="2"/>
      <c r="D645" s="2"/>
      <c r="E645" s="2"/>
      <c r="F645" s="29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2:35" ht="15.75" customHeight="1" x14ac:dyDescent="0.2">
      <c r="B646"/>
      <c r="C646" s="2"/>
      <c r="D646" s="2"/>
      <c r="E646" s="2"/>
      <c r="F646" s="29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2:35" ht="15.75" customHeight="1" x14ac:dyDescent="0.2">
      <c r="B647"/>
      <c r="C647" s="2"/>
      <c r="D647" s="2"/>
      <c r="E647" s="2"/>
      <c r="F647" s="29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2:35" ht="15.75" customHeight="1" x14ac:dyDescent="0.2">
      <c r="B648"/>
      <c r="C648" s="2"/>
      <c r="D648" s="2"/>
      <c r="E648" s="2"/>
      <c r="F648" s="29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2:35" ht="15.75" customHeight="1" x14ac:dyDescent="0.2">
      <c r="B649"/>
      <c r="C649" s="2"/>
      <c r="D649" s="2"/>
      <c r="E649" s="2"/>
      <c r="F649" s="29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2:35" ht="15.75" customHeight="1" x14ac:dyDescent="0.2">
      <c r="B650"/>
      <c r="C650" s="2"/>
      <c r="D650" s="2"/>
      <c r="E650" s="2"/>
      <c r="F650" s="29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2:35" ht="15.75" customHeight="1" x14ac:dyDescent="0.2">
      <c r="B651"/>
      <c r="C651" s="2"/>
      <c r="D651" s="2"/>
      <c r="E651" s="2"/>
      <c r="F651" s="29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2:35" ht="15.75" customHeight="1" x14ac:dyDescent="0.2">
      <c r="B652"/>
      <c r="C652" s="2"/>
      <c r="D652" s="2"/>
      <c r="E652" s="2"/>
      <c r="F652" s="29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2:35" ht="15.75" customHeight="1" x14ac:dyDescent="0.2">
      <c r="B653"/>
      <c r="C653" s="2"/>
      <c r="D653" s="2"/>
      <c r="E653" s="2"/>
      <c r="F653" s="29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2:35" ht="15.75" customHeight="1" x14ac:dyDescent="0.2">
      <c r="B654"/>
      <c r="C654" s="2"/>
      <c r="D654" s="2"/>
      <c r="E654" s="2"/>
      <c r="F654" s="29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2:35" ht="15.75" customHeight="1" x14ac:dyDescent="0.2">
      <c r="B655"/>
      <c r="C655" s="2"/>
      <c r="D655" s="2"/>
      <c r="E655" s="2"/>
      <c r="F655" s="29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2:35" ht="15.75" customHeight="1" x14ac:dyDescent="0.2">
      <c r="B656"/>
      <c r="C656" s="2"/>
      <c r="D656" s="2"/>
      <c r="E656" s="2"/>
      <c r="F656" s="29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2:35" ht="15.75" customHeight="1" x14ac:dyDescent="0.2">
      <c r="B657"/>
      <c r="C657" s="2"/>
      <c r="D657" s="2"/>
      <c r="E657" s="2"/>
      <c r="F657" s="29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2:35" ht="15.75" customHeight="1" x14ac:dyDescent="0.2">
      <c r="B658"/>
      <c r="C658" s="2"/>
      <c r="D658" s="2"/>
      <c r="E658" s="2"/>
      <c r="F658" s="29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2:35" ht="15.75" customHeight="1" x14ac:dyDescent="0.2">
      <c r="B659"/>
      <c r="C659" s="2"/>
      <c r="D659" s="2"/>
      <c r="E659" s="2"/>
      <c r="F659" s="29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2:35" ht="15.75" customHeight="1" x14ac:dyDescent="0.2">
      <c r="B660"/>
      <c r="C660" s="2"/>
      <c r="D660" s="2"/>
      <c r="E660" s="2"/>
      <c r="F660" s="29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2:35" ht="15.75" customHeight="1" x14ac:dyDescent="0.2">
      <c r="B661"/>
      <c r="C661" s="2"/>
      <c r="D661" s="2"/>
      <c r="E661" s="2"/>
      <c r="F661" s="29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2:35" ht="15.75" customHeight="1" x14ac:dyDescent="0.2">
      <c r="B662"/>
      <c r="C662" s="2"/>
      <c r="D662" s="2"/>
      <c r="E662" s="2"/>
      <c r="F662" s="29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2:35" ht="15.75" customHeight="1" x14ac:dyDescent="0.2">
      <c r="B663"/>
      <c r="C663" s="2"/>
      <c r="D663" s="2"/>
      <c r="E663" s="2"/>
      <c r="F663" s="29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2:35" ht="15.75" customHeight="1" x14ac:dyDescent="0.2">
      <c r="B664"/>
      <c r="C664" s="2"/>
      <c r="D664" s="2"/>
      <c r="E664" s="2"/>
      <c r="F664" s="29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2:35" ht="15.75" customHeight="1" x14ac:dyDescent="0.2">
      <c r="B665"/>
      <c r="C665" s="2"/>
      <c r="D665" s="2"/>
      <c r="E665" s="2"/>
      <c r="F665" s="29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2:35" ht="15.75" customHeight="1" x14ac:dyDescent="0.2">
      <c r="B666"/>
      <c r="C666" s="2"/>
      <c r="D666" s="2"/>
      <c r="E666" s="2"/>
      <c r="F666" s="29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2:35" ht="15.75" customHeight="1" x14ac:dyDescent="0.2">
      <c r="B667"/>
      <c r="C667" s="2"/>
      <c r="D667" s="2"/>
      <c r="E667" s="2"/>
      <c r="F667" s="29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2:35" ht="15.75" customHeight="1" x14ac:dyDescent="0.2">
      <c r="B668"/>
      <c r="C668" s="2"/>
      <c r="D668" s="2"/>
      <c r="E668" s="2"/>
      <c r="F668" s="29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2:35" ht="15.75" customHeight="1" x14ac:dyDescent="0.2">
      <c r="B669"/>
      <c r="C669" s="2"/>
      <c r="D669" s="2"/>
      <c r="E669" s="2"/>
      <c r="F669" s="29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2:35" ht="15.75" customHeight="1" x14ac:dyDescent="0.2">
      <c r="B670"/>
      <c r="C670" s="2"/>
      <c r="D670" s="2"/>
      <c r="E670" s="2"/>
      <c r="F670" s="29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2:35" ht="15.75" customHeight="1" x14ac:dyDescent="0.2">
      <c r="B671"/>
      <c r="C671" s="2"/>
      <c r="D671" s="2"/>
      <c r="E671" s="2"/>
      <c r="F671" s="29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2:35" ht="15.75" customHeight="1" x14ac:dyDescent="0.2">
      <c r="B672"/>
      <c r="C672" s="2"/>
      <c r="D672" s="2"/>
      <c r="E672" s="2"/>
      <c r="F672" s="29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2:35" ht="15.75" customHeight="1" x14ac:dyDescent="0.2">
      <c r="B673"/>
      <c r="C673" s="2"/>
      <c r="D673" s="2"/>
      <c r="E673" s="2"/>
      <c r="F673" s="29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2:35" ht="15.75" customHeight="1" x14ac:dyDescent="0.2">
      <c r="B674"/>
      <c r="C674" s="2"/>
      <c r="D674" s="2"/>
      <c r="E674" s="2"/>
      <c r="F674" s="29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2:35" ht="15.75" customHeight="1" x14ac:dyDescent="0.2">
      <c r="B675"/>
      <c r="C675" s="2"/>
      <c r="D675" s="2"/>
      <c r="E675" s="2"/>
      <c r="F675" s="29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2:35" ht="15.75" customHeight="1" x14ac:dyDescent="0.2">
      <c r="B676"/>
      <c r="C676" s="2"/>
      <c r="D676" s="2"/>
      <c r="E676" s="2"/>
      <c r="F676" s="29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2:35" ht="15.75" customHeight="1" x14ac:dyDescent="0.2">
      <c r="B677"/>
      <c r="C677" s="2"/>
      <c r="D677" s="2"/>
      <c r="E677" s="2"/>
      <c r="F677" s="29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2:35" ht="15.75" customHeight="1" x14ac:dyDescent="0.2">
      <c r="B678"/>
      <c r="C678" s="2"/>
      <c r="D678" s="2"/>
      <c r="E678" s="2"/>
      <c r="F678" s="29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2:35" ht="15.75" customHeight="1" x14ac:dyDescent="0.2">
      <c r="B679"/>
      <c r="C679" s="2"/>
      <c r="D679" s="2"/>
      <c r="E679" s="2"/>
      <c r="F679" s="29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2:35" ht="15.75" customHeight="1" x14ac:dyDescent="0.2">
      <c r="B680"/>
      <c r="C680" s="2"/>
      <c r="D680" s="2"/>
      <c r="E680" s="2"/>
      <c r="F680" s="29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2:35" ht="15.75" customHeight="1" x14ac:dyDescent="0.2">
      <c r="B681"/>
      <c r="C681" s="2"/>
      <c r="D681" s="2"/>
      <c r="E681" s="2"/>
      <c r="F681" s="29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2:35" ht="15.75" customHeight="1" x14ac:dyDescent="0.2">
      <c r="B682"/>
      <c r="C682" s="2"/>
      <c r="D682" s="2"/>
      <c r="E682" s="2"/>
      <c r="F682" s="29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2:35" ht="15.75" customHeight="1" x14ac:dyDescent="0.2">
      <c r="B683"/>
      <c r="C683" s="2"/>
      <c r="D683" s="2"/>
      <c r="E683" s="2"/>
      <c r="F683" s="29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2:35" ht="15.75" customHeight="1" x14ac:dyDescent="0.2">
      <c r="B684"/>
      <c r="C684" s="2"/>
      <c r="D684" s="2"/>
      <c r="E684" s="2"/>
      <c r="F684" s="29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2:35" ht="15.75" customHeight="1" x14ac:dyDescent="0.2">
      <c r="B685"/>
      <c r="C685" s="2"/>
      <c r="D685" s="2"/>
      <c r="E685" s="2"/>
      <c r="F685" s="29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2:35" ht="15.75" customHeight="1" x14ac:dyDescent="0.2">
      <c r="B686"/>
      <c r="C686" s="2"/>
      <c r="D686" s="2"/>
      <c r="E686" s="2"/>
      <c r="F686" s="29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2:35" ht="15.75" customHeight="1" x14ac:dyDescent="0.2">
      <c r="B687"/>
      <c r="C687" s="2"/>
      <c r="D687" s="2"/>
      <c r="E687" s="2"/>
      <c r="F687" s="29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2:35" ht="15.75" customHeight="1" x14ac:dyDescent="0.2">
      <c r="B688"/>
      <c r="C688" s="2"/>
      <c r="D688" s="2"/>
      <c r="E688" s="2"/>
      <c r="F688" s="29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2:35" ht="15.75" customHeight="1" x14ac:dyDescent="0.2">
      <c r="B689"/>
      <c r="C689" s="2"/>
      <c r="D689" s="2"/>
      <c r="E689" s="2"/>
      <c r="F689" s="29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2:35" ht="15.75" customHeight="1" x14ac:dyDescent="0.2">
      <c r="B690"/>
      <c r="C690" s="2"/>
      <c r="D690" s="2"/>
      <c r="E690" s="2"/>
      <c r="F690" s="29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2:35" ht="15.75" customHeight="1" x14ac:dyDescent="0.2">
      <c r="B691"/>
      <c r="C691" s="2"/>
      <c r="D691" s="2"/>
      <c r="E691" s="2"/>
      <c r="F691" s="29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2:35" ht="15.75" customHeight="1" x14ac:dyDescent="0.2">
      <c r="B692"/>
      <c r="C692" s="2"/>
      <c r="D692" s="2"/>
      <c r="E692" s="2"/>
      <c r="F692" s="29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2:35" ht="15.75" customHeight="1" x14ac:dyDescent="0.2">
      <c r="B693"/>
      <c r="C693" s="2"/>
      <c r="D693" s="2"/>
      <c r="E693" s="2"/>
      <c r="F693" s="29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2:35" ht="15.75" customHeight="1" x14ac:dyDescent="0.2">
      <c r="B694"/>
      <c r="C694" s="2"/>
      <c r="D694" s="2"/>
      <c r="E694" s="2"/>
      <c r="F694" s="29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2:35" ht="15.75" customHeight="1" x14ac:dyDescent="0.2">
      <c r="B695"/>
      <c r="C695" s="2"/>
      <c r="D695" s="2"/>
      <c r="E695" s="2"/>
      <c r="F695" s="29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2:35" ht="15.75" customHeight="1" x14ac:dyDescent="0.2">
      <c r="B696"/>
      <c r="C696" s="2"/>
      <c r="D696" s="2"/>
      <c r="E696" s="2"/>
      <c r="F696" s="29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2:35" ht="15.75" customHeight="1" x14ac:dyDescent="0.2">
      <c r="B697"/>
      <c r="C697" s="2"/>
      <c r="D697" s="2"/>
      <c r="E697" s="2"/>
      <c r="F697" s="29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2:35" ht="15.75" customHeight="1" x14ac:dyDescent="0.2">
      <c r="B698"/>
      <c r="C698" s="2"/>
      <c r="D698" s="2"/>
      <c r="E698" s="2"/>
      <c r="F698" s="29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2:35" ht="15.75" customHeight="1" x14ac:dyDescent="0.2">
      <c r="B699"/>
      <c r="C699" s="2"/>
      <c r="D699" s="2"/>
      <c r="E699" s="2"/>
      <c r="F699" s="29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2:35" ht="15.75" customHeight="1" x14ac:dyDescent="0.2">
      <c r="B700"/>
      <c r="C700" s="2"/>
      <c r="D700" s="2"/>
      <c r="E700" s="2"/>
      <c r="F700" s="29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2:35" ht="15.75" customHeight="1" x14ac:dyDescent="0.2">
      <c r="B701"/>
      <c r="C701" s="2"/>
      <c r="D701" s="2"/>
      <c r="E701" s="2"/>
      <c r="F701" s="29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2:35" ht="15.75" customHeight="1" x14ac:dyDescent="0.2">
      <c r="B702"/>
      <c r="C702" s="2"/>
      <c r="D702" s="2"/>
      <c r="E702" s="2"/>
      <c r="F702" s="29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2:35" ht="15.75" customHeight="1" x14ac:dyDescent="0.2">
      <c r="B703"/>
      <c r="C703" s="2"/>
      <c r="D703" s="2"/>
      <c r="E703" s="2"/>
      <c r="F703" s="29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2:35" ht="15.75" customHeight="1" x14ac:dyDescent="0.2">
      <c r="B704"/>
      <c r="C704" s="2"/>
      <c r="D704" s="2"/>
      <c r="E704" s="2"/>
      <c r="F704" s="29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2:35" ht="15.75" customHeight="1" x14ac:dyDescent="0.2">
      <c r="B705"/>
      <c r="C705" s="2"/>
      <c r="D705" s="2"/>
      <c r="E705" s="2"/>
      <c r="F705" s="29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2:35" ht="15.75" customHeight="1" x14ac:dyDescent="0.2">
      <c r="B706"/>
      <c r="C706" s="2"/>
      <c r="D706" s="2"/>
      <c r="E706" s="2"/>
      <c r="F706" s="29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2:35" ht="15.75" customHeight="1" x14ac:dyDescent="0.2">
      <c r="B707"/>
      <c r="C707" s="2"/>
      <c r="D707" s="2"/>
      <c r="E707" s="2"/>
      <c r="F707" s="29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2:35" ht="15.75" customHeight="1" x14ac:dyDescent="0.2">
      <c r="B708"/>
      <c r="C708" s="2"/>
      <c r="D708" s="2"/>
      <c r="E708" s="2"/>
      <c r="F708" s="29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2:35" ht="15.75" customHeight="1" x14ac:dyDescent="0.2">
      <c r="B709"/>
      <c r="C709" s="2"/>
      <c r="D709" s="2"/>
      <c r="E709" s="2"/>
      <c r="F709" s="29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2:35" ht="15.75" customHeight="1" x14ac:dyDescent="0.2">
      <c r="B710"/>
      <c r="C710" s="2"/>
      <c r="D710" s="2"/>
      <c r="E710" s="2"/>
      <c r="F710" s="29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2:35" ht="15.75" customHeight="1" x14ac:dyDescent="0.2">
      <c r="B711"/>
      <c r="C711" s="2"/>
      <c r="D711" s="2"/>
      <c r="E711" s="2"/>
      <c r="F711" s="29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2:35" ht="15.75" customHeight="1" x14ac:dyDescent="0.2">
      <c r="B712"/>
      <c r="C712" s="2"/>
      <c r="D712" s="2"/>
      <c r="E712" s="2"/>
      <c r="F712" s="29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2:35" ht="15.75" customHeight="1" x14ac:dyDescent="0.2">
      <c r="B713"/>
      <c r="C713" s="2"/>
      <c r="D713" s="2"/>
      <c r="E713" s="2"/>
      <c r="F713" s="29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2:35" ht="15.75" customHeight="1" x14ac:dyDescent="0.2">
      <c r="B714"/>
      <c r="C714" s="2"/>
      <c r="D714" s="2"/>
      <c r="E714" s="2"/>
      <c r="F714" s="29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2:35" ht="15.75" customHeight="1" x14ac:dyDescent="0.2">
      <c r="B715"/>
      <c r="C715" s="2"/>
      <c r="D715" s="2"/>
      <c r="E715" s="2"/>
      <c r="F715" s="29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2:35" ht="15.75" customHeight="1" x14ac:dyDescent="0.2">
      <c r="B716"/>
      <c r="C716" s="2"/>
      <c r="D716" s="2"/>
      <c r="E716" s="2"/>
      <c r="F716" s="29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2:35" ht="15.75" customHeight="1" x14ac:dyDescent="0.2">
      <c r="B717"/>
      <c r="C717" s="2"/>
      <c r="D717" s="2"/>
      <c r="E717" s="2"/>
      <c r="F717" s="29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2:35" ht="15.75" customHeight="1" x14ac:dyDescent="0.2">
      <c r="B718"/>
      <c r="C718" s="2"/>
      <c r="D718" s="2"/>
      <c r="E718" s="2"/>
      <c r="F718" s="29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2:35" ht="15.75" customHeight="1" x14ac:dyDescent="0.2">
      <c r="B719"/>
      <c r="C719" s="2"/>
      <c r="D719" s="2"/>
      <c r="E719" s="2"/>
      <c r="F719" s="29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2:35" ht="15.75" customHeight="1" x14ac:dyDescent="0.2">
      <c r="B720"/>
      <c r="C720" s="2"/>
      <c r="D720" s="2"/>
      <c r="E720" s="2"/>
      <c r="F720" s="29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2:35" ht="15.75" customHeight="1" x14ac:dyDescent="0.2">
      <c r="B721"/>
      <c r="C721" s="2"/>
      <c r="D721" s="2"/>
      <c r="E721" s="2"/>
      <c r="F721" s="29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2:35" ht="15.75" customHeight="1" x14ac:dyDescent="0.2">
      <c r="B722"/>
      <c r="C722" s="2"/>
      <c r="D722" s="2"/>
      <c r="E722" s="2"/>
      <c r="F722" s="29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2:35" ht="15.75" customHeight="1" x14ac:dyDescent="0.2">
      <c r="B723"/>
      <c r="C723" s="2"/>
      <c r="D723" s="2"/>
      <c r="E723" s="2"/>
      <c r="F723" s="29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2:35" ht="15.75" customHeight="1" x14ac:dyDescent="0.2">
      <c r="B724"/>
      <c r="C724" s="2"/>
      <c r="D724" s="2"/>
      <c r="E724" s="2"/>
      <c r="F724" s="29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2:35" ht="15.75" customHeight="1" x14ac:dyDescent="0.2">
      <c r="B725"/>
      <c r="C725" s="2"/>
      <c r="D725" s="2"/>
      <c r="E725" s="2"/>
      <c r="F725" s="29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2:35" ht="15.75" customHeight="1" x14ac:dyDescent="0.2">
      <c r="B726"/>
      <c r="C726" s="2"/>
      <c r="D726" s="2"/>
      <c r="E726" s="2"/>
      <c r="F726" s="29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2:35" ht="15.75" customHeight="1" x14ac:dyDescent="0.2">
      <c r="B727"/>
      <c r="C727" s="2"/>
      <c r="D727" s="2"/>
      <c r="E727" s="2"/>
      <c r="F727" s="29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2:35" ht="15.75" customHeight="1" x14ac:dyDescent="0.2">
      <c r="B728"/>
      <c r="C728" s="2"/>
      <c r="D728" s="2"/>
      <c r="E728" s="2"/>
      <c r="F728" s="29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2:35" ht="15.75" customHeight="1" x14ac:dyDescent="0.2">
      <c r="B729"/>
      <c r="C729" s="2"/>
      <c r="D729" s="2"/>
      <c r="E729" s="2"/>
      <c r="F729" s="29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2:35" ht="15.75" customHeight="1" x14ac:dyDescent="0.2">
      <c r="B730"/>
      <c r="C730" s="2"/>
      <c r="D730" s="2"/>
      <c r="E730" s="2"/>
      <c r="F730" s="29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2:35" ht="15.75" customHeight="1" x14ac:dyDescent="0.2">
      <c r="B731"/>
      <c r="C731" s="2"/>
      <c r="D731" s="2"/>
      <c r="E731" s="2"/>
      <c r="F731" s="29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2:35" ht="15.75" customHeight="1" x14ac:dyDescent="0.2">
      <c r="B732"/>
      <c r="C732" s="2"/>
      <c r="D732" s="2"/>
      <c r="E732" s="2"/>
      <c r="F732" s="29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2:35" ht="15.75" customHeight="1" x14ac:dyDescent="0.2">
      <c r="B733"/>
      <c r="C733" s="2"/>
      <c r="D733" s="2"/>
      <c r="E733" s="2"/>
      <c r="F733" s="29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2:35" ht="15.75" customHeight="1" x14ac:dyDescent="0.2">
      <c r="B734"/>
      <c r="C734" s="2"/>
      <c r="D734" s="2"/>
      <c r="E734" s="2"/>
      <c r="F734" s="29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2:35" ht="15.75" customHeight="1" x14ac:dyDescent="0.2">
      <c r="B735"/>
      <c r="C735" s="2"/>
      <c r="D735" s="2"/>
      <c r="E735" s="2"/>
      <c r="F735" s="29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2:35" ht="15.75" customHeight="1" x14ac:dyDescent="0.2">
      <c r="B736"/>
      <c r="C736" s="2"/>
      <c r="D736" s="2"/>
      <c r="E736" s="2"/>
      <c r="F736" s="29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2:35" ht="15.75" customHeight="1" x14ac:dyDescent="0.2">
      <c r="B737"/>
      <c r="C737" s="2"/>
      <c r="D737" s="2"/>
      <c r="E737" s="2"/>
      <c r="F737" s="29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2:35" ht="15.75" customHeight="1" x14ac:dyDescent="0.2">
      <c r="B738"/>
      <c r="C738" s="2"/>
      <c r="D738" s="2"/>
      <c r="E738" s="2"/>
      <c r="F738" s="29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2:35" ht="15.75" customHeight="1" x14ac:dyDescent="0.2">
      <c r="B739"/>
      <c r="C739" s="2"/>
      <c r="D739" s="2"/>
      <c r="E739" s="2"/>
      <c r="F739" s="29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2:35" ht="15.75" customHeight="1" x14ac:dyDescent="0.2">
      <c r="B740"/>
    </row>
    <row r="741" spans="2:35" ht="15.75" customHeight="1" x14ac:dyDescent="0.2">
      <c r="B741"/>
    </row>
    <row r="742" spans="2:35" ht="15.75" customHeight="1" x14ac:dyDescent="0.2">
      <c r="B742"/>
    </row>
    <row r="743" spans="2:35" ht="15.75" customHeight="1" x14ac:dyDescent="0.2">
      <c r="B743"/>
    </row>
    <row r="744" spans="2:35" ht="15.75" customHeight="1" x14ac:dyDescent="0.2">
      <c r="B744"/>
    </row>
    <row r="745" spans="2:35" ht="15.75" customHeight="1" x14ac:dyDescent="0.2">
      <c r="B745"/>
    </row>
    <row r="746" spans="2:35" ht="15.75" customHeight="1" x14ac:dyDescent="0.2">
      <c r="B746"/>
    </row>
    <row r="747" spans="2:35" ht="15.75" customHeight="1" x14ac:dyDescent="0.2">
      <c r="B747"/>
    </row>
    <row r="748" spans="2:35" ht="15.75" customHeight="1" x14ac:dyDescent="0.2">
      <c r="B748"/>
    </row>
    <row r="749" spans="2:35" ht="15.75" customHeight="1" x14ac:dyDescent="0.2">
      <c r="B749"/>
    </row>
    <row r="750" spans="2:35" s="2" customFormat="1" ht="15.75" customHeight="1" x14ac:dyDescent="0.2">
      <c r="C750"/>
      <c r="D750"/>
      <c r="E750"/>
      <c r="F750" s="37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</row>
    <row r="751" spans="2:35" s="2" customFormat="1" ht="15.75" customHeight="1" x14ac:dyDescent="0.2">
      <c r="C751"/>
      <c r="D751"/>
      <c r="E751"/>
      <c r="F751" s="37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</row>
    <row r="752" spans="2:35" s="2" customFormat="1" ht="15.75" customHeight="1" x14ac:dyDescent="0.2">
      <c r="C752"/>
      <c r="D752"/>
      <c r="E752"/>
      <c r="F752" s="37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</row>
    <row r="753" spans="3:35" s="2" customFormat="1" ht="15.75" customHeight="1" x14ac:dyDescent="0.2">
      <c r="C753"/>
      <c r="D753"/>
      <c r="E753"/>
      <c r="F753" s="37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</row>
    <row r="754" spans="3:35" s="2" customFormat="1" ht="15.75" customHeight="1" x14ac:dyDescent="0.2">
      <c r="C754"/>
      <c r="D754"/>
      <c r="E754"/>
      <c r="F754" s="37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</row>
    <row r="755" spans="3:35" s="2" customFormat="1" ht="15.75" customHeight="1" x14ac:dyDescent="0.2">
      <c r="C755"/>
      <c r="D755"/>
      <c r="E755"/>
      <c r="F755" s="37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</row>
    <row r="756" spans="3:35" s="2" customFormat="1" ht="15.75" customHeight="1" x14ac:dyDescent="0.2">
      <c r="C756"/>
      <c r="D756"/>
      <c r="E756"/>
      <c r="F756" s="37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</row>
    <row r="757" spans="3:35" s="2" customFormat="1" ht="15.75" customHeight="1" x14ac:dyDescent="0.2">
      <c r="C757"/>
      <c r="D757"/>
      <c r="E757"/>
      <c r="F757" s="3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</row>
    <row r="758" spans="3:35" s="2" customFormat="1" ht="15.75" customHeight="1" x14ac:dyDescent="0.2">
      <c r="C758"/>
      <c r="D758"/>
      <c r="E758"/>
      <c r="F758" s="37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</row>
    <row r="759" spans="3:35" s="2" customFormat="1" ht="15.75" customHeight="1" x14ac:dyDescent="0.2">
      <c r="C759"/>
      <c r="D759"/>
      <c r="E759"/>
      <c r="F759" s="37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</row>
    <row r="760" spans="3:35" s="2" customFormat="1" ht="15.75" customHeight="1" x14ac:dyDescent="0.2">
      <c r="C760"/>
      <c r="D760"/>
      <c r="E760"/>
      <c r="F760" s="37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</row>
    <row r="761" spans="3:35" s="2" customFormat="1" ht="15.75" customHeight="1" x14ac:dyDescent="0.2">
      <c r="C761"/>
      <c r="D761"/>
      <c r="E761"/>
      <c r="F761" s="37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</row>
    <row r="762" spans="3:35" s="2" customFormat="1" ht="15.75" customHeight="1" x14ac:dyDescent="0.2">
      <c r="C762"/>
      <c r="D762"/>
      <c r="E762"/>
      <c r="F762" s="37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</row>
    <row r="763" spans="3:35" s="2" customFormat="1" ht="15.75" customHeight="1" x14ac:dyDescent="0.2">
      <c r="C763"/>
      <c r="D763"/>
      <c r="E763"/>
      <c r="F763" s="37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</row>
    <row r="764" spans="3:35" s="2" customFormat="1" ht="15.75" customHeight="1" x14ac:dyDescent="0.2">
      <c r="C764"/>
      <c r="D764"/>
      <c r="E764"/>
      <c r="F764" s="37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</row>
    <row r="765" spans="3:35" s="2" customFormat="1" ht="15.75" customHeight="1" x14ac:dyDescent="0.2">
      <c r="C765"/>
      <c r="D765"/>
      <c r="E765"/>
      <c r="F765" s="37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</row>
    <row r="766" spans="3:35" s="2" customFormat="1" ht="15.75" customHeight="1" x14ac:dyDescent="0.2">
      <c r="C766"/>
      <c r="D766"/>
      <c r="E766"/>
      <c r="F766" s="37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</row>
    <row r="767" spans="3:35" s="2" customFormat="1" ht="15.75" customHeight="1" x14ac:dyDescent="0.2">
      <c r="C767"/>
      <c r="D767"/>
      <c r="E767"/>
      <c r="F767" s="3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</row>
    <row r="768" spans="3:35" s="2" customFormat="1" ht="15.75" customHeight="1" x14ac:dyDescent="0.2">
      <c r="C768"/>
      <c r="D768"/>
      <c r="E768"/>
      <c r="F768" s="37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</row>
    <row r="769" spans="3:35" s="2" customFormat="1" ht="15.75" customHeight="1" x14ac:dyDescent="0.2">
      <c r="C769"/>
      <c r="D769"/>
      <c r="E769"/>
      <c r="F769" s="37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</row>
    <row r="770" spans="3:35" s="2" customFormat="1" ht="15.75" customHeight="1" x14ac:dyDescent="0.2">
      <c r="C770"/>
      <c r="D770"/>
      <c r="E770"/>
      <c r="F770" s="37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</row>
    <row r="771" spans="3:35" s="2" customFormat="1" ht="15.75" customHeight="1" x14ac:dyDescent="0.2">
      <c r="C771"/>
      <c r="D771"/>
      <c r="E771"/>
      <c r="F771" s="37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</row>
    <row r="772" spans="3:35" s="2" customFormat="1" ht="15.75" customHeight="1" x14ac:dyDescent="0.2">
      <c r="C772"/>
      <c r="D772"/>
      <c r="E772"/>
      <c r="F772" s="37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</row>
    <row r="773" spans="3:35" s="2" customFormat="1" ht="15.75" customHeight="1" x14ac:dyDescent="0.2">
      <c r="C773"/>
      <c r="D773"/>
      <c r="E773"/>
      <c r="F773" s="37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</row>
    <row r="774" spans="3:35" s="2" customFormat="1" ht="15.75" customHeight="1" x14ac:dyDescent="0.2">
      <c r="C774"/>
      <c r="D774"/>
      <c r="E774"/>
      <c r="F774" s="37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</row>
    <row r="775" spans="3:35" s="2" customFormat="1" ht="15.75" customHeight="1" x14ac:dyDescent="0.2">
      <c r="C775"/>
      <c r="D775"/>
      <c r="E775"/>
      <c r="F775" s="37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</row>
    <row r="776" spans="3:35" s="2" customFormat="1" ht="15.75" customHeight="1" x14ac:dyDescent="0.2">
      <c r="C776"/>
      <c r="D776"/>
      <c r="E776"/>
      <c r="F776" s="37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</row>
    <row r="777" spans="3:35" s="2" customFormat="1" ht="15.75" customHeight="1" x14ac:dyDescent="0.2">
      <c r="C777"/>
      <c r="D777"/>
      <c r="E777"/>
      <c r="F777" s="3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</row>
    <row r="778" spans="3:35" s="2" customFormat="1" ht="15.75" customHeight="1" x14ac:dyDescent="0.2">
      <c r="C778"/>
      <c r="D778"/>
      <c r="E778"/>
      <c r="F778" s="37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</row>
    <row r="779" spans="3:35" s="2" customFormat="1" ht="15.75" customHeight="1" x14ac:dyDescent="0.2">
      <c r="C779"/>
      <c r="D779"/>
      <c r="E779"/>
      <c r="F779" s="37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</row>
    <row r="780" spans="3:35" s="2" customFormat="1" ht="15.75" customHeight="1" x14ac:dyDescent="0.2">
      <c r="C780"/>
      <c r="D780"/>
      <c r="E780"/>
      <c r="F780" s="37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</row>
    <row r="781" spans="3:35" s="2" customFormat="1" ht="15.75" customHeight="1" x14ac:dyDescent="0.2">
      <c r="C781"/>
      <c r="D781"/>
      <c r="E781"/>
      <c r="F781" s="37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</row>
    <row r="782" spans="3:35" s="2" customFormat="1" ht="15.75" customHeight="1" x14ac:dyDescent="0.2">
      <c r="C782"/>
      <c r="D782"/>
      <c r="E782"/>
      <c r="F782" s="37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</row>
    <row r="783" spans="3:35" s="2" customFormat="1" ht="15.75" customHeight="1" x14ac:dyDescent="0.2">
      <c r="C783"/>
      <c r="D783"/>
      <c r="E783"/>
      <c r="F783" s="37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</row>
    <row r="784" spans="3:35" s="2" customFormat="1" ht="15.75" customHeight="1" x14ac:dyDescent="0.2">
      <c r="C784"/>
      <c r="D784"/>
      <c r="E784"/>
      <c r="F784" s="37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</row>
    <row r="785" spans="3:35" s="2" customFormat="1" ht="15.75" customHeight="1" x14ac:dyDescent="0.2">
      <c r="C785"/>
      <c r="D785"/>
      <c r="E785"/>
      <c r="F785" s="37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</row>
    <row r="786" spans="3:35" s="2" customFormat="1" ht="15.75" customHeight="1" x14ac:dyDescent="0.2">
      <c r="C786"/>
      <c r="D786"/>
      <c r="E786"/>
      <c r="F786" s="37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</row>
    <row r="787" spans="3:35" s="2" customFormat="1" ht="15.75" customHeight="1" x14ac:dyDescent="0.2">
      <c r="C787"/>
      <c r="D787"/>
      <c r="E787"/>
      <c r="F787" s="3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</row>
    <row r="788" spans="3:35" s="2" customFormat="1" ht="15.75" customHeight="1" x14ac:dyDescent="0.2">
      <c r="C788"/>
      <c r="D788"/>
      <c r="E788"/>
      <c r="F788" s="37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</row>
    <row r="789" spans="3:35" s="2" customFormat="1" ht="15.75" customHeight="1" x14ac:dyDescent="0.2">
      <c r="C789"/>
      <c r="D789"/>
      <c r="E789"/>
      <c r="F789" s="37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</row>
    <row r="790" spans="3:35" s="2" customFormat="1" ht="15.75" customHeight="1" x14ac:dyDescent="0.2">
      <c r="C790"/>
      <c r="D790"/>
      <c r="E790"/>
      <c r="F790" s="37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</row>
    <row r="791" spans="3:35" s="2" customFormat="1" ht="15.75" customHeight="1" x14ac:dyDescent="0.2">
      <c r="C791"/>
      <c r="D791"/>
      <c r="E791"/>
      <c r="F791" s="37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</row>
    <row r="792" spans="3:35" s="2" customFormat="1" ht="15.75" customHeight="1" x14ac:dyDescent="0.2">
      <c r="C792"/>
      <c r="D792"/>
      <c r="E792"/>
      <c r="F792" s="37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</row>
    <row r="793" spans="3:35" s="2" customFormat="1" ht="15.75" customHeight="1" x14ac:dyDescent="0.2">
      <c r="C793"/>
      <c r="D793"/>
      <c r="E793"/>
      <c r="F793" s="37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</row>
    <row r="794" spans="3:35" s="2" customFormat="1" ht="15.75" customHeight="1" x14ac:dyDescent="0.2">
      <c r="C794"/>
      <c r="D794"/>
      <c r="E794"/>
      <c r="F794" s="37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</row>
    <row r="795" spans="3:35" s="2" customFormat="1" ht="15.75" customHeight="1" x14ac:dyDescent="0.2">
      <c r="C795"/>
      <c r="D795"/>
      <c r="E795"/>
      <c r="F795" s="37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</row>
    <row r="796" spans="3:35" s="2" customFormat="1" ht="15.75" customHeight="1" x14ac:dyDescent="0.2">
      <c r="C796"/>
      <c r="D796"/>
      <c r="E796"/>
      <c r="F796" s="37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</row>
    <row r="797" spans="3:35" s="2" customFormat="1" ht="15.75" customHeight="1" x14ac:dyDescent="0.2">
      <c r="C797"/>
      <c r="D797"/>
      <c r="E797"/>
      <c r="F797" s="3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</row>
    <row r="798" spans="3:35" s="2" customFormat="1" ht="15.75" customHeight="1" x14ac:dyDescent="0.2">
      <c r="C798"/>
      <c r="D798"/>
      <c r="E798"/>
      <c r="F798" s="37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</row>
    <row r="799" spans="3:35" s="2" customFormat="1" ht="15.75" customHeight="1" x14ac:dyDescent="0.2">
      <c r="C799"/>
      <c r="D799"/>
      <c r="E799"/>
      <c r="F799" s="37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</row>
    <row r="800" spans="3:35" s="2" customFormat="1" ht="15.75" customHeight="1" x14ac:dyDescent="0.2">
      <c r="C800"/>
      <c r="D800"/>
      <c r="E800"/>
      <c r="F800" s="37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</row>
    <row r="801" spans="3:35" s="2" customFormat="1" ht="15.75" customHeight="1" x14ac:dyDescent="0.2">
      <c r="C801"/>
      <c r="D801"/>
      <c r="E801"/>
      <c r="F801" s="37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</row>
    <row r="802" spans="3:35" s="2" customFormat="1" ht="15.75" customHeight="1" x14ac:dyDescent="0.2">
      <c r="C802"/>
      <c r="D802"/>
      <c r="E802"/>
      <c r="F802" s="37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</row>
    <row r="803" spans="3:35" s="2" customFormat="1" ht="15.75" customHeight="1" x14ac:dyDescent="0.2">
      <c r="C803"/>
      <c r="D803"/>
      <c r="E803"/>
      <c r="F803" s="37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</row>
    <row r="804" spans="3:35" s="2" customFormat="1" ht="15.75" customHeight="1" x14ac:dyDescent="0.2">
      <c r="C804"/>
      <c r="D804"/>
      <c r="E804"/>
      <c r="F804" s="37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</row>
    <row r="805" spans="3:35" s="2" customFormat="1" ht="15.75" customHeight="1" x14ac:dyDescent="0.2">
      <c r="C805"/>
      <c r="D805"/>
      <c r="E805"/>
      <c r="F805" s="37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</row>
    <row r="806" spans="3:35" s="2" customFormat="1" ht="15.75" customHeight="1" x14ac:dyDescent="0.2">
      <c r="C806"/>
      <c r="D806"/>
      <c r="E806"/>
      <c r="F806" s="37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</row>
    <row r="807" spans="3:35" s="2" customFormat="1" ht="15.75" customHeight="1" x14ac:dyDescent="0.2">
      <c r="C807"/>
      <c r="D807"/>
      <c r="E807"/>
      <c r="F807" s="3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</row>
    <row r="808" spans="3:35" s="2" customFormat="1" ht="15.75" customHeight="1" x14ac:dyDescent="0.2">
      <c r="C808"/>
      <c r="D808"/>
      <c r="E808"/>
      <c r="F808" s="37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</row>
    <row r="809" spans="3:35" s="2" customFormat="1" ht="15.75" customHeight="1" x14ac:dyDescent="0.2">
      <c r="C809"/>
      <c r="D809"/>
      <c r="E809"/>
      <c r="F809" s="37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</row>
    <row r="810" spans="3:35" s="2" customFormat="1" ht="15.75" customHeight="1" x14ac:dyDescent="0.2">
      <c r="C810"/>
      <c r="D810"/>
      <c r="E810"/>
      <c r="F810" s="37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</row>
    <row r="811" spans="3:35" s="2" customFormat="1" ht="15.75" customHeight="1" x14ac:dyDescent="0.2">
      <c r="C811"/>
      <c r="D811"/>
      <c r="E811"/>
      <c r="F811" s="37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</row>
    <row r="812" spans="3:35" s="2" customFormat="1" ht="15.75" customHeight="1" x14ac:dyDescent="0.2">
      <c r="C812"/>
      <c r="D812"/>
      <c r="E812"/>
      <c r="F812" s="37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</row>
    <row r="813" spans="3:35" s="2" customFormat="1" ht="15.75" customHeight="1" x14ac:dyDescent="0.2">
      <c r="C813"/>
      <c r="D813"/>
      <c r="E813"/>
      <c r="F813" s="37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</row>
    <row r="814" spans="3:35" s="2" customFormat="1" ht="15.75" customHeight="1" x14ac:dyDescent="0.2">
      <c r="C814"/>
      <c r="D814"/>
      <c r="E814"/>
      <c r="F814" s="37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</row>
    <row r="815" spans="3:35" s="2" customFormat="1" ht="15.75" customHeight="1" x14ac:dyDescent="0.2">
      <c r="C815"/>
      <c r="D815"/>
      <c r="E815"/>
      <c r="F815" s="37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</row>
    <row r="816" spans="3:35" s="2" customFormat="1" ht="15.75" customHeight="1" x14ac:dyDescent="0.2">
      <c r="C816"/>
      <c r="D816"/>
      <c r="E816"/>
      <c r="F816" s="37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</row>
    <row r="817" spans="3:35" s="2" customFormat="1" ht="15.75" customHeight="1" x14ac:dyDescent="0.2">
      <c r="C817"/>
      <c r="D817"/>
      <c r="E817"/>
      <c r="F817" s="3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</row>
    <row r="818" spans="3:35" s="2" customFormat="1" ht="15.75" customHeight="1" x14ac:dyDescent="0.2">
      <c r="C818"/>
      <c r="D818"/>
      <c r="E818"/>
      <c r="F818" s="37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</row>
    <row r="819" spans="3:35" s="2" customFormat="1" ht="15.75" customHeight="1" x14ac:dyDescent="0.2">
      <c r="C819"/>
      <c r="D819"/>
      <c r="E819"/>
      <c r="F819" s="37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</row>
    <row r="820" spans="3:35" s="2" customFormat="1" ht="15.75" customHeight="1" x14ac:dyDescent="0.2">
      <c r="C820"/>
      <c r="D820"/>
      <c r="E820"/>
      <c r="F820" s="37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</row>
    <row r="821" spans="3:35" s="2" customFormat="1" ht="15.75" customHeight="1" x14ac:dyDescent="0.2">
      <c r="C821"/>
      <c r="D821"/>
      <c r="E821"/>
      <c r="F821" s="37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</row>
    <row r="822" spans="3:35" s="2" customFormat="1" ht="15.75" customHeight="1" x14ac:dyDescent="0.2">
      <c r="C822"/>
      <c r="D822"/>
      <c r="E822"/>
      <c r="F822" s="37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</row>
    <row r="823" spans="3:35" s="2" customFormat="1" ht="15.75" customHeight="1" x14ac:dyDescent="0.2">
      <c r="C823"/>
      <c r="D823"/>
      <c r="E823"/>
      <c r="F823" s="37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</row>
    <row r="824" spans="3:35" s="2" customFormat="1" ht="15.75" customHeight="1" x14ac:dyDescent="0.2">
      <c r="C824"/>
      <c r="D824"/>
      <c r="E824"/>
      <c r="F824" s="37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</row>
    <row r="825" spans="3:35" s="2" customFormat="1" ht="15.75" customHeight="1" x14ac:dyDescent="0.2">
      <c r="C825"/>
      <c r="D825"/>
      <c r="E825"/>
      <c r="F825" s="37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</row>
    <row r="826" spans="3:35" s="2" customFormat="1" ht="15.75" customHeight="1" x14ac:dyDescent="0.2">
      <c r="C826"/>
      <c r="D826"/>
      <c r="E826"/>
      <c r="F826" s="37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</row>
    <row r="827" spans="3:35" s="2" customFormat="1" ht="15.75" customHeight="1" x14ac:dyDescent="0.2">
      <c r="C827"/>
      <c r="D827"/>
      <c r="E827"/>
      <c r="F827" s="3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</row>
    <row r="828" spans="3:35" s="2" customFormat="1" ht="15.75" customHeight="1" x14ac:dyDescent="0.2">
      <c r="C828"/>
      <c r="D828"/>
      <c r="E828"/>
      <c r="F828" s="37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</row>
    <row r="829" spans="3:35" s="2" customFormat="1" ht="15.75" customHeight="1" x14ac:dyDescent="0.2">
      <c r="C829"/>
      <c r="D829"/>
      <c r="E829"/>
      <c r="F829" s="37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</row>
    <row r="830" spans="3:35" s="2" customFormat="1" ht="15.75" customHeight="1" x14ac:dyDescent="0.2">
      <c r="C830"/>
      <c r="D830"/>
      <c r="E830"/>
      <c r="F830" s="37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</row>
    <row r="831" spans="3:35" s="2" customFormat="1" ht="15.75" customHeight="1" x14ac:dyDescent="0.2">
      <c r="C831"/>
      <c r="D831"/>
      <c r="E831"/>
      <c r="F831" s="37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</row>
    <row r="832" spans="3:35" s="2" customFormat="1" ht="15.75" customHeight="1" x14ac:dyDescent="0.2">
      <c r="C832"/>
      <c r="D832"/>
      <c r="E832"/>
      <c r="F832" s="37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</row>
    <row r="833" spans="3:35" s="2" customFormat="1" ht="15.75" customHeight="1" x14ac:dyDescent="0.2">
      <c r="C833"/>
      <c r="D833"/>
      <c r="E833"/>
      <c r="F833" s="37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</row>
    <row r="834" spans="3:35" s="2" customFormat="1" ht="15.75" customHeight="1" x14ac:dyDescent="0.2">
      <c r="C834"/>
      <c r="D834"/>
      <c r="E834"/>
      <c r="F834" s="37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</row>
    <row r="835" spans="3:35" s="2" customFormat="1" ht="15.75" customHeight="1" x14ac:dyDescent="0.2">
      <c r="C835"/>
      <c r="D835"/>
      <c r="E835"/>
      <c r="F835" s="37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</row>
    <row r="836" spans="3:35" s="2" customFormat="1" ht="15.75" customHeight="1" x14ac:dyDescent="0.2">
      <c r="C836"/>
      <c r="D836"/>
      <c r="E836"/>
      <c r="F836" s="37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</row>
    <row r="837" spans="3:35" s="2" customFormat="1" ht="15.75" customHeight="1" x14ac:dyDescent="0.2">
      <c r="C837"/>
      <c r="D837"/>
      <c r="E837"/>
      <c r="F837" s="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</row>
    <row r="838" spans="3:35" s="2" customFormat="1" ht="15.75" customHeight="1" x14ac:dyDescent="0.2">
      <c r="C838"/>
      <c r="D838"/>
      <c r="E838"/>
      <c r="F838" s="37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</row>
    <row r="839" spans="3:35" s="2" customFormat="1" ht="15.75" customHeight="1" x14ac:dyDescent="0.2">
      <c r="C839"/>
      <c r="D839"/>
      <c r="E839"/>
      <c r="F839" s="37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</row>
    <row r="840" spans="3:35" s="2" customFormat="1" ht="15.75" customHeight="1" x14ac:dyDescent="0.2">
      <c r="C840"/>
      <c r="D840"/>
      <c r="E840"/>
      <c r="F840" s="37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</row>
    <row r="841" spans="3:35" s="2" customFormat="1" ht="15.75" customHeight="1" x14ac:dyDescent="0.2">
      <c r="C841"/>
      <c r="D841"/>
      <c r="E841"/>
      <c r="F841" s="37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</row>
    <row r="842" spans="3:35" s="2" customFormat="1" ht="15.75" customHeight="1" x14ac:dyDescent="0.2">
      <c r="C842"/>
      <c r="D842"/>
      <c r="E842"/>
      <c r="F842" s="37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</row>
    <row r="843" spans="3:35" s="2" customFormat="1" ht="15.75" customHeight="1" x14ac:dyDescent="0.2">
      <c r="C843"/>
      <c r="D843"/>
      <c r="E843"/>
      <c r="F843" s="37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</row>
  </sheetData>
  <mergeCells count="5">
    <mergeCell ref="C2:F2"/>
    <mergeCell ref="C3:F3"/>
    <mergeCell ref="B5:B6"/>
    <mergeCell ref="C5:C6"/>
    <mergeCell ref="D5:F5"/>
  </mergeCells>
  <phoneticPr fontId="12" type="noConversion"/>
  <printOptions horizontalCentered="1"/>
  <pageMargins left="0.70866141732283472" right="0.70866141732283472" top="0.35433070866141736" bottom="0.55118110236220474" header="0.31496062992125984" footer="0.31496062992125984"/>
  <pageSetup paperSize="9" scale="85" orientation="landscape" r:id="rId1"/>
  <rowBreaks count="2" manualBreakCount="2">
    <brk id="72" max="5" man="1"/>
    <brk id="18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5"/>
  <sheetViews>
    <sheetView workbookViewId="0">
      <selection activeCell="G21" sqref="G21"/>
    </sheetView>
  </sheetViews>
  <sheetFormatPr defaultRowHeight="12.75" x14ac:dyDescent="0.2"/>
  <cols>
    <col min="5" max="6" width="11.140625" bestFit="1" customWidth="1"/>
    <col min="7" max="7" width="14.5703125" customWidth="1"/>
  </cols>
  <sheetData>
    <row r="1" spans="1:9" x14ac:dyDescent="0.2">
      <c r="A1" t="s">
        <v>1024</v>
      </c>
    </row>
    <row r="8" spans="1:9" x14ac:dyDescent="0.2">
      <c r="C8" t="s">
        <v>1029</v>
      </c>
    </row>
    <row r="10" spans="1:9" x14ac:dyDescent="0.2">
      <c r="E10" s="501" t="s">
        <v>411</v>
      </c>
      <c r="F10" s="501" t="s">
        <v>1028</v>
      </c>
      <c r="G10" s="501" t="s">
        <v>869</v>
      </c>
    </row>
    <row r="11" spans="1:9" x14ac:dyDescent="0.2">
      <c r="C11" t="s">
        <v>1027</v>
      </c>
      <c r="E11" s="76">
        <v>576798100</v>
      </c>
      <c r="F11" s="76">
        <f>(E11*0.27)</f>
        <v>155735487</v>
      </c>
      <c r="G11" s="575">
        <f>SUM(E11:F11)</f>
        <v>732533587</v>
      </c>
      <c r="H11" s="76"/>
      <c r="I11" s="76"/>
    </row>
    <row r="12" spans="1:9" x14ac:dyDescent="0.2">
      <c r="C12" t="s">
        <v>1025</v>
      </c>
      <c r="E12" s="76">
        <v>158700000</v>
      </c>
      <c r="F12" s="76">
        <f>(E12*0.27)</f>
        <v>42849000</v>
      </c>
      <c r="G12" s="575">
        <f>SUM(E12:F12)</f>
        <v>201549000</v>
      </c>
      <c r="H12" s="76"/>
      <c r="I12" s="76"/>
    </row>
    <row r="13" spans="1:9" x14ac:dyDescent="0.2">
      <c r="C13" t="s">
        <v>1026</v>
      </c>
      <c r="E13" s="575">
        <f>SUM(E11-E12)</f>
        <v>418098100</v>
      </c>
      <c r="F13" s="575">
        <f>SUM(F11-F12)</f>
        <v>112886487</v>
      </c>
      <c r="G13" s="76">
        <f>SUM(G11-G12)</f>
        <v>530984587</v>
      </c>
      <c r="H13" s="76"/>
      <c r="I13" s="76"/>
    </row>
    <row r="14" spans="1:9" x14ac:dyDescent="0.2">
      <c r="E14" s="76"/>
      <c r="F14" s="37">
        <f>SUM(E13*0.27)</f>
        <v>112886487</v>
      </c>
      <c r="G14" s="76"/>
      <c r="H14" s="76"/>
      <c r="I14" s="76"/>
    </row>
    <row r="15" spans="1:9" x14ac:dyDescent="0.2">
      <c r="E15" s="76"/>
      <c r="F15" s="76"/>
      <c r="G15" s="76"/>
      <c r="H15" s="76"/>
      <c r="I15" s="76"/>
    </row>
    <row r="16" spans="1:9" x14ac:dyDescent="0.2">
      <c r="C16" t="s">
        <v>1030</v>
      </c>
      <c r="E16" s="76">
        <v>120703587</v>
      </c>
      <c r="F16" s="76"/>
      <c r="G16" s="76"/>
      <c r="H16" s="76"/>
      <c r="I16" s="76"/>
    </row>
    <row r="17" spans="5:9" x14ac:dyDescent="0.2">
      <c r="E17" s="76"/>
      <c r="F17" s="76"/>
      <c r="G17" s="76"/>
      <c r="H17" s="76"/>
      <c r="I17" s="76"/>
    </row>
    <row r="18" spans="5:9" x14ac:dyDescent="0.2">
      <c r="E18" s="76"/>
      <c r="F18" s="76"/>
      <c r="G18" s="76"/>
      <c r="H18" s="76"/>
      <c r="I18" s="76"/>
    </row>
    <row r="19" spans="5:9" x14ac:dyDescent="0.2">
      <c r="E19" s="76"/>
      <c r="F19" s="76"/>
      <c r="G19" s="76"/>
      <c r="H19" s="76"/>
      <c r="I19" s="76"/>
    </row>
    <row r="20" spans="5:9" x14ac:dyDescent="0.2">
      <c r="E20" s="76"/>
      <c r="F20" s="76"/>
      <c r="G20" s="76"/>
      <c r="H20" s="76"/>
      <c r="I20" s="76"/>
    </row>
    <row r="21" spans="5:9" x14ac:dyDescent="0.2">
      <c r="E21" s="76"/>
      <c r="F21" s="76"/>
      <c r="G21" s="76"/>
      <c r="H21" s="76"/>
      <c r="I21" s="76"/>
    </row>
    <row r="22" spans="5:9" x14ac:dyDescent="0.2">
      <c r="E22" s="76"/>
      <c r="F22" s="76"/>
      <c r="G22" s="76"/>
      <c r="H22" s="76"/>
      <c r="I22" s="76"/>
    </row>
    <row r="23" spans="5:9" x14ac:dyDescent="0.2">
      <c r="E23" s="76"/>
      <c r="F23" s="76"/>
      <c r="G23" s="76"/>
      <c r="H23" s="76"/>
      <c r="I23" s="76"/>
    </row>
    <row r="24" spans="5:9" x14ac:dyDescent="0.2">
      <c r="E24" s="76"/>
      <c r="F24" s="76"/>
      <c r="G24" s="76"/>
      <c r="H24" s="76"/>
      <c r="I24" s="76"/>
    </row>
    <row r="25" spans="5:9" x14ac:dyDescent="0.2">
      <c r="E25" s="76"/>
      <c r="F25" s="76"/>
      <c r="G25" s="76"/>
      <c r="H25" s="76"/>
      <c r="I25" s="7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238"/>
  <sheetViews>
    <sheetView zoomScale="80" zoomScaleNormal="80" zoomScaleSheetLayoutView="90" workbookViewId="0">
      <selection activeCell="P91" sqref="P91"/>
    </sheetView>
  </sheetViews>
  <sheetFormatPr defaultRowHeight="12.75" x14ac:dyDescent="0.2"/>
  <cols>
    <col min="1" max="1" width="6.140625" customWidth="1"/>
    <col min="2" max="2" width="57.7109375" customWidth="1"/>
    <col min="3" max="3" width="10.85546875" customWidth="1"/>
    <col min="4" max="4" width="10.85546875" hidden="1" customWidth="1"/>
    <col min="5" max="6" width="10.85546875" customWidth="1"/>
    <col min="7" max="7" width="10.85546875" hidden="1" customWidth="1"/>
    <col min="8" max="8" width="10.85546875" customWidth="1"/>
    <col min="9" max="9" width="10.85546875" hidden="1" customWidth="1"/>
    <col min="10" max="11" width="10.85546875" customWidth="1"/>
    <col min="12" max="12" width="10.85546875" hidden="1" customWidth="1"/>
    <col min="13" max="13" width="10.85546875" customWidth="1"/>
    <col min="14" max="14" width="10.85546875" hidden="1" customWidth="1"/>
    <col min="15" max="16" width="10.85546875" customWidth="1"/>
    <col min="17" max="17" width="10.85546875" hidden="1" customWidth="1"/>
    <col min="18" max="18" width="10.85546875" customWidth="1"/>
    <col min="19" max="19" width="10.85546875" hidden="1" customWidth="1"/>
    <col min="20" max="20" width="10.85546875" customWidth="1"/>
    <col min="21" max="21" width="9.42578125" customWidth="1"/>
    <col min="22" max="22" width="9.7109375" hidden="1" customWidth="1"/>
    <col min="23" max="23" width="6" style="9" bestFit="1" customWidth="1"/>
    <col min="24" max="24" width="11" style="9" hidden="1" customWidth="1"/>
    <col min="25" max="25" width="6.85546875" style="9" customWidth="1"/>
    <col min="26" max="26" width="7.5703125" style="9" customWidth="1"/>
    <col min="27" max="27" width="4.85546875" style="9" customWidth="1"/>
    <col min="28" max="29" width="9.140625" style="9" customWidth="1"/>
  </cols>
  <sheetData>
    <row r="1" spans="1:28" x14ac:dyDescent="0.2">
      <c r="A1" s="54"/>
      <c r="B1" s="1"/>
      <c r="C1" s="85"/>
      <c r="D1" s="85"/>
      <c r="E1" s="85"/>
      <c r="F1" s="85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U1" s="179" t="s">
        <v>953</v>
      </c>
    </row>
    <row r="2" spans="1:28" x14ac:dyDescent="0.2">
      <c r="A2" s="54"/>
      <c r="B2" s="1"/>
      <c r="C2" s="85"/>
      <c r="D2" s="85"/>
      <c r="E2" s="85"/>
      <c r="F2" s="85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U2" s="183" t="str">
        <f>'1.Bev-kiad.'!F2</f>
        <v>a 11/2023.(V.26.) önkormányzati rendelethez</v>
      </c>
    </row>
    <row r="3" spans="1:28" x14ac:dyDescent="0.2">
      <c r="A3" s="54"/>
      <c r="B3" s="1"/>
      <c r="C3" s="85"/>
      <c r="D3" s="85"/>
      <c r="E3" s="85"/>
      <c r="F3" s="85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U3" s="183" t="s">
        <v>1303</v>
      </c>
    </row>
    <row r="4" spans="1:28" ht="15.75" x14ac:dyDescent="0.25">
      <c r="A4" s="838" t="s">
        <v>93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</row>
    <row r="5" spans="1:28" ht="15.75" x14ac:dyDescent="0.25">
      <c r="A5" s="838" t="s">
        <v>1149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</row>
    <row r="6" spans="1:28" ht="15.75" x14ac:dyDescent="0.25">
      <c r="A6" s="838" t="s">
        <v>417</v>
      </c>
      <c r="B6" s="787"/>
      <c r="C6" s="787"/>
      <c r="D6" s="787"/>
      <c r="E6" s="787"/>
      <c r="F6" s="787"/>
      <c r="G6" s="787"/>
      <c r="H6" s="787"/>
      <c r="I6" s="787"/>
      <c r="J6" s="787"/>
      <c r="K6" s="787"/>
      <c r="L6" s="787"/>
      <c r="M6" s="787"/>
      <c r="N6" s="787"/>
      <c r="O6" s="787"/>
      <c r="P6" s="787"/>
      <c r="Q6" s="787"/>
      <c r="R6" s="787"/>
      <c r="S6" s="787"/>
      <c r="T6" s="787"/>
      <c r="U6" s="787"/>
      <c r="V6" s="787"/>
    </row>
    <row r="7" spans="1:28" ht="13.5" thickBo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S7" s="85"/>
      <c r="U7" s="85" t="s">
        <v>0</v>
      </c>
    </row>
    <row r="8" spans="1:28" ht="77.25" customHeight="1" thickBot="1" x14ac:dyDescent="0.25">
      <c r="A8" s="839" t="s">
        <v>120</v>
      </c>
      <c r="B8" s="839" t="s">
        <v>29</v>
      </c>
      <c r="C8" s="841" t="s">
        <v>952</v>
      </c>
      <c r="D8" s="842"/>
      <c r="E8" s="842"/>
      <c r="F8" s="842"/>
      <c r="G8" s="843"/>
      <c r="H8" s="841" t="s">
        <v>328</v>
      </c>
      <c r="I8" s="842"/>
      <c r="J8" s="842"/>
      <c r="K8" s="842"/>
      <c r="L8" s="843"/>
      <c r="M8" s="841" t="s">
        <v>1105</v>
      </c>
      <c r="N8" s="842"/>
      <c r="O8" s="842"/>
      <c r="P8" s="842"/>
      <c r="Q8" s="843"/>
      <c r="R8" s="841" t="s">
        <v>47</v>
      </c>
      <c r="S8" s="842"/>
      <c r="T8" s="842"/>
      <c r="U8" s="842"/>
      <c r="V8" s="843"/>
      <c r="X8" s="37"/>
      <c r="Y8" s="37"/>
      <c r="Z8" s="574"/>
    </row>
    <row r="9" spans="1:28" ht="39.75" customHeight="1" thickBot="1" x14ac:dyDescent="0.25">
      <c r="A9" s="840"/>
      <c r="B9" s="840"/>
      <c r="C9" s="293" t="s">
        <v>904</v>
      </c>
      <c r="D9" s="293" t="s">
        <v>1227</v>
      </c>
      <c r="E9" s="293" t="s">
        <v>1327</v>
      </c>
      <c r="F9" s="293" t="s">
        <v>1402</v>
      </c>
      <c r="G9" s="293" t="s">
        <v>1400</v>
      </c>
      <c r="H9" s="293" t="str">
        <f t="shared" ref="H9:Q9" si="0">C9</f>
        <v>2022. évi eredeti előirányzat</v>
      </c>
      <c r="I9" s="293" t="str">
        <f>D9</f>
        <v>mód.ei.          2022.06.hó</v>
      </c>
      <c r="J9" s="293" t="s">
        <v>1327</v>
      </c>
      <c r="K9" s="293" t="str">
        <f t="shared" si="0"/>
        <v>mód.előir.
2022.12.31</v>
      </c>
      <c r="L9" s="293" t="str">
        <f t="shared" si="0"/>
        <v>teljesítés 2022.12.31</v>
      </c>
      <c r="M9" s="293" t="str">
        <f t="shared" si="0"/>
        <v>2022. évi eredeti előirányzat</v>
      </c>
      <c r="N9" s="293" t="str">
        <f>D9</f>
        <v>mód.ei.          2022.06.hó</v>
      </c>
      <c r="O9" s="293" t="s">
        <v>1327</v>
      </c>
      <c r="P9" s="293" t="str">
        <f t="shared" si="0"/>
        <v>mód.előir.
2022.12.31</v>
      </c>
      <c r="Q9" s="293" t="str">
        <f t="shared" si="0"/>
        <v>teljesítés 2022.12.31</v>
      </c>
      <c r="R9" s="293" t="str">
        <f>C9</f>
        <v>2022. évi eredeti előirányzat</v>
      </c>
      <c r="S9" s="293" t="str">
        <f>D9</f>
        <v>mód.ei.          2022.06.hó</v>
      </c>
      <c r="T9" s="293" t="s">
        <v>1327</v>
      </c>
      <c r="U9" s="293" t="str">
        <f>F9</f>
        <v>mód.előir.
2022.12.31</v>
      </c>
      <c r="V9" s="293" t="str">
        <f>G9</f>
        <v>teljesítés 2022.12.31</v>
      </c>
      <c r="X9" s="37"/>
      <c r="Y9" s="580"/>
      <c r="Z9" s="581"/>
      <c r="AA9" s="205"/>
      <c r="AB9" s="205"/>
    </row>
    <row r="10" spans="1:28" x14ac:dyDescent="0.2">
      <c r="A10" s="158" t="s">
        <v>298</v>
      </c>
      <c r="B10" s="16" t="s">
        <v>299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313"/>
      <c r="S10" s="313"/>
      <c r="T10" s="313"/>
      <c r="U10" s="313"/>
      <c r="V10" s="313"/>
      <c r="W10" s="29"/>
      <c r="X10" s="37"/>
      <c r="Y10" s="580"/>
      <c r="Z10" s="581"/>
      <c r="AA10" s="205"/>
      <c r="AB10" s="205"/>
    </row>
    <row r="11" spans="1:28" x14ac:dyDescent="0.2">
      <c r="A11" s="62" t="s">
        <v>814</v>
      </c>
      <c r="B11" s="8" t="s">
        <v>918</v>
      </c>
      <c r="C11" s="13">
        <v>135046</v>
      </c>
      <c r="D11" s="13">
        <f>135046+31+300+680+110+2200+100+350+600+2000+500+2948</f>
        <v>144865</v>
      </c>
      <c r="E11" s="13">
        <f>135046+31+300+680+110+2200+100+350+600+2000+500+2948</f>
        <v>144865</v>
      </c>
      <c r="F11" s="13">
        <f>135046+31+300+680+110+2200+100+350+600+2000+500+2948+102+9700</f>
        <v>154667</v>
      </c>
      <c r="G11" s="13">
        <v>135046</v>
      </c>
      <c r="H11" s="13">
        <v>18466</v>
      </c>
      <c r="I11" s="13">
        <f>18466+96</f>
        <v>18562</v>
      </c>
      <c r="J11" s="13">
        <f>18466+96-270-100-1845-500</f>
        <v>15847</v>
      </c>
      <c r="K11" s="13">
        <f>18466+96-270-100-1845-500</f>
        <v>15847</v>
      </c>
      <c r="L11" s="13">
        <f>18466+96-270-100-1845-500</f>
        <v>15847</v>
      </c>
      <c r="M11" s="502">
        <v>7080</v>
      </c>
      <c r="N11" s="502">
        <f>7080+204</f>
        <v>7284</v>
      </c>
      <c r="O11" s="502">
        <f>7080+204-744</f>
        <v>6540</v>
      </c>
      <c r="P11" s="502">
        <f>7080+204-744+1528</f>
        <v>8068</v>
      </c>
      <c r="Q11" s="502">
        <f>7080+204-744</f>
        <v>6540</v>
      </c>
      <c r="R11" s="314">
        <f>C11+H11+M11</f>
        <v>160592</v>
      </c>
      <c r="S11" s="314">
        <f>D11+I11+N11</f>
        <v>170711</v>
      </c>
      <c r="T11" s="314">
        <f>E11+J11+O11</f>
        <v>167252</v>
      </c>
      <c r="U11" s="314">
        <f>F11+K11+P11</f>
        <v>178582</v>
      </c>
      <c r="V11" s="314">
        <f>G11+L11+Q11</f>
        <v>157433</v>
      </c>
      <c r="W11" s="266"/>
      <c r="X11" s="768">
        <f>U11-T11</f>
        <v>11330</v>
      </c>
      <c r="Y11" s="582"/>
      <c r="Z11" s="581"/>
      <c r="AA11" s="205"/>
      <c r="AB11" s="205"/>
    </row>
    <row r="12" spans="1:28" x14ac:dyDescent="0.2">
      <c r="A12" s="62" t="s">
        <v>941</v>
      </c>
      <c r="B12" s="8" t="s">
        <v>942</v>
      </c>
      <c r="C12" s="13">
        <v>400</v>
      </c>
      <c r="D12" s="13">
        <v>400</v>
      </c>
      <c r="E12" s="13">
        <f>400+71</f>
        <v>471</v>
      </c>
      <c r="F12" s="13">
        <f>400+71+400</f>
        <v>871</v>
      </c>
      <c r="G12" s="13">
        <v>400</v>
      </c>
      <c r="H12" s="13">
        <v>0</v>
      </c>
      <c r="I12" s="13">
        <v>0</v>
      </c>
      <c r="J12" s="13">
        <v>60</v>
      </c>
      <c r="K12" s="13">
        <v>60</v>
      </c>
      <c r="L12" s="13">
        <v>60</v>
      </c>
      <c r="M12" s="502"/>
      <c r="N12" s="502"/>
      <c r="O12" s="502"/>
      <c r="P12" s="502"/>
      <c r="Q12" s="502"/>
      <c r="R12" s="314">
        <f t="shared" ref="R12:R25" si="1">C12+H12+M12</f>
        <v>400</v>
      </c>
      <c r="S12" s="314">
        <f t="shared" ref="S12:U27" si="2">D12+I12+N12</f>
        <v>400</v>
      </c>
      <c r="T12" s="314">
        <f t="shared" si="2"/>
        <v>531</v>
      </c>
      <c r="U12" s="314">
        <f t="shared" si="2"/>
        <v>931</v>
      </c>
      <c r="V12" s="314">
        <f t="shared" ref="V12:V27" si="3">G12+L12+Q12</f>
        <v>460</v>
      </c>
      <c r="W12" s="28"/>
      <c r="X12" s="768">
        <f t="shared" ref="X12:X75" si="4">U12-T12</f>
        <v>400</v>
      </c>
      <c r="Y12" s="582"/>
      <c r="Z12" s="581"/>
      <c r="AA12" s="205"/>
      <c r="AB12" s="205"/>
    </row>
    <row r="13" spans="1:28" x14ac:dyDescent="0.2">
      <c r="A13" s="62" t="s">
        <v>941</v>
      </c>
      <c r="B13" s="8" t="s">
        <v>1279</v>
      </c>
      <c r="C13" s="13">
        <v>0</v>
      </c>
      <c r="D13" s="13">
        <v>425</v>
      </c>
      <c r="E13" s="13">
        <v>425</v>
      </c>
      <c r="F13" s="13">
        <v>425</v>
      </c>
      <c r="G13" s="13"/>
      <c r="H13" s="13"/>
      <c r="I13" s="13"/>
      <c r="J13" s="13"/>
      <c r="K13" s="13"/>
      <c r="L13" s="13"/>
      <c r="M13" s="502"/>
      <c r="N13" s="502"/>
      <c r="O13" s="502"/>
      <c r="P13" s="502"/>
      <c r="Q13" s="502"/>
      <c r="R13" s="314">
        <f t="shared" si="1"/>
        <v>0</v>
      </c>
      <c r="S13" s="314">
        <f t="shared" si="2"/>
        <v>425</v>
      </c>
      <c r="T13" s="314">
        <f t="shared" si="2"/>
        <v>425</v>
      </c>
      <c r="U13" s="314">
        <f t="shared" si="2"/>
        <v>425</v>
      </c>
      <c r="V13" s="314">
        <f t="shared" si="3"/>
        <v>0</v>
      </c>
      <c r="W13" s="28"/>
      <c r="X13" s="768">
        <f t="shared" si="4"/>
        <v>0</v>
      </c>
      <c r="Y13" s="582"/>
      <c r="Z13" s="581"/>
      <c r="AA13" s="205"/>
      <c r="AB13" s="205"/>
    </row>
    <row r="14" spans="1:28" x14ac:dyDescent="0.2">
      <c r="A14" s="62" t="s">
        <v>1355</v>
      </c>
      <c r="B14" s="8" t="s">
        <v>1377</v>
      </c>
      <c r="C14" s="13">
        <v>0</v>
      </c>
      <c r="D14" s="13">
        <v>0</v>
      </c>
      <c r="E14" s="13">
        <v>202</v>
      </c>
      <c r="F14" s="13">
        <v>202</v>
      </c>
      <c r="G14" s="13"/>
      <c r="H14" s="13"/>
      <c r="I14" s="13"/>
      <c r="J14" s="13"/>
      <c r="K14" s="13"/>
      <c r="L14" s="13"/>
      <c r="M14" s="502"/>
      <c r="N14" s="502"/>
      <c r="O14" s="502"/>
      <c r="P14" s="502"/>
      <c r="Q14" s="502"/>
      <c r="R14" s="314">
        <f t="shared" ref="R14" si="5">C14+H14+M14</f>
        <v>0</v>
      </c>
      <c r="S14" s="314">
        <f t="shared" ref="S14" si="6">D14+I14+N14</f>
        <v>0</v>
      </c>
      <c r="T14" s="314">
        <f t="shared" ref="T14:U14" si="7">E14+J14+O14</f>
        <v>202</v>
      </c>
      <c r="U14" s="314">
        <f t="shared" si="7"/>
        <v>202</v>
      </c>
      <c r="V14" s="314"/>
      <c r="W14" s="28"/>
      <c r="X14" s="768">
        <f t="shared" si="4"/>
        <v>0</v>
      </c>
      <c r="Y14" s="582"/>
      <c r="Z14" s="581"/>
      <c r="AA14" s="205"/>
      <c r="AB14" s="205"/>
    </row>
    <row r="15" spans="1:28" x14ac:dyDescent="0.2">
      <c r="A15" s="62" t="s">
        <v>1381</v>
      </c>
      <c r="B15" s="8" t="s">
        <v>1382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502">
        <v>0</v>
      </c>
      <c r="N15" s="502">
        <v>0</v>
      </c>
      <c r="O15" s="502">
        <f>270+2555</f>
        <v>2825</v>
      </c>
      <c r="P15" s="502">
        <f>270+2555</f>
        <v>2825</v>
      </c>
      <c r="Q15" s="502">
        <f>270+2555</f>
        <v>2825</v>
      </c>
      <c r="R15" s="314">
        <f t="shared" ref="R15" si="8">C15+H15+M15</f>
        <v>0</v>
      </c>
      <c r="S15" s="314">
        <f t="shared" ref="S15" si="9">D15+I15+N15</f>
        <v>0</v>
      </c>
      <c r="T15" s="314">
        <f t="shared" ref="T15:U15" si="10">E15+J15+O15</f>
        <v>2825</v>
      </c>
      <c r="U15" s="314">
        <f t="shared" si="10"/>
        <v>2825</v>
      </c>
      <c r="V15" s="314"/>
      <c r="W15" s="28"/>
      <c r="X15" s="768">
        <f t="shared" si="4"/>
        <v>0</v>
      </c>
      <c r="Y15" s="582"/>
      <c r="Z15" s="581"/>
      <c r="AA15" s="205"/>
      <c r="AB15" s="205"/>
    </row>
    <row r="16" spans="1:28" x14ac:dyDescent="0.2">
      <c r="A16" s="62" t="s">
        <v>842</v>
      </c>
      <c r="B16" s="8" t="s">
        <v>478</v>
      </c>
      <c r="C16" s="13">
        <f>(209*34)</f>
        <v>7106</v>
      </c>
      <c r="D16" s="13">
        <f>(209*34)-1022-23</f>
        <v>6061</v>
      </c>
      <c r="E16" s="13">
        <f>(209*34)-1022-23</f>
        <v>6061</v>
      </c>
      <c r="F16" s="13">
        <f>(209*34)-1022-23</f>
        <v>6061</v>
      </c>
      <c r="G16" s="13">
        <f>(209*34)</f>
        <v>7106</v>
      </c>
      <c r="H16" s="13">
        <f>(209*4)</f>
        <v>836</v>
      </c>
      <c r="I16" s="13">
        <f>(209*4)+62</f>
        <v>898</v>
      </c>
      <c r="J16" s="13">
        <f>(209*4)+62</f>
        <v>898</v>
      </c>
      <c r="K16" s="13">
        <f>(209*4)+62</f>
        <v>898</v>
      </c>
      <c r="L16" s="13">
        <f>(209*4)+62</f>
        <v>898</v>
      </c>
      <c r="M16" s="502">
        <f>(209*2)</f>
        <v>418</v>
      </c>
      <c r="N16" s="502">
        <f>(209*2)-39</f>
        <v>379</v>
      </c>
      <c r="O16" s="502">
        <f>(209*2)-39-7</f>
        <v>372</v>
      </c>
      <c r="P16" s="502">
        <f>(209*2)-39-7</f>
        <v>372</v>
      </c>
      <c r="Q16" s="502">
        <f>(209*2)-39-7</f>
        <v>372</v>
      </c>
      <c r="R16" s="314">
        <f t="shared" si="1"/>
        <v>8360</v>
      </c>
      <c r="S16" s="314">
        <f t="shared" si="2"/>
        <v>7338</v>
      </c>
      <c r="T16" s="314">
        <f t="shared" si="2"/>
        <v>7331</v>
      </c>
      <c r="U16" s="314">
        <f t="shared" si="2"/>
        <v>7331</v>
      </c>
      <c r="V16" s="314">
        <f t="shared" si="3"/>
        <v>8376</v>
      </c>
      <c r="W16" s="29"/>
      <c r="X16" s="768">
        <f t="shared" si="4"/>
        <v>0</v>
      </c>
      <c r="Y16" s="580"/>
      <c r="Z16" s="581"/>
      <c r="AA16" s="205"/>
      <c r="AB16" s="205"/>
    </row>
    <row r="17" spans="1:28" x14ac:dyDescent="0.2">
      <c r="A17" s="62" t="s">
        <v>852</v>
      </c>
      <c r="B17" s="8" t="s">
        <v>460</v>
      </c>
      <c r="C17" s="13">
        <v>2400</v>
      </c>
      <c r="D17" s="13">
        <f>2400+200</f>
        <v>2600</v>
      </c>
      <c r="E17" s="13">
        <f>2400+200</f>
        <v>2600</v>
      </c>
      <c r="F17" s="13">
        <f>2400+200</f>
        <v>2600</v>
      </c>
      <c r="G17" s="13">
        <v>2400</v>
      </c>
      <c r="H17" s="13">
        <v>180</v>
      </c>
      <c r="I17" s="13">
        <f>180+50</f>
        <v>230</v>
      </c>
      <c r="J17" s="13">
        <f>180+50</f>
        <v>230</v>
      </c>
      <c r="K17" s="13">
        <f>180+50</f>
        <v>230</v>
      </c>
      <c r="L17" s="13">
        <f>180+50</f>
        <v>230</v>
      </c>
      <c r="M17" s="502">
        <v>130</v>
      </c>
      <c r="N17" s="502">
        <f>130+50</f>
        <v>180</v>
      </c>
      <c r="O17" s="502">
        <f>130+50+7</f>
        <v>187</v>
      </c>
      <c r="P17" s="502">
        <f>130+50+7</f>
        <v>187</v>
      </c>
      <c r="Q17" s="502">
        <f>130+50+7</f>
        <v>187</v>
      </c>
      <c r="R17" s="314">
        <f t="shared" si="1"/>
        <v>2710</v>
      </c>
      <c r="S17" s="314">
        <f t="shared" si="2"/>
        <v>3010</v>
      </c>
      <c r="T17" s="314">
        <f t="shared" si="2"/>
        <v>3017</v>
      </c>
      <c r="U17" s="314">
        <f t="shared" si="2"/>
        <v>3017</v>
      </c>
      <c r="V17" s="314">
        <f t="shared" si="3"/>
        <v>2817</v>
      </c>
      <c r="W17" s="28"/>
      <c r="X17" s="768">
        <f t="shared" si="4"/>
        <v>0</v>
      </c>
      <c r="Y17" s="580"/>
      <c r="Z17" s="581"/>
      <c r="AA17" s="205"/>
      <c r="AB17" s="205"/>
    </row>
    <row r="18" spans="1:28" x14ac:dyDescent="0.2">
      <c r="A18" s="62" t="s">
        <v>831</v>
      </c>
      <c r="B18" s="8" t="s">
        <v>61</v>
      </c>
      <c r="C18" s="13">
        <v>500</v>
      </c>
      <c r="D18" s="13">
        <f>500-200-50-50</f>
        <v>200</v>
      </c>
      <c r="E18" s="13">
        <f>500-200-50-50</f>
        <v>200</v>
      </c>
      <c r="F18" s="13">
        <f>500-200-50-50</f>
        <v>200</v>
      </c>
      <c r="G18" s="13">
        <v>500</v>
      </c>
      <c r="H18" s="13"/>
      <c r="I18" s="13"/>
      <c r="J18" s="13"/>
      <c r="K18" s="13"/>
      <c r="L18" s="13"/>
      <c r="M18" s="502"/>
      <c r="N18" s="502"/>
      <c r="O18" s="502"/>
      <c r="P18" s="502"/>
      <c r="Q18" s="502"/>
      <c r="R18" s="314">
        <f t="shared" si="1"/>
        <v>500</v>
      </c>
      <c r="S18" s="314">
        <f t="shared" si="2"/>
        <v>200</v>
      </c>
      <c r="T18" s="314">
        <f t="shared" si="2"/>
        <v>200</v>
      </c>
      <c r="U18" s="314">
        <f t="shared" si="2"/>
        <v>200</v>
      </c>
      <c r="V18" s="314">
        <f t="shared" si="3"/>
        <v>500</v>
      </c>
      <c r="W18" s="171"/>
      <c r="X18" s="768">
        <f t="shared" si="4"/>
        <v>0</v>
      </c>
      <c r="Y18" s="580"/>
      <c r="Z18" s="581"/>
      <c r="AA18" s="205"/>
      <c r="AB18" s="205"/>
    </row>
    <row r="19" spans="1:28" x14ac:dyDescent="0.2">
      <c r="A19" s="62" t="s">
        <v>831</v>
      </c>
      <c r="B19" s="8" t="s">
        <v>1175</v>
      </c>
      <c r="C19" s="13">
        <v>800</v>
      </c>
      <c r="D19" s="13">
        <f>800-110-390</f>
        <v>300</v>
      </c>
      <c r="E19" s="13">
        <f>800-110-390</f>
        <v>300</v>
      </c>
      <c r="F19" s="13">
        <f>800-110-390</f>
        <v>300</v>
      </c>
      <c r="G19" s="13">
        <v>800</v>
      </c>
      <c r="H19" s="13"/>
      <c r="I19" s="13"/>
      <c r="J19" s="13"/>
      <c r="K19" s="13"/>
      <c r="L19" s="13"/>
      <c r="M19" s="502"/>
      <c r="N19" s="502"/>
      <c r="O19" s="502"/>
      <c r="P19" s="502"/>
      <c r="Q19" s="502"/>
      <c r="R19" s="314">
        <f t="shared" si="1"/>
        <v>800</v>
      </c>
      <c r="S19" s="314">
        <f t="shared" si="2"/>
        <v>300</v>
      </c>
      <c r="T19" s="314">
        <f t="shared" si="2"/>
        <v>300</v>
      </c>
      <c r="U19" s="314">
        <f t="shared" si="2"/>
        <v>300</v>
      </c>
      <c r="V19" s="314">
        <f t="shared" si="3"/>
        <v>800</v>
      </c>
      <c r="W19" s="171"/>
      <c r="X19" s="768">
        <f t="shared" si="4"/>
        <v>0</v>
      </c>
      <c r="Y19" s="580"/>
      <c r="Z19" s="581"/>
      <c r="AA19" s="205"/>
      <c r="AB19" s="205"/>
    </row>
    <row r="20" spans="1:28" x14ac:dyDescent="0.2">
      <c r="A20" s="62" t="s">
        <v>831</v>
      </c>
      <c r="B20" s="8" t="s">
        <v>1174</v>
      </c>
      <c r="C20" s="13">
        <v>4500</v>
      </c>
      <c r="D20" s="13">
        <f>4500-2200</f>
        <v>2300</v>
      </c>
      <c r="E20" s="13">
        <f>4500-2200-71-60-202</f>
        <v>1967</v>
      </c>
      <c r="F20" s="13">
        <f>4500-2200-71-60-202</f>
        <v>1967</v>
      </c>
      <c r="G20" s="13">
        <v>4500</v>
      </c>
      <c r="H20" s="13"/>
      <c r="I20" s="13"/>
      <c r="J20" s="13"/>
      <c r="K20" s="13"/>
      <c r="L20" s="13"/>
      <c r="M20" s="502"/>
      <c r="N20" s="502"/>
      <c r="O20" s="502"/>
      <c r="P20" s="502"/>
      <c r="Q20" s="502"/>
      <c r="R20" s="314">
        <f t="shared" si="1"/>
        <v>4500</v>
      </c>
      <c r="S20" s="314">
        <f t="shared" si="2"/>
        <v>2300</v>
      </c>
      <c r="T20" s="314">
        <f t="shared" si="2"/>
        <v>1967</v>
      </c>
      <c r="U20" s="314">
        <f t="shared" si="2"/>
        <v>1967</v>
      </c>
      <c r="V20" s="314">
        <f t="shared" si="3"/>
        <v>4500</v>
      </c>
      <c r="W20" s="171"/>
      <c r="X20" s="768">
        <f t="shared" si="4"/>
        <v>0</v>
      </c>
      <c r="Y20" s="580"/>
      <c r="Z20" s="581"/>
      <c r="AA20" s="205"/>
      <c r="AB20" s="205"/>
    </row>
    <row r="21" spans="1:28" x14ac:dyDescent="0.2">
      <c r="A21" s="62" t="s">
        <v>853</v>
      </c>
      <c r="B21" s="8" t="s">
        <v>1418</v>
      </c>
      <c r="C21" s="13">
        <v>2922</v>
      </c>
      <c r="D21" s="13">
        <f>2922+1022</f>
        <v>3944</v>
      </c>
      <c r="E21" s="13">
        <f>2922+1022</f>
        <v>3944</v>
      </c>
      <c r="F21" s="13">
        <f>2922+1022+674</f>
        <v>4618</v>
      </c>
      <c r="G21" s="13">
        <v>2922</v>
      </c>
      <c r="H21" s="13"/>
      <c r="I21" s="13"/>
      <c r="J21" s="13"/>
      <c r="K21" s="13"/>
      <c r="L21" s="13"/>
      <c r="M21" s="502"/>
      <c r="N21" s="502"/>
      <c r="O21" s="502"/>
      <c r="P21" s="502"/>
      <c r="Q21" s="502"/>
      <c r="R21" s="314">
        <f t="shared" si="1"/>
        <v>2922</v>
      </c>
      <c r="S21" s="314">
        <f t="shared" si="2"/>
        <v>3944</v>
      </c>
      <c r="T21" s="314">
        <f t="shared" si="2"/>
        <v>3944</v>
      </c>
      <c r="U21" s="314">
        <f t="shared" si="2"/>
        <v>4618</v>
      </c>
      <c r="V21" s="314">
        <f t="shared" si="3"/>
        <v>2922</v>
      </c>
      <c r="W21" s="29"/>
      <c r="X21" s="768">
        <f t="shared" si="4"/>
        <v>674</v>
      </c>
      <c r="Y21" s="580"/>
      <c r="Z21" s="581"/>
      <c r="AA21" s="205"/>
      <c r="AB21" s="205"/>
    </row>
    <row r="22" spans="1:28" x14ac:dyDescent="0.2">
      <c r="A22" s="62" t="s">
        <v>815</v>
      </c>
      <c r="B22" s="8" t="s">
        <v>1373</v>
      </c>
      <c r="C22" s="13">
        <v>1600</v>
      </c>
      <c r="D22" s="13">
        <v>1600</v>
      </c>
      <c r="E22" s="13">
        <f>1600+137+2936+1845</f>
        <v>6518</v>
      </c>
      <c r="F22" s="13">
        <f>1600+137+2936+1845</f>
        <v>6518</v>
      </c>
      <c r="G22" s="13">
        <v>1600</v>
      </c>
      <c r="H22" s="13">
        <v>600</v>
      </c>
      <c r="I22" s="13">
        <f>600-250</f>
        <v>350</v>
      </c>
      <c r="J22" s="13">
        <f>600-250+500+64</f>
        <v>914</v>
      </c>
      <c r="K22" s="13">
        <f>600-250+500+64</f>
        <v>914</v>
      </c>
      <c r="L22" s="13">
        <f>600-250+500+64</f>
        <v>914</v>
      </c>
      <c r="M22" s="502">
        <v>0</v>
      </c>
      <c r="N22" s="502">
        <v>250</v>
      </c>
      <c r="O22" s="502">
        <f>250+744+100+124</f>
        <v>1218</v>
      </c>
      <c r="P22" s="502">
        <f>250+744+100+124</f>
        <v>1218</v>
      </c>
      <c r="Q22" s="502">
        <f>250+744+100+124</f>
        <v>1218</v>
      </c>
      <c r="R22" s="314">
        <f t="shared" si="1"/>
        <v>2200</v>
      </c>
      <c r="S22" s="314">
        <f t="shared" si="2"/>
        <v>2200</v>
      </c>
      <c r="T22" s="314">
        <f t="shared" si="2"/>
        <v>8650</v>
      </c>
      <c r="U22" s="314">
        <f t="shared" si="2"/>
        <v>8650</v>
      </c>
      <c r="V22" s="314">
        <f t="shared" si="3"/>
        <v>3732</v>
      </c>
      <c r="W22" s="28"/>
      <c r="X22" s="768">
        <f t="shared" si="4"/>
        <v>0</v>
      </c>
      <c r="Y22" s="580"/>
      <c r="Z22" s="581"/>
      <c r="AA22" s="205"/>
      <c r="AB22" s="205"/>
    </row>
    <row r="23" spans="1:28" x14ac:dyDescent="0.2">
      <c r="A23" s="62" t="s">
        <v>815</v>
      </c>
      <c r="B23" s="8" t="s">
        <v>1280</v>
      </c>
      <c r="C23" s="13">
        <v>0</v>
      </c>
      <c r="D23" s="13">
        <v>1235</v>
      </c>
      <c r="E23" s="13">
        <v>1235</v>
      </c>
      <c r="F23" s="13">
        <v>1235</v>
      </c>
      <c r="G23" s="13"/>
      <c r="H23" s="13"/>
      <c r="I23" s="13"/>
      <c r="J23" s="13"/>
      <c r="K23" s="13"/>
      <c r="L23" s="13"/>
      <c r="M23" s="502"/>
      <c r="N23" s="502"/>
      <c r="O23" s="502"/>
      <c r="P23" s="502"/>
      <c r="Q23" s="502"/>
      <c r="R23" s="314">
        <f t="shared" ref="R23" si="11">C23+H23+M23</f>
        <v>0</v>
      </c>
      <c r="S23" s="314">
        <f t="shared" ref="S23:U23" si="12">D23+I23+N23</f>
        <v>1235</v>
      </c>
      <c r="T23" s="314">
        <f t="shared" si="12"/>
        <v>1235</v>
      </c>
      <c r="U23" s="314">
        <f t="shared" si="12"/>
        <v>1235</v>
      </c>
      <c r="V23" s="314"/>
      <c r="W23" s="28"/>
      <c r="X23" s="768">
        <f t="shared" si="4"/>
        <v>0</v>
      </c>
      <c r="Y23" s="580"/>
      <c r="Z23" s="581"/>
      <c r="AA23" s="205"/>
      <c r="AB23" s="205"/>
    </row>
    <row r="24" spans="1:28" x14ac:dyDescent="0.2">
      <c r="A24" s="62" t="s">
        <v>816</v>
      </c>
      <c r="B24" s="8" t="s">
        <v>1281</v>
      </c>
      <c r="C24" s="13">
        <v>2500</v>
      </c>
      <c r="D24" s="13">
        <f>2500-680-425-1235</f>
        <v>160</v>
      </c>
      <c r="E24" s="13">
        <f>2500-680-425-1235</f>
        <v>160</v>
      </c>
      <c r="F24" s="13">
        <f>2500-680-425-1235</f>
        <v>160</v>
      </c>
      <c r="G24" s="13">
        <v>2500</v>
      </c>
      <c r="H24" s="13"/>
      <c r="I24" s="13"/>
      <c r="J24" s="13"/>
      <c r="K24" s="13"/>
      <c r="L24" s="13"/>
      <c r="M24" s="502"/>
      <c r="N24" s="502"/>
      <c r="O24" s="502"/>
      <c r="P24" s="502"/>
      <c r="Q24" s="502"/>
      <c r="R24" s="314">
        <f t="shared" si="1"/>
        <v>2500</v>
      </c>
      <c r="S24" s="314">
        <f t="shared" si="2"/>
        <v>160</v>
      </c>
      <c r="T24" s="314">
        <f t="shared" si="2"/>
        <v>160</v>
      </c>
      <c r="U24" s="314">
        <f t="shared" si="2"/>
        <v>160</v>
      </c>
      <c r="V24" s="314">
        <f t="shared" si="3"/>
        <v>2500</v>
      </c>
      <c r="W24" s="28"/>
      <c r="X24" s="768">
        <f t="shared" si="4"/>
        <v>0</v>
      </c>
      <c r="Y24" s="580"/>
      <c r="Z24" s="581"/>
      <c r="AA24" s="205"/>
      <c r="AB24" s="205"/>
    </row>
    <row r="25" spans="1:28" x14ac:dyDescent="0.2">
      <c r="A25" s="62" t="s">
        <v>816</v>
      </c>
      <c r="B25" s="8" t="s">
        <v>843</v>
      </c>
      <c r="C25" s="13">
        <v>600</v>
      </c>
      <c r="D25" s="13">
        <f>600-96-204-300</f>
        <v>0</v>
      </c>
      <c r="E25" s="13">
        <f>600-96-204-300</f>
        <v>0</v>
      </c>
      <c r="F25" s="13">
        <f>600-96-204-300</f>
        <v>0</v>
      </c>
      <c r="G25" s="13">
        <v>600</v>
      </c>
      <c r="H25" s="13"/>
      <c r="I25" s="13"/>
      <c r="J25" s="13"/>
      <c r="K25" s="13"/>
      <c r="L25" s="13"/>
      <c r="M25" s="502"/>
      <c r="N25" s="502"/>
      <c r="O25" s="502"/>
      <c r="P25" s="502"/>
      <c r="Q25" s="502"/>
      <c r="R25" s="314">
        <f t="shared" si="1"/>
        <v>600</v>
      </c>
      <c r="S25" s="314">
        <f t="shared" si="2"/>
        <v>0</v>
      </c>
      <c r="T25" s="314">
        <f t="shared" si="2"/>
        <v>0</v>
      </c>
      <c r="U25" s="314">
        <f t="shared" si="2"/>
        <v>0</v>
      </c>
      <c r="V25" s="314">
        <f t="shared" si="3"/>
        <v>600</v>
      </c>
      <c r="W25" s="28"/>
      <c r="X25" s="768">
        <f t="shared" si="4"/>
        <v>0</v>
      </c>
      <c r="Y25" s="580"/>
      <c r="Z25" s="581"/>
      <c r="AA25" s="205"/>
      <c r="AB25" s="205"/>
    </row>
    <row r="26" spans="1:28" x14ac:dyDescent="0.2">
      <c r="A26" s="62" t="s">
        <v>816</v>
      </c>
      <c r="B26" s="8" t="s">
        <v>1369</v>
      </c>
      <c r="C26" s="13">
        <v>0</v>
      </c>
      <c r="D26" s="13">
        <v>0</v>
      </c>
      <c r="E26" s="13">
        <v>5518</v>
      </c>
      <c r="F26" s="13">
        <f>5518+426</f>
        <v>5944</v>
      </c>
      <c r="G26" s="13"/>
      <c r="H26" s="13"/>
      <c r="I26" s="13"/>
      <c r="J26" s="13"/>
      <c r="K26" s="13"/>
      <c r="L26" s="13"/>
      <c r="M26" s="502"/>
      <c r="N26" s="502"/>
      <c r="O26" s="502"/>
      <c r="P26" s="502"/>
      <c r="Q26" s="502"/>
      <c r="R26" s="314">
        <f t="shared" ref="R26" si="13">C26+H26+M26</f>
        <v>0</v>
      </c>
      <c r="S26" s="314">
        <f t="shared" ref="S26" si="14">D26+I26+N26</f>
        <v>0</v>
      </c>
      <c r="T26" s="314">
        <f t="shared" ref="T26:U26" si="15">E26+J26+O26</f>
        <v>5518</v>
      </c>
      <c r="U26" s="314">
        <f t="shared" si="15"/>
        <v>5944</v>
      </c>
      <c r="V26" s="314"/>
      <c r="W26" s="28"/>
      <c r="X26" s="768">
        <f t="shared" si="4"/>
        <v>426</v>
      </c>
      <c r="Y26" s="580"/>
      <c r="Z26" s="581"/>
      <c r="AA26" s="205"/>
      <c r="AB26" s="205"/>
    </row>
    <row r="27" spans="1:28" x14ac:dyDescent="0.2">
      <c r="A27" s="62" t="s">
        <v>815</v>
      </c>
      <c r="B27" s="8" t="s">
        <v>477</v>
      </c>
      <c r="C27" s="13"/>
      <c r="D27" s="13"/>
      <c r="E27" s="13"/>
      <c r="F27" s="13"/>
      <c r="G27" s="13"/>
      <c r="H27" s="13">
        <v>5000</v>
      </c>
      <c r="I27" s="13">
        <v>5000</v>
      </c>
      <c r="J27" s="13">
        <f>5000-3000-500</f>
        <v>1500</v>
      </c>
      <c r="K27" s="13">
        <f>5000-3000-500</f>
        <v>1500</v>
      </c>
      <c r="L27" s="13">
        <f>5000-3000-500</f>
        <v>1500</v>
      </c>
      <c r="M27" s="502"/>
      <c r="N27" s="502"/>
      <c r="O27" s="502"/>
      <c r="P27" s="502"/>
      <c r="Q27" s="502"/>
      <c r="R27" s="314">
        <f>C27+H27+M27</f>
        <v>5000</v>
      </c>
      <c r="S27" s="314">
        <f t="shared" si="2"/>
        <v>5000</v>
      </c>
      <c r="T27" s="314">
        <f t="shared" si="2"/>
        <v>1500</v>
      </c>
      <c r="U27" s="314">
        <f t="shared" si="2"/>
        <v>1500</v>
      </c>
      <c r="V27" s="314">
        <f t="shared" si="3"/>
        <v>1500</v>
      </c>
      <c r="W27" s="29"/>
      <c r="X27" s="768">
        <f t="shared" si="4"/>
        <v>0</v>
      </c>
      <c r="Y27" s="580"/>
      <c r="Z27" s="581"/>
      <c r="AA27" s="205"/>
      <c r="AB27" s="205"/>
    </row>
    <row r="28" spans="1:28" x14ac:dyDescent="0.2">
      <c r="A28" s="81" t="s">
        <v>218</v>
      </c>
      <c r="B28" s="115" t="s">
        <v>297</v>
      </c>
      <c r="C28" s="236">
        <f t="shared" ref="C28:V28" si="16">SUM(C11:C27)</f>
        <v>158374</v>
      </c>
      <c r="D28" s="236">
        <f t="shared" si="16"/>
        <v>164090</v>
      </c>
      <c r="E28" s="236">
        <f t="shared" si="16"/>
        <v>174466</v>
      </c>
      <c r="F28" s="236">
        <f t="shared" ref="F28" si="17">SUM(F11:F27)</f>
        <v>185768</v>
      </c>
      <c r="G28" s="236">
        <f t="shared" si="16"/>
        <v>158374</v>
      </c>
      <c r="H28" s="236">
        <f t="shared" si="16"/>
        <v>25082</v>
      </c>
      <c r="I28" s="236">
        <f t="shared" si="16"/>
        <v>25040</v>
      </c>
      <c r="J28" s="236">
        <f t="shared" si="16"/>
        <v>19449</v>
      </c>
      <c r="K28" s="236">
        <f t="shared" ref="K28:L28" si="18">SUM(K11:K27)</f>
        <v>19449</v>
      </c>
      <c r="L28" s="236">
        <f t="shared" si="18"/>
        <v>19449</v>
      </c>
      <c r="M28" s="236">
        <f t="shared" si="16"/>
        <v>7628</v>
      </c>
      <c r="N28" s="236">
        <f t="shared" si="16"/>
        <v>8093</v>
      </c>
      <c r="O28" s="236">
        <f t="shared" si="16"/>
        <v>11142</v>
      </c>
      <c r="P28" s="236">
        <f t="shared" ref="P28:Q28" si="19">SUM(P11:P27)</f>
        <v>12670</v>
      </c>
      <c r="Q28" s="236">
        <f t="shared" si="19"/>
        <v>11142</v>
      </c>
      <c r="R28" s="236">
        <f t="shared" si="16"/>
        <v>191084</v>
      </c>
      <c r="S28" s="236">
        <f t="shared" si="16"/>
        <v>197223</v>
      </c>
      <c r="T28" s="236">
        <f t="shared" si="16"/>
        <v>205057</v>
      </c>
      <c r="U28" s="236">
        <f t="shared" ref="U28" si="20">SUM(U11:U27)</f>
        <v>217887</v>
      </c>
      <c r="V28" s="236">
        <f t="shared" si="16"/>
        <v>186140</v>
      </c>
      <c r="W28" s="29"/>
      <c r="X28" s="768"/>
      <c r="Y28" s="580"/>
      <c r="Z28" s="581"/>
      <c r="AA28" s="205"/>
      <c r="AB28" s="205"/>
    </row>
    <row r="29" spans="1:28" x14ac:dyDescent="0.2">
      <c r="A29" s="62"/>
      <c r="B29" s="8" t="s">
        <v>30</v>
      </c>
      <c r="C29" s="13">
        <v>19500</v>
      </c>
      <c r="D29" s="13">
        <v>19500</v>
      </c>
      <c r="E29" s="13">
        <f>19500+717+16+470+350+325+500</f>
        <v>21878</v>
      </c>
      <c r="F29" s="13">
        <f>19500+717+16+470+350+325+500+1500</f>
        <v>23378</v>
      </c>
      <c r="G29" s="13">
        <v>19500</v>
      </c>
      <c r="H29" s="13">
        <v>3200</v>
      </c>
      <c r="I29" s="13">
        <v>3200</v>
      </c>
      <c r="J29" s="13">
        <f>3200-350-325-123</f>
        <v>2402</v>
      </c>
      <c r="K29" s="13">
        <f>3200-350-325-123</f>
        <v>2402</v>
      </c>
      <c r="L29" s="13">
        <f>3200-350-325-123</f>
        <v>2402</v>
      </c>
      <c r="M29" s="502">
        <v>950</v>
      </c>
      <c r="N29" s="502">
        <v>950</v>
      </c>
      <c r="O29" s="502">
        <f>950+123+332</f>
        <v>1405</v>
      </c>
      <c r="P29" s="502">
        <f>950+123+332+81+76</f>
        <v>1562</v>
      </c>
      <c r="Q29" s="502">
        <f>950+123+332</f>
        <v>1405</v>
      </c>
      <c r="R29" s="314">
        <f t="shared" ref="R29:V30" si="21">C29+H29+M29</f>
        <v>23650</v>
      </c>
      <c r="S29" s="314">
        <f t="shared" si="21"/>
        <v>23650</v>
      </c>
      <c r="T29" s="314">
        <f t="shared" si="21"/>
        <v>25685</v>
      </c>
      <c r="U29" s="314">
        <f t="shared" si="21"/>
        <v>27342</v>
      </c>
      <c r="V29" s="314">
        <f t="shared" si="21"/>
        <v>23307</v>
      </c>
      <c r="W29" s="29"/>
      <c r="X29" s="768">
        <f t="shared" si="4"/>
        <v>1657</v>
      </c>
      <c r="Y29" s="580"/>
      <c r="Z29" s="581"/>
      <c r="AA29" s="205"/>
      <c r="AB29" s="205"/>
    </row>
    <row r="30" spans="1:28" x14ac:dyDescent="0.2">
      <c r="A30" s="62"/>
      <c r="B30" s="8" t="s">
        <v>117</v>
      </c>
      <c r="C30" s="13">
        <v>1550</v>
      </c>
      <c r="D30" s="13">
        <v>1550</v>
      </c>
      <c r="E30" s="13">
        <f>1550-470</f>
        <v>1080</v>
      </c>
      <c r="F30" s="13">
        <f>1550-470</f>
        <v>1080</v>
      </c>
      <c r="G30" s="13">
        <v>1550</v>
      </c>
      <c r="H30" s="13">
        <v>125</v>
      </c>
      <c r="I30" s="13">
        <v>125</v>
      </c>
      <c r="J30" s="13">
        <v>125</v>
      </c>
      <c r="K30" s="13">
        <v>125</v>
      </c>
      <c r="L30" s="13">
        <v>125</v>
      </c>
      <c r="M30" s="502">
        <v>65</v>
      </c>
      <c r="N30" s="502">
        <v>65</v>
      </c>
      <c r="O30" s="502">
        <v>65</v>
      </c>
      <c r="P30" s="502">
        <v>65</v>
      </c>
      <c r="Q30" s="502">
        <v>65</v>
      </c>
      <c r="R30" s="314">
        <f t="shared" si="21"/>
        <v>1740</v>
      </c>
      <c r="S30" s="314">
        <f t="shared" si="21"/>
        <v>1740</v>
      </c>
      <c r="T30" s="314">
        <f t="shared" si="21"/>
        <v>1270</v>
      </c>
      <c r="U30" s="314">
        <f t="shared" si="21"/>
        <v>1270</v>
      </c>
      <c r="V30" s="314">
        <f t="shared" si="21"/>
        <v>1740</v>
      </c>
      <c r="W30" s="29"/>
      <c r="X30" s="768">
        <f t="shared" si="4"/>
        <v>0</v>
      </c>
      <c r="Y30" s="580"/>
      <c r="Z30" s="581"/>
      <c r="AA30" s="205"/>
      <c r="AB30" s="205"/>
    </row>
    <row r="31" spans="1:28" x14ac:dyDescent="0.2">
      <c r="A31" s="81" t="s">
        <v>219</v>
      </c>
      <c r="B31" s="115" t="s">
        <v>103</v>
      </c>
      <c r="C31" s="236">
        <f t="shared" ref="C31:M31" si="22">SUM(C29:C30)</f>
        <v>21050</v>
      </c>
      <c r="D31" s="236">
        <f t="shared" ref="D31:G31" si="23">SUM(D29:D30)</f>
        <v>21050</v>
      </c>
      <c r="E31" s="236">
        <f t="shared" si="23"/>
        <v>22958</v>
      </c>
      <c r="F31" s="236">
        <f t="shared" ref="F31" si="24">SUM(F29:F30)</f>
        <v>24458</v>
      </c>
      <c r="G31" s="236">
        <f t="shared" si="23"/>
        <v>21050</v>
      </c>
      <c r="H31" s="236">
        <f t="shared" si="22"/>
        <v>3325</v>
      </c>
      <c r="I31" s="236">
        <f t="shared" ref="I31:J31" si="25">SUM(I29:I30)</f>
        <v>3325</v>
      </c>
      <c r="J31" s="236">
        <f t="shared" si="25"/>
        <v>2527</v>
      </c>
      <c r="K31" s="236">
        <f t="shared" ref="K31:L31" si="26">SUM(K29:K30)</f>
        <v>2527</v>
      </c>
      <c r="L31" s="236">
        <f t="shared" si="26"/>
        <v>2527</v>
      </c>
      <c r="M31" s="236">
        <f t="shared" si="22"/>
        <v>1015</v>
      </c>
      <c r="N31" s="236">
        <f t="shared" ref="N31:O31" si="27">SUM(N29:N30)</f>
        <v>1015</v>
      </c>
      <c r="O31" s="236">
        <f t="shared" si="27"/>
        <v>1470</v>
      </c>
      <c r="P31" s="236">
        <f t="shared" ref="P31:Q31" si="28">SUM(P29:P30)</f>
        <v>1627</v>
      </c>
      <c r="Q31" s="236">
        <f t="shared" si="28"/>
        <v>1470</v>
      </c>
      <c r="R31" s="162">
        <f>SUM(R29:R30)</f>
        <v>25390</v>
      </c>
      <c r="S31" s="162">
        <f>SUM(S29:S30)</f>
        <v>25390</v>
      </c>
      <c r="T31" s="162">
        <f>SUM(T29:T30)</f>
        <v>26955</v>
      </c>
      <c r="U31" s="162">
        <f>SUM(U29:U30)</f>
        <v>28612</v>
      </c>
      <c r="V31" s="162">
        <f>SUM(V29:V30)</f>
        <v>25047</v>
      </c>
      <c r="W31" s="29"/>
      <c r="X31" s="768"/>
      <c r="Y31" s="580"/>
      <c r="Z31" s="581"/>
      <c r="AA31" s="205"/>
      <c r="AB31" s="205"/>
    </row>
    <row r="32" spans="1:28" x14ac:dyDescent="0.2">
      <c r="A32" s="81" t="s">
        <v>264</v>
      </c>
      <c r="B32" s="14" t="s">
        <v>286</v>
      </c>
      <c r="C32" s="5">
        <f t="shared" ref="C32:M32" si="29">SUM(C33:C41)</f>
        <v>4150</v>
      </c>
      <c r="D32" s="5">
        <f t="shared" ref="D32:G32" si="30">SUM(D33:D41)</f>
        <v>4040</v>
      </c>
      <c r="E32" s="5">
        <f t="shared" si="30"/>
        <v>4040</v>
      </c>
      <c r="F32" s="5">
        <f t="shared" ref="F32" si="31">SUM(F33:F41)</f>
        <v>6076</v>
      </c>
      <c r="G32" s="5">
        <f t="shared" si="30"/>
        <v>5150</v>
      </c>
      <c r="H32" s="5">
        <f t="shared" si="29"/>
        <v>0</v>
      </c>
      <c r="I32" s="5">
        <f t="shared" ref="I32:J32" si="32">SUM(I33:I41)</f>
        <v>0</v>
      </c>
      <c r="J32" s="5">
        <f t="shared" si="32"/>
        <v>0</v>
      </c>
      <c r="K32" s="5">
        <f t="shared" ref="K32:L32" si="33">SUM(K33:K41)</f>
        <v>20</v>
      </c>
      <c r="L32" s="5">
        <f t="shared" si="33"/>
        <v>0</v>
      </c>
      <c r="M32" s="5">
        <f t="shared" si="29"/>
        <v>110</v>
      </c>
      <c r="N32" s="5">
        <f t="shared" ref="N32:O32" si="34">SUM(N33:N41)</f>
        <v>510</v>
      </c>
      <c r="O32" s="5">
        <f t="shared" si="34"/>
        <v>280</v>
      </c>
      <c r="P32" s="5">
        <f t="shared" ref="P32:Q32" si="35">SUM(P33:P41)</f>
        <v>280</v>
      </c>
      <c r="Q32" s="5">
        <f t="shared" si="35"/>
        <v>280</v>
      </c>
      <c r="R32" s="313">
        <f>(H32+C32+M32)</f>
        <v>4260</v>
      </c>
      <c r="S32" s="313">
        <f>(I32+D32+N32)</f>
        <v>4550</v>
      </c>
      <c r="T32" s="313">
        <f>(J32+E32+O32)</f>
        <v>4320</v>
      </c>
      <c r="U32" s="313">
        <f>(K32+F32+P32)</f>
        <v>6376</v>
      </c>
      <c r="V32" s="313">
        <f>(L32+G32+Q32)</f>
        <v>5430</v>
      </c>
      <c r="W32" s="29"/>
      <c r="X32" s="768"/>
      <c r="Y32" s="205"/>
      <c r="Z32" s="581"/>
      <c r="AA32" s="205"/>
      <c r="AB32" s="205"/>
    </row>
    <row r="33" spans="1:28" x14ac:dyDescent="0.2">
      <c r="A33" s="62" t="s">
        <v>265</v>
      </c>
      <c r="B33" s="8" t="s">
        <v>333</v>
      </c>
      <c r="C33" s="13">
        <v>450</v>
      </c>
      <c r="D33" s="13">
        <f>450-100-200</f>
        <v>150</v>
      </c>
      <c r="E33" s="13">
        <f>450-100-200</f>
        <v>150</v>
      </c>
      <c r="F33" s="13">
        <f>450-100-200</f>
        <v>150</v>
      </c>
      <c r="G33" s="13">
        <v>450</v>
      </c>
      <c r="H33" s="13">
        <v>0</v>
      </c>
      <c r="I33" s="13">
        <v>0</v>
      </c>
      <c r="J33" s="13">
        <v>0</v>
      </c>
      <c r="K33" s="13">
        <v>20</v>
      </c>
      <c r="L33" s="13"/>
      <c r="M33" s="13"/>
      <c r="N33" s="13"/>
      <c r="O33" s="13"/>
      <c r="P33" s="13"/>
      <c r="Q33" s="13"/>
      <c r="R33" s="314">
        <f>C33+H33+M33</f>
        <v>450</v>
      </c>
      <c r="S33" s="314">
        <f>D33+I33+N33</f>
        <v>150</v>
      </c>
      <c r="T33" s="314">
        <f>E33+J33+O33</f>
        <v>150</v>
      </c>
      <c r="U33" s="314">
        <f>F33+K33+P33</f>
        <v>170</v>
      </c>
      <c r="V33" s="314">
        <f>G33+L33+Q33</f>
        <v>450</v>
      </c>
      <c r="W33" s="29"/>
      <c r="X33" s="768">
        <f t="shared" si="4"/>
        <v>20</v>
      </c>
      <c r="Y33" s="205"/>
      <c r="Z33" s="581"/>
      <c r="AA33" s="205"/>
      <c r="AB33" s="205"/>
    </row>
    <row r="34" spans="1:28" x14ac:dyDescent="0.2">
      <c r="A34" s="62" t="s">
        <v>266</v>
      </c>
      <c r="B34" s="8" t="s">
        <v>287</v>
      </c>
      <c r="C34" s="13">
        <v>0</v>
      </c>
      <c r="D34" s="13">
        <v>200</v>
      </c>
      <c r="E34" s="13">
        <v>200</v>
      </c>
      <c r="F34" s="13">
        <f>200</f>
        <v>200</v>
      </c>
      <c r="G34" s="13">
        <v>0</v>
      </c>
      <c r="H34" s="13"/>
      <c r="I34" s="13"/>
      <c r="J34" s="13"/>
      <c r="K34" s="13"/>
      <c r="L34" s="13"/>
      <c r="M34" s="13">
        <v>0</v>
      </c>
      <c r="N34" s="13">
        <v>0</v>
      </c>
      <c r="O34" s="13">
        <v>8</v>
      </c>
      <c r="P34" s="13">
        <v>8</v>
      </c>
      <c r="Q34" s="13">
        <v>8</v>
      </c>
      <c r="R34" s="314">
        <f t="shared" ref="R34:R41" si="36">C34+H34+M34</f>
        <v>0</v>
      </c>
      <c r="S34" s="314">
        <f t="shared" ref="S34:U42" si="37">D34+I34+N34</f>
        <v>200</v>
      </c>
      <c r="T34" s="314">
        <f t="shared" si="37"/>
        <v>208</v>
      </c>
      <c r="U34" s="314">
        <f t="shared" si="37"/>
        <v>208</v>
      </c>
      <c r="V34" s="314">
        <f t="shared" ref="V34:V42" si="38">G34+L34+Q34</f>
        <v>8</v>
      </c>
      <c r="W34" s="28"/>
      <c r="X34" s="768">
        <f t="shared" si="4"/>
        <v>0</v>
      </c>
      <c r="Y34" s="205"/>
      <c r="Z34" s="581"/>
      <c r="AA34" s="205"/>
      <c r="AB34" s="205"/>
    </row>
    <row r="35" spans="1:28" x14ac:dyDescent="0.2">
      <c r="A35" s="62"/>
      <c r="B35" s="8" t="s">
        <v>341</v>
      </c>
      <c r="C35" s="13">
        <v>1300</v>
      </c>
      <c r="D35" s="13">
        <v>1300</v>
      </c>
      <c r="E35" s="13">
        <v>1300</v>
      </c>
      <c r="F35" s="13">
        <f>1300+750</f>
        <v>2050</v>
      </c>
      <c r="G35" s="13">
        <v>1300</v>
      </c>
      <c r="H35" s="13"/>
      <c r="I35" s="13"/>
      <c r="J35" s="13"/>
      <c r="K35" s="13"/>
      <c r="L35" s="13"/>
      <c r="M35" s="13">
        <v>20</v>
      </c>
      <c r="N35" s="13">
        <v>20</v>
      </c>
      <c r="O35" s="13">
        <f>20-20</f>
        <v>0</v>
      </c>
      <c r="P35" s="13">
        <f>20-20</f>
        <v>0</v>
      </c>
      <c r="Q35" s="13">
        <f>20-20</f>
        <v>0</v>
      </c>
      <c r="R35" s="314">
        <f t="shared" si="36"/>
        <v>1320</v>
      </c>
      <c r="S35" s="314">
        <f t="shared" si="37"/>
        <v>1320</v>
      </c>
      <c r="T35" s="314">
        <f t="shared" si="37"/>
        <v>1300</v>
      </c>
      <c r="U35" s="314">
        <f t="shared" si="37"/>
        <v>2050</v>
      </c>
      <c r="V35" s="314">
        <f t="shared" si="38"/>
        <v>1300</v>
      </c>
      <c r="W35" s="28"/>
      <c r="X35" s="768">
        <f t="shared" si="4"/>
        <v>750</v>
      </c>
      <c r="Y35" s="205"/>
      <c r="Z35" s="581"/>
      <c r="AA35" s="205"/>
      <c r="AB35" s="205"/>
    </row>
    <row r="36" spans="1:28" x14ac:dyDescent="0.2">
      <c r="A36" s="62"/>
      <c r="B36" s="8" t="s">
        <v>464</v>
      </c>
      <c r="C36" s="13">
        <v>1500</v>
      </c>
      <c r="D36" s="13">
        <f>1500-500</f>
        <v>1000</v>
      </c>
      <c r="E36" s="13">
        <f>1500-500</f>
        <v>1000</v>
      </c>
      <c r="F36" s="13">
        <f>1500-500</f>
        <v>1000</v>
      </c>
      <c r="G36" s="13">
        <v>1500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/>
      <c r="N36" s="13"/>
      <c r="O36" s="13"/>
      <c r="P36" s="13"/>
      <c r="Q36" s="13"/>
      <c r="R36" s="314">
        <f t="shared" si="36"/>
        <v>1500</v>
      </c>
      <c r="S36" s="314">
        <f t="shared" si="37"/>
        <v>1000</v>
      </c>
      <c r="T36" s="314">
        <f t="shared" si="37"/>
        <v>1000</v>
      </c>
      <c r="U36" s="314">
        <f t="shared" si="37"/>
        <v>1000</v>
      </c>
      <c r="V36" s="314">
        <f t="shared" si="38"/>
        <v>1500</v>
      </c>
      <c r="W36" s="28"/>
      <c r="X36" s="768">
        <f t="shared" si="4"/>
        <v>0</v>
      </c>
      <c r="Y36" s="205"/>
      <c r="Z36" s="581"/>
      <c r="AA36" s="205"/>
      <c r="AB36" s="205"/>
    </row>
    <row r="37" spans="1:28" x14ac:dyDescent="0.2">
      <c r="A37" s="62"/>
      <c r="B37" s="8" t="s">
        <v>309</v>
      </c>
      <c r="C37" s="13">
        <v>400</v>
      </c>
      <c r="D37" s="13">
        <f>400-400</f>
        <v>0</v>
      </c>
      <c r="E37" s="13">
        <f>400-400</f>
        <v>0</v>
      </c>
      <c r="F37" s="13">
        <f>400-400+36</f>
        <v>36</v>
      </c>
      <c r="G37" s="13">
        <v>400</v>
      </c>
      <c r="H37" s="13"/>
      <c r="I37" s="13"/>
      <c r="J37" s="13"/>
      <c r="K37" s="13"/>
      <c r="L37" s="13"/>
      <c r="M37" s="13">
        <v>0</v>
      </c>
      <c r="N37" s="13">
        <v>400</v>
      </c>
      <c r="O37" s="13">
        <f>400-160</f>
        <v>240</v>
      </c>
      <c r="P37" s="13">
        <f>400-160</f>
        <v>240</v>
      </c>
      <c r="Q37" s="13">
        <f>400-160</f>
        <v>240</v>
      </c>
      <c r="R37" s="314">
        <f t="shared" si="36"/>
        <v>400</v>
      </c>
      <c r="S37" s="314">
        <f t="shared" si="37"/>
        <v>400</v>
      </c>
      <c r="T37" s="314">
        <f t="shared" si="37"/>
        <v>240</v>
      </c>
      <c r="U37" s="314">
        <f t="shared" si="37"/>
        <v>276</v>
      </c>
      <c r="V37" s="314">
        <f t="shared" si="38"/>
        <v>640</v>
      </c>
      <c r="W37" s="28"/>
      <c r="X37" s="768">
        <f t="shared" si="4"/>
        <v>36</v>
      </c>
      <c r="Z37" s="320"/>
    </row>
    <row r="38" spans="1:28" x14ac:dyDescent="0.2">
      <c r="A38" s="62"/>
      <c r="B38" s="8" t="s">
        <v>789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/>
      <c r="I38" s="13"/>
      <c r="J38" s="13"/>
      <c r="K38" s="13"/>
      <c r="L38" s="13"/>
      <c r="M38" s="13">
        <v>90</v>
      </c>
      <c r="N38" s="13">
        <v>90</v>
      </c>
      <c r="O38" s="13">
        <f>90-25-25-8</f>
        <v>32</v>
      </c>
      <c r="P38" s="13">
        <f>90-25-25-8</f>
        <v>32</v>
      </c>
      <c r="Q38" s="13">
        <f>90-25-25-8</f>
        <v>32</v>
      </c>
      <c r="R38" s="314">
        <f t="shared" si="36"/>
        <v>90</v>
      </c>
      <c r="S38" s="314">
        <f t="shared" si="37"/>
        <v>90</v>
      </c>
      <c r="T38" s="314">
        <f t="shared" si="37"/>
        <v>32</v>
      </c>
      <c r="U38" s="314">
        <f t="shared" si="37"/>
        <v>32</v>
      </c>
      <c r="V38" s="314">
        <f t="shared" si="38"/>
        <v>32</v>
      </c>
      <c r="W38" s="28"/>
      <c r="X38" s="768">
        <f t="shared" si="4"/>
        <v>0</v>
      </c>
      <c r="Z38" s="320"/>
    </row>
    <row r="39" spans="1:28" x14ac:dyDescent="0.2">
      <c r="A39" s="62"/>
      <c r="B39" s="8" t="s">
        <v>310</v>
      </c>
      <c r="C39" s="13">
        <v>500</v>
      </c>
      <c r="D39" s="13">
        <f>500+500</f>
        <v>1000</v>
      </c>
      <c r="E39" s="13">
        <f>500+500</f>
        <v>1000</v>
      </c>
      <c r="F39" s="13">
        <f>500+500+500</f>
        <v>1500</v>
      </c>
      <c r="G39" s="13">
        <v>500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314">
        <f t="shared" ref="R39:R40" si="39">C39+H39+M39</f>
        <v>500</v>
      </c>
      <c r="S39" s="314">
        <f t="shared" ref="S39:U40" si="40">D39+I39+N39</f>
        <v>1000</v>
      </c>
      <c r="T39" s="314">
        <f t="shared" si="40"/>
        <v>1000</v>
      </c>
      <c r="U39" s="314">
        <f t="shared" si="40"/>
        <v>1500</v>
      </c>
      <c r="V39" s="314"/>
      <c r="W39" s="28"/>
      <c r="X39" s="768">
        <f t="shared" si="4"/>
        <v>500</v>
      </c>
      <c r="Z39" s="320"/>
    </row>
    <row r="40" spans="1:28" x14ac:dyDescent="0.2">
      <c r="A40" s="62"/>
      <c r="B40" s="8" t="s">
        <v>1284</v>
      </c>
      <c r="C40" s="13">
        <v>0</v>
      </c>
      <c r="D40" s="13">
        <v>390</v>
      </c>
      <c r="E40" s="13">
        <v>390</v>
      </c>
      <c r="F40" s="13">
        <v>390</v>
      </c>
      <c r="G40" s="13">
        <v>500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314">
        <f t="shared" si="39"/>
        <v>0</v>
      </c>
      <c r="S40" s="314">
        <f t="shared" si="40"/>
        <v>390</v>
      </c>
      <c r="T40" s="314">
        <f t="shared" si="40"/>
        <v>390</v>
      </c>
      <c r="U40" s="314">
        <f t="shared" si="40"/>
        <v>390</v>
      </c>
      <c r="V40" s="314"/>
      <c r="W40" s="28"/>
      <c r="X40" s="768">
        <f t="shared" si="4"/>
        <v>0</v>
      </c>
      <c r="Z40" s="320"/>
    </row>
    <row r="41" spans="1:28" x14ac:dyDescent="0.2">
      <c r="A41" s="62"/>
      <c r="B41" s="8" t="s">
        <v>1419</v>
      </c>
      <c r="C41" s="13">
        <v>0</v>
      </c>
      <c r="D41" s="13">
        <v>0</v>
      </c>
      <c r="E41" s="13">
        <v>0</v>
      </c>
      <c r="F41" s="13">
        <v>750</v>
      </c>
      <c r="G41" s="13">
        <v>500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314">
        <f t="shared" si="36"/>
        <v>0</v>
      </c>
      <c r="S41" s="314">
        <f t="shared" si="37"/>
        <v>0</v>
      </c>
      <c r="T41" s="314">
        <f t="shared" si="37"/>
        <v>0</v>
      </c>
      <c r="U41" s="314">
        <f t="shared" si="37"/>
        <v>750</v>
      </c>
      <c r="V41" s="314">
        <f t="shared" si="38"/>
        <v>500</v>
      </c>
      <c r="W41" s="28"/>
      <c r="X41" s="768">
        <f t="shared" si="4"/>
        <v>750</v>
      </c>
      <c r="Z41" s="320"/>
    </row>
    <row r="42" spans="1:28" x14ac:dyDescent="0.2">
      <c r="A42" s="81" t="s">
        <v>267</v>
      </c>
      <c r="B42" s="14" t="s">
        <v>288</v>
      </c>
      <c r="C42" s="5">
        <f>SUM(C43:C49)</f>
        <v>1955</v>
      </c>
      <c r="D42" s="5">
        <f>SUM(D43:D49)</f>
        <v>1605</v>
      </c>
      <c r="E42" s="5">
        <f>SUM(E43:E49)</f>
        <v>1605</v>
      </c>
      <c r="F42" s="5">
        <f>SUM(F43:F49)</f>
        <v>1605</v>
      </c>
      <c r="G42" s="5">
        <f>SUM(G43:G49)</f>
        <v>1955</v>
      </c>
      <c r="H42" s="5">
        <f t="shared" ref="H42:M42" si="41">SUM(H43:H47)</f>
        <v>0</v>
      </c>
      <c r="I42" s="5">
        <f t="shared" ref="I42" si="42">SUM(I43:I47)</f>
        <v>0</v>
      </c>
      <c r="J42" s="5">
        <f t="shared" ref="J42:K42" si="43">SUM(J43:J47)</f>
        <v>0</v>
      </c>
      <c r="K42" s="5">
        <f t="shared" si="43"/>
        <v>0</v>
      </c>
      <c r="L42" s="5">
        <f t="shared" ref="L42" si="44">SUM(L43:L47)</f>
        <v>0</v>
      </c>
      <c r="M42" s="5">
        <f t="shared" si="41"/>
        <v>60</v>
      </c>
      <c r="N42" s="5">
        <f t="shared" ref="N42" si="45">SUM(N43:N47)</f>
        <v>60</v>
      </c>
      <c r="O42" s="5">
        <f t="shared" ref="O42:P42" si="46">SUM(O43:O47)</f>
        <v>0</v>
      </c>
      <c r="P42" s="5">
        <f t="shared" si="46"/>
        <v>0</v>
      </c>
      <c r="Q42" s="5">
        <f t="shared" ref="Q42" si="47">SUM(Q43:Q47)</f>
        <v>0</v>
      </c>
      <c r="R42" s="313">
        <f>C42+H42+M42</f>
        <v>2015</v>
      </c>
      <c r="S42" s="313">
        <f t="shared" si="37"/>
        <v>1665</v>
      </c>
      <c r="T42" s="313">
        <f t="shared" si="37"/>
        <v>1605</v>
      </c>
      <c r="U42" s="313">
        <f t="shared" si="37"/>
        <v>1605</v>
      </c>
      <c r="V42" s="313">
        <f t="shared" si="38"/>
        <v>1955</v>
      </c>
      <c r="W42" s="29"/>
      <c r="X42" s="768">
        <f t="shared" si="4"/>
        <v>0</v>
      </c>
      <c r="Z42" s="320"/>
    </row>
    <row r="43" spans="1:28" x14ac:dyDescent="0.2">
      <c r="A43" s="62" t="s">
        <v>268</v>
      </c>
      <c r="B43" s="8" t="s">
        <v>289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502"/>
      <c r="N43" s="502"/>
      <c r="O43" s="502"/>
      <c r="P43" s="502"/>
      <c r="Q43" s="502"/>
      <c r="R43" s="314">
        <f>C43+H43+M43</f>
        <v>0</v>
      </c>
      <c r="S43" s="314">
        <f t="shared" ref="S43:V46" si="48">D43+I43+N43</f>
        <v>0</v>
      </c>
      <c r="T43" s="314">
        <f t="shared" si="48"/>
        <v>0</v>
      </c>
      <c r="U43" s="314">
        <f t="shared" si="48"/>
        <v>0</v>
      </c>
      <c r="V43" s="314">
        <f t="shared" si="48"/>
        <v>0</v>
      </c>
      <c r="W43" s="28"/>
      <c r="X43" s="768">
        <f t="shared" si="4"/>
        <v>0</v>
      </c>
      <c r="Z43" s="320"/>
    </row>
    <row r="44" spans="1:28" x14ac:dyDescent="0.2">
      <c r="A44" s="62"/>
      <c r="B44" s="8" t="s">
        <v>1288</v>
      </c>
      <c r="C44" s="13">
        <v>200</v>
      </c>
      <c r="D44" s="13">
        <f>200-16</f>
        <v>184</v>
      </c>
      <c r="E44" s="13">
        <f>200-16</f>
        <v>184</v>
      </c>
      <c r="F44" s="13">
        <f>200-16</f>
        <v>184</v>
      </c>
      <c r="G44" s="13">
        <v>200</v>
      </c>
      <c r="H44" s="13"/>
      <c r="I44" s="13"/>
      <c r="J44" s="13"/>
      <c r="K44" s="13"/>
      <c r="L44" s="13"/>
      <c r="M44" s="502"/>
      <c r="N44" s="502"/>
      <c r="O44" s="502"/>
      <c r="P44" s="502"/>
      <c r="Q44" s="502"/>
      <c r="R44" s="314">
        <f>C44+H44+M44</f>
        <v>200</v>
      </c>
      <c r="S44" s="314">
        <f t="shared" si="48"/>
        <v>184</v>
      </c>
      <c r="T44" s="314">
        <f t="shared" si="48"/>
        <v>184</v>
      </c>
      <c r="U44" s="314">
        <f t="shared" si="48"/>
        <v>184</v>
      </c>
      <c r="V44" s="314">
        <f t="shared" si="48"/>
        <v>200</v>
      </c>
      <c r="W44" s="28"/>
      <c r="X44" s="768">
        <f t="shared" si="4"/>
        <v>0</v>
      </c>
      <c r="Z44" s="320"/>
    </row>
    <row r="45" spans="1:28" x14ac:dyDescent="0.2">
      <c r="A45" s="62"/>
      <c r="B45" s="8" t="s">
        <v>1289</v>
      </c>
      <c r="C45" s="13">
        <v>315</v>
      </c>
      <c r="D45" s="13">
        <f>315+16</f>
        <v>331</v>
      </c>
      <c r="E45" s="13">
        <f>315+16</f>
        <v>331</v>
      </c>
      <c r="F45" s="13">
        <f>315+16</f>
        <v>331</v>
      </c>
      <c r="G45" s="13">
        <v>315</v>
      </c>
      <c r="H45" s="13"/>
      <c r="I45" s="13"/>
      <c r="J45" s="13"/>
      <c r="K45" s="13"/>
      <c r="L45" s="13"/>
      <c r="M45" s="502"/>
      <c r="N45" s="502"/>
      <c r="O45" s="502"/>
      <c r="P45" s="502"/>
      <c r="Q45" s="502"/>
      <c r="R45" s="314">
        <f>C45+H45+M45</f>
        <v>315</v>
      </c>
      <c r="S45" s="314">
        <f t="shared" ref="S45:U45" si="49">D45+I45+N45</f>
        <v>331</v>
      </c>
      <c r="T45" s="314">
        <f t="shared" si="49"/>
        <v>331</v>
      </c>
      <c r="U45" s="314">
        <f t="shared" si="49"/>
        <v>331</v>
      </c>
      <c r="V45" s="314"/>
      <c r="W45" s="28"/>
      <c r="X45" s="768">
        <f t="shared" si="4"/>
        <v>0</v>
      </c>
      <c r="Z45" s="320"/>
    </row>
    <row r="46" spans="1:28" x14ac:dyDescent="0.2">
      <c r="A46" s="62"/>
      <c r="B46" s="8" t="s">
        <v>1290</v>
      </c>
      <c r="C46" s="13">
        <v>590</v>
      </c>
      <c r="D46" s="13">
        <f>590-350</f>
        <v>240</v>
      </c>
      <c r="E46" s="13">
        <f>590-350</f>
        <v>240</v>
      </c>
      <c r="F46" s="13">
        <f>590-350</f>
        <v>240</v>
      </c>
      <c r="G46" s="13">
        <v>590</v>
      </c>
      <c r="H46" s="13"/>
      <c r="I46" s="13"/>
      <c r="J46" s="13"/>
      <c r="K46" s="13"/>
      <c r="L46" s="13"/>
      <c r="M46" s="502"/>
      <c r="N46" s="502"/>
      <c r="O46" s="502"/>
      <c r="P46" s="502"/>
      <c r="Q46" s="502"/>
      <c r="R46" s="314">
        <f>C46+H46+M46</f>
        <v>590</v>
      </c>
      <c r="S46" s="314">
        <f t="shared" si="48"/>
        <v>240</v>
      </c>
      <c r="T46" s="314">
        <f t="shared" si="48"/>
        <v>240</v>
      </c>
      <c r="U46" s="314">
        <f t="shared" si="48"/>
        <v>240</v>
      </c>
      <c r="V46" s="314">
        <f t="shared" si="48"/>
        <v>590</v>
      </c>
      <c r="W46" s="28"/>
      <c r="X46" s="768">
        <f t="shared" si="4"/>
        <v>0</v>
      </c>
      <c r="Z46" s="320"/>
    </row>
    <row r="47" spans="1:28" x14ac:dyDescent="0.2">
      <c r="A47" s="62" t="s">
        <v>269</v>
      </c>
      <c r="B47" s="8" t="s">
        <v>917</v>
      </c>
      <c r="C47" s="13">
        <f>1100-250</f>
        <v>850</v>
      </c>
      <c r="D47" s="13">
        <f>1100-250</f>
        <v>850</v>
      </c>
      <c r="E47" s="13">
        <f>1100-250</f>
        <v>850</v>
      </c>
      <c r="F47" s="13">
        <f>1100-250</f>
        <v>850</v>
      </c>
      <c r="G47" s="13">
        <f>1100-250</f>
        <v>850</v>
      </c>
      <c r="H47" s="13"/>
      <c r="I47" s="13"/>
      <c r="J47" s="13"/>
      <c r="K47" s="13"/>
      <c r="L47" s="13"/>
      <c r="M47" s="502">
        <v>60</v>
      </c>
      <c r="N47" s="502">
        <v>60</v>
      </c>
      <c r="O47" s="502">
        <f>60-60</f>
        <v>0</v>
      </c>
      <c r="P47" s="502">
        <f>60-60</f>
        <v>0</v>
      </c>
      <c r="Q47" s="502">
        <f>60-60</f>
        <v>0</v>
      </c>
      <c r="R47" s="314">
        <f t="shared" ref="R47:R57" si="50">C47+H47+M47</f>
        <v>910</v>
      </c>
      <c r="S47" s="314">
        <f t="shared" ref="S47:U57" si="51">D47+I47+N47</f>
        <v>910</v>
      </c>
      <c r="T47" s="314">
        <f t="shared" si="51"/>
        <v>850</v>
      </c>
      <c r="U47" s="314">
        <f t="shared" si="51"/>
        <v>850</v>
      </c>
      <c r="V47" s="314">
        <f t="shared" ref="V47:V57" si="52">G47+L47+Q47</f>
        <v>850</v>
      </c>
      <c r="W47" s="28"/>
      <c r="X47" s="768">
        <f t="shared" si="4"/>
        <v>0</v>
      </c>
      <c r="Z47" s="320"/>
    </row>
    <row r="48" spans="1:28" hidden="1" x14ac:dyDescent="0.2">
      <c r="A48" s="62"/>
      <c r="B48" s="8" t="s">
        <v>331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502"/>
      <c r="N48" s="502"/>
      <c r="O48" s="502"/>
      <c r="P48" s="502"/>
      <c r="Q48" s="502"/>
      <c r="R48" s="314">
        <f t="shared" si="50"/>
        <v>0</v>
      </c>
      <c r="S48" s="314">
        <f t="shared" si="51"/>
        <v>0</v>
      </c>
      <c r="T48" s="314">
        <f t="shared" si="51"/>
        <v>0</v>
      </c>
      <c r="U48" s="314">
        <f t="shared" si="51"/>
        <v>0</v>
      </c>
      <c r="V48" s="314">
        <f t="shared" si="52"/>
        <v>0</v>
      </c>
      <c r="W48" s="28"/>
      <c r="X48" s="768">
        <f t="shared" si="4"/>
        <v>0</v>
      </c>
      <c r="Z48" s="320"/>
    </row>
    <row r="49" spans="1:26" hidden="1" x14ac:dyDescent="0.2">
      <c r="A49" s="62"/>
      <c r="B49" s="8" t="s">
        <v>332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502"/>
      <c r="N49" s="502"/>
      <c r="O49" s="502"/>
      <c r="P49" s="502"/>
      <c r="Q49" s="502"/>
      <c r="R49" s="314">
        <f t="shared" si="50"/>
        <v>0</v>
      </c>
      <c r="S49" s="314">
        <f t="shared" si="51"/>
        <v>0</v>
      </c>
      <c r="T49" s="314">
        <f t="shared" si="51"/>
        <v>0</v>
      </c>
      <c r="U49" s="314">
        <f t="shared" si="51"/>
        <v>0</v>
      </c>
      <c r="V49" s="314">
        <f t="shared" si="52"/>
        <v>0</v>
      </c>
      <c r="W49" s="28"/>
      <c r="X49" s="768">
        <f t="shared" si="4"/>
        <v>0</v>
      </c>
      <c r="Z49" s="320"/>
    </row>
    <row r="50" spans="1:26" x14ac:dyDescent="0.2">
      <c r="A50" s="81" t="s">
        <v>270</v>
      </c>
      <c r="B50" s="14" t="s">
        <v>290</v>
      </c>
      <c r="C50" s="5">
        <f t="shared" ref="C50:M50" si="53">SUM(C51:C68)</f>
        <v>11590</v>
      </c>
      <c r="D50" s="5">
        <f t="shared" ref="D50:G50" si="54">SUM(D51:D68)</f>
        <v>11119</v>
      </c>
      <c r="E50" s="5">
        <f t="shared" ref="E50:F50" si="55">SUM(E51:E68)</f>
        <v>13702</v>
      </c>
      <c r="F50" s="5">
        <f t="shared" si="55"/>
        <v>15817</v>
      </c>
      <c r="G50" s="5">
        <f t="shared" si="54"/>
        <v>11590</v>
      </c>
      <c r="H50" s="5">
        <f t="shared" si="53"/>
        <v>890</v>
      </c>
      <c r="I50" s="5">
        <f t="shared" ref="I50" si="56">SUM(I51:I68)</f>
        <v>668</v>
      </c>
      <c r="J50" s="5">
        <f t="shared" ref="J50:K50" si="57">SUM(J51:J68)</f>
        <v>668</v>
      </c>
      <c r="K50" s="5">
        <f t="shared" si="57"/>
        <v>727</v>
      </c>
      <c r="L50" s="5">
        <f t="shared" ref="L50" si="58">SUM(L51:L68)</f>
        <v>668</v>
      </c>
      <c r="M50" s="5">
        <f t="shared" si="53"/>
        <v>20</v>
      </c>
      <c r="N50" s="5">
        <f t="shared" ref="N50" si="59">SUM(N51:N68)</f>
        <v>113</v>
      </c>
      <c r="O50" s="5">
        <f t="shared" ref="O50:P50" si="60">SUM(O51:O68)</f>
        <v>0</v>
      </c>
      <c r="P50" s="5">
        <f t="shared" si="60"/>
        <v>0</v>
      </c>
      <c r="Q50" s="5">
        <f t="shared" ref="Q50" si="61">SUM(Q51:Q68)</f>
        <v>0</v>
      </c>
      <c r="R50" s="313">
        <f t="shared" si="50"/>
        <v>12500</v>
      </c>
      <c r="S50" s="313">
        <f t="shared" si="51"/>
        <v>11900</v>
      </c>
      <c r="T50" s="313">
        <f t="shared" si="51"/>
        <v>14370</v>
      </c>
      <c r="U50" s="313">
        <f t="shared" si="51"/>
        <v>16544</v>
      </c>
      <c r="V50" s="313">
        <f t="shared" si="52"/>
        <v>12258</v>
      </c>
      <c r="W50" s="29"/>
      <c r="X50" s="768"/>
      <c r="Z50" s="320"/>
    </row>
    <row r="51" spans="1:26" x14ac:dyDescent="0.2">
      <c r="A51" s="62" t="s">
        <v>271</v>
      </c>
      <c r="B51" s="8" t="s">
        <v>307</v>
      </c>
      <c r="C51" s="13">
        <v>600</v>
      </c>
      <c r="D51" s="13">
        <f>600-600</f>
        <v>0</v>
      </c>
      <c r="E51" s="13">
        <f>600-600</f>
        <v>0</v>
      </c>
      <c r="F51" s="13">
        <f>600-600</f>
        <v>0</v>
      </c>
      <c r="G51" s="13">
        <v>600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314">
        <f t="shared" si="50"/>
        <v>600</v>
      </c>
      <c r="S51" s="314">
        <f t="shared" si="51"/>
        <v>0</v>
      </c>
      <c r="T51" s="314">
        <f t="shared" si="51"/>
        <v>0</v>
      </c>
      <c r="U51" s="314">
        <f t="shared" si="51"/>
        <v>0</v>
      </c>
      <c r="V51" s="314">
        <f t="shared" si="52"/>
        <v>600</v>
      </c>
      <c r="W51" s="28"/>
      <c r="X51" s="768">
        <f t="shared" si="4"/>
        <v>0</v>
      </c>
      <c r="Z51" s="320"/>
    </row>
    <row r="52" spans="1:26" hidden="1" x14ac:dyDescent="0.2">
      <c r="A52" s="62" t="s">
        <v>321</v>
      </c>
      <c r="B52" s="8" t="s">
        <v>322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314">
        <f t="shared" si="50"/>
        <v>0</v>
      </c>
      <c r="S52" s="314">
        <f t="shared" si="51"/>
        <v>0</v>
      </c>
      <c r="T52" s="314">
        <f t="shared" si="51"/>
        <v>0</v>
      </c>
      <c r="U52" s="314">
        <f t="shared" si="51"/>
        <v>0</v>
      </c>
      <c r="V52" s="314">
        <f t="shared" si="52"/>
        <v>0</v>
      </c>
      <c r="W52" s="28"/>
      <c r="X52" s="768">
        <f t="shared" si="4"/>
        <v>0</v>
      </c>
      <c r="Z52" s="320"/>
    </row>
    <row r="53" spans="1:26" x14ac:dyDescent="0.2">
      <c r="A53" s="62" t="s">
        <v>272</v>
      </c>
      <c r="B53" s="8" t="s">
        <v>342</v>
      </c>
      <c r="C53" s="11">
        <v>20</v>
      </c>
      <c r="D53" s="11">
        <v>20</v>
      </c>
      <c r="E53" s="11">
        <v>20</v>
      </c>
      <c r="F53" s="11">
        <v>20</v>
      </c>
      <c r="G53" s="11">
        <v>20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314">
        <f t="shared" si="50"/>
        <v>20</v>
      </c>
      <c r="S53" s="314">
        <f t="shared" si="51"/>
        <v>20</v>
      </c>
      <c r="T53" s="314">
        <f t="shared" si="51"/>
        <v>20</v>
      </c>
      <c r="U53" s="314">
        <f t="shared" si="51"/>
        <v>20</v>
      </c>
      <c r="V53" s="314">
        <f t="shared" si="52"/>
        <v>20</v>
      </c>
      <c r="W53" s="28"/>
      <c r="X53" s="768">
        <f t="shared" si="4"/>
        <v>0</v>
      </c>
      <c r="Z53" s="320"/>
    </row>
    <row r="54" spans="1:26" x14ac:dyDescent="0.2">
      <c r="A54" s="62" t="s">
        <v>273</v>
      </c>
      <c r="B54" s="8" t="s">
        <v>305</v>
      </c>
      <c r="C54" s="11"/>
      <c r="D54" s="11"/>
      <c r="E54" s="11"/>
      <c r="F54" s="11"/>
      <c r="G54" s="11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314">
        <f t="shared" si="50"/>
        <v>0</v>
      </c>
      <c r="S54" s="314">
        <f t="shared" si="51"/>
        <v>0</v>
      </c>
      <c r="T54" s="314">
        <f t="shared" si="51"/>
        <v>0</v>
      </c>
      <c r="U54" s="314">
        <f t="shared" si="51"/>
        <v>0</v>
      </c>
      <c r="V54" s="314">
        <f t="shared" si="52"/>
        <v>0</v>
      </c>
      <c r="W54" s="28"/>
      <c r="X54" s="768">
        <f t="shared" si="4"/>
        <v>0</v>
      </c>
      <c r="Z54" s="320"/>
    </row>
    <row r="55" spans="1:26" x14ac:dyDescent="0.2">
      <c r="A55" s="62"/>
      <c r="B55" s="8" t="s">
        <v>480</v>
      </c>
      <c r="C55" s="11">
        <v>360</v>
      </c>
      <c r="D55" s="11">
        <f>360+127</f>
        <v>487</v>
      </c>
      <c r="E55" s="11">
        <f>360+127</f>
        <v>487</v>
      </c>
      <c r="F55" s="11">
        <f>360+127</f>
        <v>487</v>
      </c>
      <c r="G55" s="11">
        <v>360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314">
        <f t="shared" si="50"/>
        <v>360</v>
      </c>
      <c r="S55" s="314">
        <f t="shared" si="51"/>
        <v>487</v>
      </c>
      <c r="T55" s="314">
        <f t="shared" si="51"/>
        <v>487</v>
      </c>
      <c r="U55" s="314">
        <f t="shared" si="51"/>
        <v>487</v>
      </c>
      <c r="V55" s="314">
        <f t="shared" si="52"/>
        <v>360</v>
      </c>
      <c r="W55" s="28"/>
      <c r="X55" s="768">
        <f t="shared" si="4"/>
        <v>0</v>
      </c>
      <c r="Z55" s="320"/>
    </row>
    <row r="56" spans="1:26" x14ac:dyDescent="0.2">
      <c r="A56" s="62"/>
      <c r="B56" s="8" t="s">
        <v>1287</v>
      </c>
      <c r="C56" s="11">
        <v>800</v>
      </c>
      <c r="D56" s="11">
        <f>800-100</f>
        <v>700</v>
      </c>
      <c r="E56" s="11">
        <f>800-100+25+20+60+95</f>
        <v>900</v>
      </c>
      <c r="F56" s="11">
        <f>800-100+25+20+60+95</f>
        <v>900</v>
      </c>
      <c r="G56" s="11">
        <v>800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314">
        <f t="shared" si="50"/>
        <v>800</v>
      </c>
      <c r="S56" s="314">
        <f t="shared" si="51"/>
        <v>700</v>
      </c>
      <c r="T56" s="314">
        <f t="shared" si="51"/>
        <v>900</v>
      </c>
      <c r="U56" s="314">
        <f t="shared" si="51"/>
        <v>900</v>
      </c>
      <c r="V56" s="314">
        <f t="shared" si="52"/>
        <v>800</v>
      </c>
      <c r="W56" s="28"/>
      <c r="X56" s="768">
        <f t="shared" si="4"/>
        <v>0</v>
      </c>
      <c r="Z56" s="320"/>
    </row>
    <row r="57" spans="1:26" x14ac:dyDescent="0.2">
      <c r="A57" s="62"/>
      <c r="B57" s="8" t="s">
        <v>481</v>
      </c>
      <c r="C57" s="11">
        <v>300</v>
      </c>
      <c r="D57" s="11">
        <f>300-27</f>
        <v>273</v>
      </c>
      <c r="E57" s="11">
        <f>300-27</f>
        <v>273</v>
      </c>
      <c r="F57" s="11">
        <f>300-27</f>
        <v>273</v>
      </c>
      <c r="G57" s="11">
        <v>300</v>
      </c>
      <c r="H57" s="13"/>
      <c r="I57" s="13"/>
      <c r="J57" s="13"/>
      <c r="K57" s="13"/>
      <c r="L57" s="13"/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314">
        <f t="shared" si="50"/>
        <v>300</v>
      </c>
      <c r="S57" s="314">
        <f t="shared" si="51"/>
        <v>273</v>
      </c>
      <c r="T57" s="314">
        <f t="shared" si="51"/>
        <v>273</v>
      </c>
      <c r="U57" s="314">
        <f t="shared" si="51"/>
        <v>273</v>
      </c>
      <c r="V57" s="314">
        <f t="shared" si="52"/>
        <v>300</v>
      </c>
      <c r="W57" s="28"/>
      <c r="X57" s="768">
        <f t="shared" si="4"/>
        <v>0</v>
      </c>
      <c r="Z57" s="320"/>
    </row>
    <row r="58" spans="1:26" x14ac:dyDescent="0.2">
      <c r="A58" s="62" t="s">
        <v>274</v>
      </c>
      <c r="B58" s="8" t="s">
        <v>304</v>
      </c>
      <c r="C58" s="11"/>
      <c r="D58" s="11"/>
      <c r="E58" s="11"/>
      <c r="F58" s="11"/>
      <c r="G58" s="11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314">
        <f t="shared" ref="R58:R69" si="62">C58+H58+M58</f>
        <v>0</v>
      </c>
      <c r="S58" s="314">
        <f t="shared" ref="S58:U69" si="63">D58+I58+N58</f>
        <v>0</v>
      </c>
      <c r="T58" s="314">
        <f t="shared" si="63"/>
        <v>0</v>
      </c>
      <c r="U58" s="314">
        <f t="shared" si="63"/>
        <v>0</v>
      </c>
      <c r="V58" s="314">
        <f t="shared" ref="V58:V69" si="64">G58+L58+Q58</f>
        <v>0</v>
      </c>
      <c r="W58" s="28"/>
      <c r="X58" s="768">
        <f t="shared" si="4"/>
        <v>0</v>
      </c>
      <c r="Z58" s="320"/>
    </row>
    <row r="59" spans="1:26" x14ac:dyDescent="0.2">
      <c r="A59" s="62" t="s">
        <v>275</v>
      </c>
      <c r="B59" s="8" t="s">
        <v>303</v>
      </c>
      <c r="C59" s="11"/>
      <c r="D59" s="11"/>
      <c r="E59" s="11"/>
      <c r="F59" s="11"/>
      <c r="G59" s="11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314">
        <f t="shared" si="62"/>
        <v>0</v>
      </c>
      <c r="S59" s="314">
        <f t="shared" si="63"/>
        <v>0</v>
      </c>
      <c r="T59" s="314">
        <f t="shared" si="63"/>
        <v>0</v>
      </c>
      <c r="U59" s="314">
        <f t="shared" si="63"/>
        <v>0</v>
      </c>
      <c r="V59" s="314">
        <f t="shared" si="64"/>
        <v>0</v>
      </c>
      <c r="W59" s="28"/>
      <c r="X59" s="768">
        <f t="shared" si="4"/>
        <v>0</v>
      </c>
      <c r="Z59" s="320"/>
    </row>
    <row r="60" spans="1:26" x14ac:dyDescent="0.2">
      <c r="A60" s="62"/>
      <c r="B60" s="8" t="s">
        <v>327</v>
      </c>
      <c r="C60" s="11">
        <v>1400</v>
      </c>
      <c r="D60" s="11">
        <f>1400-1400</f>
        <v>0</v>
      </c>
      <c r="E60" s="11">
        <f>1400-1400</f>
        <v>0</v>
      </c>
      <c r="F60" s="11">
        <f>1400-1400</f>
        <v>0</v>
      </c>
      <c r="G60" s="11">
        <v>1400</v>
      </c>
      <c r="H60" s="13">
        <v>100</v>
      </c>
      <c r="I60" s="13">
        <f>100-100</f>
        <v>0</v>
      </c>
      <c r="J60" s="13">
        <f>100-100</f>
        <v>0</v>
      </c>
      <c r="K60" s="13">
        <f>100-100+59</f>
        <v>59</v>
      </c>
      <c r="L60" s="13">
        <f>100-100</f>
        <v>0</v>
      </c>
      <c r="M60" s="13"/>
      <c r="N60" s="13"/>
      <c r="O60" s="13"/>
      <c r="P60" s="13"/>
      <c r="Q60" s="13"/>
      <c r="R60" s="314">
        <f t="shared" si="62"/>
        <v>1500</v>
      </c>
      <c r="S60" s="314">
        <f t="shared" si="63"/>
        <v>0</v>
      </c>
      <c r="T60" s="314">
        <f t="shared" si="63"/>
        <v>0</v>
      </c>
      <c r="U60" s="314">
        <f t="shared" si="63"/>
        <v>59</v>
      </c>
      <c r="V60" s="314">
        <f t="shared" si="64"/>
        <v>1400</v>
      </c>
      <c r="W60" s="28"/>
      <c r="X60" s="768">
        <f t="shared" si="4"/>
        <v>59</v>
      </c>
      <c r="Z60" s="320"/>
    </row>
    <row r="61" spans="1:26" x14ac:dyDescent="0.2">
      <c r="A61" s="62"/>
      <c r="B61" s="8" t="s">
        <v>338</v>
      </c>
      <c r="C61" s="11">
        <v>2220</v>
      </c>
      <c r="D61" s="11">
        <v>2220</v>
      </c>
      <c r="E61" s="11">
        <f>2220+185</f>
        <v>2405</v>
      </c>
      <c r="F61" s="11">
        <f>2220+185</f>
        <v>2405</v>
      </c>
      <c r="G61" s="11">
        <v>2220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314">
        <f t="shared" si="62"/>
        <v>2220</v>
      </c>
      <c r="S61" s="314">
        <f t="shared" si="63"/>
        <v>2220</v>
      </c>
      <c r="T61" s="314">
        <f t="shared" si="63"/>
        <v>2405</v>
      </c>
      <c r="U61" s="314">
        <f t="shared" si="63"/>
        <v>2405</v>
      </c>
      <c r="V61" s="314">
        <f t="shared" si="64"/>
        <v>2220</v>
      </c>
      <c r="W61" s="28"/>
      <c r="X61" s="768">
        <f t="shared" si="4"/>
        <v>0</v>
      </c>
      <c r="Z61" s="320"/>
    </row>
    <row r="62" spans="1:26" x14ac:dyDescent="0.2">
      <c r="A62" s="62"/>
      <c r="B62" s="8" t="s">
        <v>486</v>
      </c>
      <c r="C62" s="11">
        <v>340</v>
      </c>
      <c r="D62" s="11">
        <f>340+40+7</f>
        <v>387</v>
      </c>
      <c r="E62" s="11">
        <f>340+40+7+25+13</f>
        <v>425</v>
      </c>
      <c r="F62" s="11">
        <f>340+40+7+25+13</f>
        <v>425</v>
      </c>
      <c r="G62" s="11">
        <v>340</v>
      </c>
      <c r="H62" s="13">
        <v>40</v>
      </c>
      <c r="I62" s="13">
        <f>40-40</f>
        <v>0</v>
      </c>
      <c r="J62" s="13">
        <f>40-40</f>
        <v>0</v>
      </c>
      <c r="K62" s="13">
        <f>40-40</f>
        <v>0</v>
      </c>
      <c r="L62" s="13">
        <f>40-40</f>
        <v>0</v>
      </c>
      <c r="M62" s="13">
        <v>20</v>
      </c>
      <c r="N62" s="13">
        <f>20-7</f>
        <v>13</v>
      </c>
      <c r="O62" s="13">
        <f>20-7-13</f>
        <v>0</v>
      </c>
      <c r="P62" s="13">
        <f>20-7-13</f>
        <v>0</v>
      </c>
      <c r="Q62" s="13">
        <f>20-7-13</f>
        <v>0</v>
      </c>
      <c r="R62" s="314">
        <f t="shared" si="62"/>
        <v>400</v>
      </c>
      <c r="S62" s="314">
        <f t="shared" si="63"/>
        <v>400</v>
      </c>
      <c r="T62" s="314">
        <f t="shared" si="63"/>
        <v>425</v>
      </c>
      <c r="U62" s="314">
        <f t="shared" si="63"/>
        <v>425</v>
      </c>
      <c r="V62" s="314">
        <f t="shared" si="64"/>
        <v>340</v>
      </c>
      <c r="W62" s="28"/>
      <c r="X62" s="768">
        <f t="shared" si="4"/>
        <v>0</v>
      </c>
      <c r="Z62" s="320"/>
    </row>
    <row r="63" spans="1:26" x14ac:dyDescent="0.2">
      <c r="A63" s="62"/>
      <c r="B63" s="8" t="s">
        <v>790</v>
      </c>
      <c r="C63" s="11"/>
      <c r="D63" s="11"/>
      <c r="E63" s="11"/>
      <c r="F63" s="11"/>
      <c r="G63" s="11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314">
        <f t="shared" si="62"/>
        <v>0</v>
      </c>
      <c r="S63" s="314">
        <f t="shared" si="63"/>
        <v>0</v>
      </c>
      <c r="T63" s="314">
        <f t="shared" si="63"/>
        <v>0</v>
      </c>
      <c r="U63" s="314">
        <f t="shared" si="63"/>
        <v>0</v>
      </c>
      <c r="V63" s="314">
        <f t="shared" si="64"/>
        <v>0</v>
      </c>
      <c r="W63" s="28"/>
      <c r="X63" s="768">
        <f t="shared" si="4"/>
        <v>0</v>
      </c>
      <c r="Z63" s="320"/>
    </row>
    <row r="64" spans="1:26" x14ac:dyDescent="0.2">
      <c r="A64" s="62"/>
      <c r="B64" s="8" t="s">
        <v>919</v>
      </c>
      <c r="C64" s="11">
        <v>400</v>
      </c>
      <c r="D64" s="11">
        <v>400</v>
      </c>
      <c r="E64" s="11">
        <f>400+160</f>
        <v>560</v>
      </c>
      <c r="F64" s="11">
        <f>400+160+170</f>
        <v>730</v>
      </c>
      <c r="G64" s="11">
        <v>400</v>
      </c>
      <c r="H64" s="13">
        <f>300+300+50+100</f>
        <v>750</v>
      </c>
      <c r="I64" s="13">
        <f>(300+300+50+100)-568-182</f>
        <v>0</v>
      </c>
      <c r="J64" s="13">
        <f>(300+300+50+100)-568-182</f>
        <v>0</v>
      </c>
      <c r="K64" s="13">
        <f>(300+300+50+100)-568-182</f>
        <v>0</v>
      </c>
      <c r="L64" s="13">
        <f>(300+300+50+100)-568-182</f>
        <v>0</v>
      </c>
      <c r="M64" s="13"/>
      <c r="N64" s="13"/>
      <c r="O64" s="13"/>
      <c r="P64" s="13"/>
      <c r="Q64" s="13"/>
      <c r="R64" s="314">
        <f t="shared" si="62"/>
        <v>1150</v>
      </c>
      <c r="S64" s="314">
        <f t="shared" si="63"/>
        <v>400</v>
      </c>
      <c r="T64" s="314">
        <f t="shared" si="63"/>
        <v>560</v>
      </c>
      <c r="U64" s="314">
        <f t="shared" si="63"/>
        <v>730</v>
      </c>
      <c r="V64" s="314">
        <f t="shared" si="64"/>
        <v>400</v>
      </c>
      <c r="W64" s="28"/>
      <c r="X64" s="768">
        <f t="shared" si="4"/>
        <v>170</v>
      </c>
      <c r="Z64" s="320"/>
    </row>
    <row r="65" spans="1:26" x14ac:dyDescent="0.2">
      <c r="A65" s="62" t="s">
        <v>276</v>
      </c>
      <c r="B65" s="8" t="s">
        <v>302</v>
      </c>
      <c r="C65" s="11">
        <v>300</v>
      </c>
      <c r="D65" s="11">
        <f>300+1400-300</f>
        <v>1400</v>
      </c>
      <c r="E65" s="11">
        <f>300+1400-300</f>
        <v>1400</v>
      </c>
      <c r="F65" s="11">
        <f>300+1400-300</f>
        <v>1400</v>
      </c>
      <c r="G65" s="11">
        <v>300</v>
      </c>
      <c r="H65" s="13">
        <v>0</v>
      </c>
      <c r="I65" s="13">
        <f>568+100</f>
        <v>668</v>
      </c>
      <c r="J65" s="13">
        <f>568+100</f>
        <v>668</v>
      </c>
      <c r="K65" s="13">
        <f>568+100</f>
        <v>668</v>
      </c>
      <c r="L65" s="13">
        <f>568+100</f>
        <v>668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314">
        <f t="shared" si="62"/>
        <v>300</v>
      </c>
      <c r="S65" s="314">
        <f t="shared" si="63"/>
        <v>2068</v>
      </c>
      <c r="T65" s="314">
        <f t="shared" si="63"/>
        <v>2068</v>
      </c>
      <c r="U65" s="314">
        <f t="shared" si="63"/>
        <v>2068</v>
      </c>
      <c r="V65" s="314">
        <f t="shared" si="64"/>
        <v>968</v>
      </c>
      <c r="W65" s="28"/>
      <c r="X65" s="768">
        <f t="shared" si="4"/>
        <v>0</v>
      </c>
      <c r="Z65" s="320"/>
    </row>
    <row r="66" spans="1:26" x14ac:dyDescent="0.2">
      <c r="A66" s="62"/>
      <c r="B66" s="8" t="s">
        <v>352</v>
      </c>
      <c r="C66" s="11">
        <v>4000</v>
      </c>
      <c r="D66" s="11">
        <f>4000+182+300+300</f>
        <v>4782</v>
      </c>
      <c r="E66" s="11">
        <f>4000+182+300+300+1900</f>
        <v>6682</v>
      </c>
      <c r="F66" s="11">
        <f>4000+182+300+300+1900+1700</f>
        <v>8382</v>
      </c>
      <c r="G66" s="11">
        <v>4000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314">
        <f t="shared" si="62"/>
        <v>4000</v>
      </c>
      <c r="S66" s="314">
        <f t="shared" si="63"/>
        <v>4782</v>
      </c>
      <c r="T66" s="314">
        <f t="shared" si="63"/>
        <v>6682</v>
      </c>
      <c r="U66" s="314">
        <f t="shared" si="63"/>
        <v>8382</v>
      </c>
      <c r="V66" s="314">
        <f t="shared" si="64"/>
        <v>4000</v>
      </c>
      <c r="W66" s="28"/>
      <c r="X66" s="768">
        <f t="shared" si="4"/>
        <v>1700</v>
      </c>
      <c r="Z66" s="320"/>
    </row>
    <row r="67" spans="1:26" x14ac:dyDescent="0.2">
      <c r="A67" s="62"/>
      <c r="B67" s="8" t="s">
        <v>475</v>
      </c>
      <c r="C67" s="11">
        <v>100</v>
      </c>
      <c r="D67" s="11">
        <f>100-100</f>
        <v>0</v>
      </c>
      <c r="E67" s="11">
        <f>100-100</f>
        <v>0</v>
      </c>
      <c r="F67" s="11">
        <v>105</v>
      </c>
      <c r="G67" s="11">
        <v>100</v>
      </c>
      <c r="H67" s="13"/>
      <c r="I67" s="13"/>
      <c r="J67" s="13"/>
      <c r="K67" s="13"/>
      <c r="L67" s="13"/>
      <c r="M67" s="13">
        <v>0</v>
      </c>
      <c r="N67" s="13">
        <v>100</v>
      </c>
      <c r="O67" s="13">
        <f>100-100</f>
        <v>0</v>
      </c>
      <c r="P67" s="13">
        <f>100-100</f>
        <v>0</v>
      </c>
      <c r="Q67" s="13">
        <f>100-100</f>
        <v>0</v>
      </c>
      <c r="R67" s="314">
        <f t="shared" si="62"/>
        <v>100</v>
      </c>
      <c r="S67" s="314">
        <f t="shared" si="63"/>
        <v>100</v>
      </c>
      <c r="T67" s="314">
        <f t="shared" si="63"/>
        <v>0</v>
      </c>
      <c r="U67" s="314">
        <f t="shared" si="63"/>
        <v>105</v>
      </c>
      <c r="V67" s="314">
        <f t="shared" si="64"/>
        <v>100</v>
      </c>
      <c r="W67" s="28"/>
      <c r="X67" s="768">
        <f t="shared" si="4"/>
        <v>105</v>
      </c>
      <c r="Z67" s="320"/>
    </row>
    <row r="68" spans="1:26" x14ac:dyDescent="0.2">
      <c r="A68" s="62"/>
      <c r="B68" s="8" t="s">
        <v>461</v>
      </c>
      <c r="C68" s="11">
        <v>750</v>
      </c>
      <c r="D68" s="11">
        <f>750-300</f>
        <v>450</v>
      </c>
      <c r="E68" s="11">
        <f>750-300+100</f>
        <v>550</v>
      </c>
      <c r="F68" s="11">
        <f>750-300+100+140</f>
        <v>690</v>
      </c>
      <c r="G68" s="11">
        <v>750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314">
        <f t="shared" si="62"/>
        <v>750</v>
      </c>
      <c r="S68" s="314">
        <f t="shared" si="63"/>
        <v>450</v>
      </c>
      <c r="T68" s="314">
        <f t="shared" si="63"/>
        <v>550</v>
      </c>
      <c r="U68" s="314">
        <f t="shared" si="63"/>
        <v>690</v>
      </c>
      <c r="V68" s="314">
        <f t="shared" si="64"/>
        <v>750</v>
      </c>
      <c r="W68" s="28"/>
      <c r="X68" s="768">
        <f t="shared" si="4"/>
        <v>140</v>
      </c>
      <c r="Z68" s="320"/>
    </row>
    <row r="69" spans="1:26" x14ac:dyDescent="0.2">
      <c r="A69" s="81" t="s">
        <v>277</v>
      </c>
      <c r="B69" s="14" t="s">
        <v>262</v>
      </c>
      <c r="C69" s="6">
        <f t="shared" ref="C69:M69" si="65">SUM(C70:C71)</f>
        <v>230</v>
      </c>
      <c r="D69" s="6">
        <f t="shared" ref="D69:G69" si="66">SUM(D70:D71)</f>
        <v>230</v>
      </c>
      <c r="E69" s="6">
        <f t="shared" ref="E69:F69" si="67">SUM(E70:E71)</f>
        <v>230</v>
      </c>
      <c r="F69" s="6">
        <f t="shared" si="67"/>
        <v>230</v>
      </c>
      <c r="G69" s="6">
        <f t="shared" si="66"/>
        <v>230</v>
      </c>
      <c r="H69" s="5">
        <f t="shared" si="65"/>
        <v>20</v>
      </c>
      <c r="I69" s="5">
        <f t="shared" ref="I69" si="68">SUM(I70:I71)</f>
        <v>20</v>
      </c>
      <c r="J69" s="5">
        <f t="shared" ref="J69:K69" si="69">SUM(J70:J71)</f>
        <v>20</v>
      </c>
      <c r="K69" s="5">
        <f t="shared" si="69"/>
        <v>20</v>
      </c>
      <c r="L69" s="5">
        <f t="shared" ref="L69" si="70">SUM(L70:L71)</f>
        <v>20</v>
      </c>
      <c r="M69" s="5">
        <f t="shared" si="65"/>
        <v>0</v>
      </c>
      <c r="N69" s="5">
        <f t="shared" ref="N69" si="71">SUM(N70:N71)</f>
        <v>0</v>
      </c>
      <c r="O69" s="5">
        <f t="shared" ref="O69:P69" si="72">SUM(O70:O71)</f>
        <v>0</v>
      </c>
      <c r="P69" s="5">
        <f t="shared" si="72"/>
        <v>0</v>
      </c>
      <c r="Q69" s="5">
        <f t="shared" ref="Q69" si="73">SUM(Q70:Q71)</f>
        <v>0</v>
      </c>
      <c r="R69" s="313">
        <f t="shared" si="62"/>
        <v>250</v>
      </c>
      <c r="S69" s="313">
        <f t="shared" si="63"/>
        <v>250</v>
      </c>
      <c r="T69" s="313">
        <f t="shared" si="63"/>
        <v>250</v>
      </c>
      <c r="U69" s="313">
        <f t="shared" si="63"/>
        <v>250</v>
      </c>
      <c r="V69" s="313">
        <f t="shared" si="64"/>
        <v>250</v>
      </c>
      <c r="W69" s="29"/>
      <c r="X69" s="768">
        <f t="shared" si="4"/>
        <v>0</v>
      </c>
      <c r="Y69" s="37"/>
      <c r="Z69" s="320"/>
    </row>
    <row r="70" spans="1:26" x14ac:dyDescent="0.2">
      <c r="A70" s="62" t="s">
        <v>278</v>
      </c>
      <c r="B70" s="8" t="s">
        <v>301</v>
      </c>
      <c r="C70" s="13">
        <v>200</v>
      </c>
      <c r="D70" s="13">
        <v>200</v>
      </c>
      <c r="E70" s="13">
        <v>200</v>
      </c>
      <c r="F70" s="13">
        <v>200</v>
      </c>
      <c r="G70" s="13">
        <v>200</v>
      </c>
      <c r="H70" s="13">
        <v>20</v>
      </c>
      <c r="I70" s="13">
        <v>20</v>
      </c>
      <c r="J70" s="13">
        <v>20</v>
      </c>
      <c r="K70" s="13">
        <v>20</v>
      </c>
      <c r="L70" s="13">
        <v>20</v>
      </c>
      <c r="M70" s="502">
        <v>0</v>
      </c>
      <c r="N70" s="502">
        <v>0</v>
      </c>
      <c r="O70" s="502">
        <v>0</v>
      </c>
      <c r="P70" s="502">
        <v>0</v>
      </c>
      <c r="Q70" s="502">
        <v>0</v>
      </c>
      <c r="R70" s="314">
        <f>C70+H70+M70</f>
        <v>220</v>
      </c>
      <c r="S70" s="314">
        <f>D70+I70+N70</f>
        <v>220</v>
      </c>
      <c r="T70" s="314">
        <f>E70+J70+O70</f>
        <v>220</v>
      </c>
      <c r="U70" s="314">
        <f>F70+K70+P70</f>
        <v>220</v>
      </c>
      <c r="V70" s="314">
        <f>G70+L70+Q70</f>
        <v>220</v>
      </c>
      <c r="W70" s="28"/>
      <c r="X70" s="768">
        <f t="shared" si="4"/>
        <v>0</v>
      </c>
      <c r="Z70" s="320"/>
    </row>
    <row r="71" spans="1:26" x14ac:dyDescent="0.2">
      <c r="A71" s="62" t="s">
        <v>279</v>
      </c>
      <c r="B71" s="8" t="s">
        <v>314</v>
      </c>
      <c r="C71" s="13">
        <v>30</v>
      </c>
      <c r="D71" s="13">
        <v>30</v>
      </c>
      <c r="E71" s="13">
        <v>30</v>
      </c>
      <c r="F71" s="13">
        <v>30</v>
      </c>
      <c r="G71" s="13">
        <v>30</v>
      </c>
      <c r="H71" s="13"/>
      <c r="I71" s="13"/>
      <c r="J71" s="13"/>
      <c r="K71" s="13"/>
      <c r="L71" s="13"/>
      <c r="M71" s="502"/>
      <c r="N71" s="502"/>
      <c r="O71" s="502"/>
      <c r="P71" s="502"/>
      <c r="Q71" s="502"/>
      <c r="R71" s="314">
        <f t="shared" ref="R71:R81" si="74">C71+H71+M71</f>
        <v>30</v>
      </c>
      <c r="S71" s="314">
        <f t="shared" ref="S71:U81" si="75">D71+I71+N71</f>
        <v>30</v>
      </c>
      <c r="T71" s="314">
        <f t="shared" si="75"/>
        <v>30</v>
      </c>
      <c r="U71" s="314">
        <f t="shared" si="75"/>
        <v>30</v>
      </c>
      <c r="V71" s="314">
        <f t="shared" ref="V71:V81" si="76">G71+L71+Q71</f>
        <v>30</v>
      </c>
      <c r="W71" s="28"/>
      <c r="X71" s="768">
        <f t="shared" si="4"/>
        <v>0</v>
      </c>
      <c r="Z71" s="320"/>
    </row>
    <row r="72" spans="1:26" x14ac:dyDescent="0.2">
      <c r="A72" s="81" t="s">
        <v>280</v>
      </c>
      <c r="B72" s="14" t="s">
        <v>263</v>
      </c>
      <c r="C72" s="5">
        <f t="shared" ref="C72:M72" si="77">SUM(C73:C81)</f>
        <v>5561</v>
      </c>
      <c r="D72" s="5">
        <f t="shared" ref="D72:G72" si="78">SUM(D73:D81)</f>
        <v>3056</v>
      </c>
      <c r="E72" s="5">
        <f t="shared" ref="E72:F72" si="79">SUM(E73:E81)</f>
        <v>3056</v>
      </c>
      <c r="F72" s="5">
        <f t="shared" si="79"/>
        <v>3356</v>
      </c>
      <c r="G72" s="5">
        <f t="shared" si="78"/>
        <v>5561</v>
      </c>
      <c r="H72" s="5">
        <f t="shared" si="77"/>
        <v>240</v>
      </c>
      <c r="I72" s="5">
        <f t="shared" ref="I72" si="80">SUM(I73:I81)</f>
        <v>240</v>
      </c>
      <c r="J72" s="5">
        <f t="shared" ref="J72:K72" si="81">SUM(J73:J81)</f>
        <v>240</v>
      </c>
      <c r="K72" s="5">
        <f t="shared" si="81"/>
        <v>240</v>
      </c>
      <c r="L72" s="5">
        <f t="shared" ref="L72" si="82">SUM(L73:L81)</f>
        <v>240</v>
      </c>
      <c r="M72" s="5">
        <f t="shared" si="77"/>
        <v>180</v>
      </c>
      <c r="N72" s="5">
        <f t="shared" ref="N72" si="83">SUM(N73:N81)</f>
        <v>185</v>
      </c>
      <c r="O72" s="5">
        <f t="shared" ref="O72:P72" si="84">SUM(O73:O81)</f>
        <v>90</v>
      </c>
      <c r="P72" s="5">
        <f t="shared" si="84"/>
        <v>90</v>
      </c>
      <c r="Q72" s="5">
        <f t="shared" ref="Q72" si="85">SUM(Q73:Q81)</f>
        <v>90</v>
      </c>
      <c r="R72" s="313">
        <f t="shared" si="74"/>
        <v>5981</v>
      </c>
      <c r="S72" s="313">
        <f t="shared" si="75"/>
        <v>3481</v>
      </c>
      <c r="T72" s="313">
        <f t="shared" si="75"/>
        <v>3386</v>
      </c>
      <c r="U72" s="313">
        <f t="shared" si="75"/>
        <v>3686</v>
      </c>
      <c r="V72" s="313">
        <f t="shared" si="76"/>
        <v>5891</v>
      </c>
      <c r="W72" s="29"/>
      <c r="X72" s="768"/>
      <c r="Z72" s="320"/>
    </row>
    <row r="73" spans="1:26" x14ac:dyDescent="0.2">
      <c r="A73" s="62" t="s">
        <v>281</v>
      </c>
      <c r="B73" s="8" t="s">
        <v>291</v>
      </c>
      <c r="C73" s="13">
        <v>4200</v>
      </c>
      <c r="D73" s="13">
        <f>4200-2000</f>
        <v>2200</v>
      </c>
      <c r="E73" s="13">
        <f>4200-2000</f>
        <v>2200</v>
      </c>
      <c r="F73" s="13">
        <f>4200-2000+300</f>
        <v>2500</v>
      </c>
      <c r="G73" s="13">
        <v>4200</v>
      </c>
      <c r="H73" s="13">
        <v>240</v>
      </c>
      <c r="I73" s="13">
        <v>240</v>
      </c>
      <c r="J73" s="13">
        <v>240</v>
      </c>
      <c r="K73" s="13">
        <v>240</v>
      </c>
      <c r="L73" s="13">
        <v>240</v>
      </c>
      <c r="M73" s="13">
        <v>80</v>
      </c>
      <c r="N73" s="13">
        <v>80</v>
      </c>
      <c r="O73" s="13">
        <v>80</v>
      </c>
      <c r="P73" s="13">
        <v>80</v>
      </c>
      <c r="Q73" s="13">
        <v>80</v>
      </c>
      <c r="R73" s="314">
        <f t="shared" si="74"/>
        <v>4520</v>
      </c>
      <c r="S73" s="314">
        <f t="shared" si="75"/>
        <v>2520</v>
      </c>
      <c r="T73" s="314">
        <f t="shared" si="75"/>
        <v>2520</v>
      </c>
      <c r="U73" s="314">
        <f t="shared" si="75"/>
        <v>2820</v>
      </c>
      <c r="V73" s="314">
        <f t="shared" si="76"/>
        <v>4520</v>
      </c>
      <c r="W73" s="28"/>
      <c r="X73" s="768">
        <f t="shared" si="4"/>
        <v>300</v>
      </c>
      <c r="Z73" s="320"/>
    </row>
    <row r="74" spans="1:26" x14ac:dyDescent="0.2">
      <c r="A74" s="62" t="s">
        <v>282</v>
      </c>
      <c r="B74" s="8" t="s">
        <v>292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314">
        <f t="shared" si="74"/>
        <v>0</v>
      </c>
      <c r="S74" s="314">
        <f t="shared" si="75"/>
        <v>0</v>
      </c>
      <c r="T74" s="314">
        <f t="shared" si="75"/>
        <v>0</v>
      </c>
      <c r="U74" s="314">
        <f t="shared" si="75"/>
        <v>0</v>
      </c>
      <c r="V74" s="314">
        <f t="shared" si="76"/>
        <v>0</v>
      </c>
      <c r="W74" s="28"/>
      <c r="X74" s="768">
        <f t="shared" si="4"/>
        <v>0</v>
      </c>
      <c r="Z74" s="320"/>
    </row>
    <row r="75" spans="1:26" x14ac:dyDescent="0.2">
      <c r="A75" s="62" t="s">
        <v>283</v>
      </c>
      <c r="B75" s="8" t="s">
        <v>293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314">
        <f t="shared" si="74"/>
        <v>0</v>
      </c>
      <c r="S75" s="314">
        <f t="shared" si="75"/>
        <v>0</v>
      </c>
      <c r="T75" s="314">
        <f t="shared" si="75"/>
        <v>0</v>
      </c>
      <c r="U75" s="314">
        <f t="shared" si="75"/>
        <v>0</v>
      </c>
      <c r="V75" s="314">
        <f t="shared" si="76"/>
        <v>0</v>
      </c>
      <c r="W75" s="28"/>
      <c r="X75" s="768">
        <f t="shared" si="4"/>
        <v>0</v>
      </c>
      <c r="Z75" s="320"/>
    </row>
    <row r="76" spans="1:26" hidden="1" x14ac:dyDescent="0.2">
      <c r="A76" s="62" t="s">
        <v>284</v>
      </c>
      <c r="B76" s="8" t="s">
        <v>294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314">
        <f t="shared" si="74"/>
        <v>0</v>
      </c>
      <c r="S76" s="314">
        <f t="shared" si="75"/>
        <v>0</v>
      </c>
      <c r="T76" s="314">
        <f t="shared" si="75"/>
        <v>0</v>
      </c>
      <c r="U76" s="314">
        <f t="shared" si="75"/>
        <v>0</v>
      </c>
      <c r="V76" s="314">
        <f t="shared" si="76"/>
        <v>0</v>
      </c>
      <c r="W76" s="28"/>
      <c r="X76" s="768">
        <f t="shared" ref="X76:X103" si="86">U76-T76</f>
        <v>0</v>
      </c>
      <c r="Z76" s="320"/>
    </row>
    <row r="77" spans="1:26" x14ac:dyDescent="0.2">
      <c r="A77" s="62" t="s">
        <v>285</v>
      </c>
      <c r="B77" s="8" t="s">
        <v>58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314">
        <f t="shared" si="74"/>
        <v>0</v>
      </c>
      <c r="S77" s="314">
        <f t="shared" si="75"/>
        <v>0</v>
      </c>
      <c r="T77" s="314">
        <f t="shared" si="75"/>
        <v>0</v>
      </c>
      <c r="U77" s="314">
        <f t="shared" si="75"/>
        <v>0</v>
      </c>
      <c r="V77" s="314">
        <f t="shared" si="76"/>
        <v>0</v>
      </c>
      <c r="W77" s="28"/>
      <c r="X77" s="768">
        <f t="shared" si="86"/>
        <v>0</v>
      </c>
      <c r="Z77" s="320"/>
    </row>
    <row r="78" spans="1:26" x14ac:dyDescent="0.2">
      <c r="A78" s="62"/>
      <c r="B78" s="8" t="s">
        <v>476</v>
      </c>
      <c r="C78" s="13">
        <v>5</v>
      </c>
      <c r="D78" s="13">
        <f>5-5</f>
        <v>0</v>
      </c>
      <c r="E78" s="13">
        <f>5-5</f>
        <v>0</v>
      </c>
      <c r="F78" s="13">
        <f>5-5</f>
        <v>0</v>
      </c>
      <c r="G78" s="13">
        <v>5</v>
      </c>
      <c r="H78" s="13"/>
      <c r="I78" s="13"/>
      <c r="J78" s="13"/>
      <c r="K78" s="13"/>
      <c r="L78" s="13"/>
      <c r="M78" s="13">
        <v>0</v>
      </c>
      <c r="N78" s="13">
        <v>5</v>
      </c>
      <c r="O78" s="13">
        <v>5</v>
      </c>
      <c r="P78" s="13">
        <v>5</v>
      </c>
      <c r="Q78" s="13">
        <v>5</v>
      </c>
      <c r="R78" s="314">
        <f t="shared" si="74"/>
        <v>5</v>
      </c>
      <c r="S78" s="314">
        <f t="shared" si="75"/>
        <v>5</v>
      </c>
      <c r="T78" s="314">
        <f t="shared" si="75"/>
        <v>5</v>
      </c>
      <c r="U78" s="314">
        <f t="shared" si="75"/>
        <v>5</v>
      </c>
      <c r="V78" s="314">
        <f t="shared" si="76"/>
        <v>10</v>
      </c>
      <c r="W78" s="28"/>
      <c r="X78" s="768">
        <f t="shared" si="86"/>
        <v>0</v>
      </c>
      <c r="Z78" s="320"/>
    </row>
    <row r="79" spans="1:26" x14ac:dyDescent="0.2">
      <c r="A79" s="62"/>
      <c r="B79" s="8" t="s">
        <v>318</v>
      </c>
      <c r="C79" s="13">
        <v>1000</v>
      </c>
      <c r="D79" s="13">
        <f>1000-500</f>
        <v>500</v>
      </c>
      <c r="E79" s="13">
        <f>1000-500</f>
        <v>500</v>
      </c>
      <c r="F79" s="13">
        <f>1000-500</f>
        <v>500</v>
      </c>
      <c r="G79" s="13">
        <v>1000</v>
      </c>
      <c r="H79" s="13"/>
      <c r="I79" s="13"/>
      <c r="J79" s="13"/>
      <c r="K79" s="13"/>
      <c r="L79" s="13"/>
      <c r="M79" s="13">
        <v>0</v>
      </c>
      <c r="N79" s="13">
        <v>5</v>
      </c>
      <c r="O79" s="13">
        <v>5</v>
      </c>
      <c r="P79" s="13">
        <v>5</v>
      </c>
      <c r="Q79" s="13">
        <v>5</v>
      </c>
      <c r="R79" s="314">
        <f t="shared" si="74"/>
        <v>1000</v>
      </c>
      <c r="S79" s="314">
        <f t="shared" si="75"/>
        <v>505</v>
      </c>
      <c r="T79" s="314">
        <f t="shared" si="75"/>
        <v>505</v>
      </c>
      <c r="U79" s="314">
        <f t="shared" si="75"/>
        <v>505</v>
      </c>
      <c r="V79" s="314">
        <f t="shared" si="76"/>
        <v>1005</v>
      </c>
      <c r="W79" s="28"/>
      <c r="X79" s="768">
        <f t="shared" si="86"/>
        <v>0</v>
      </c>
      <c r="Z79" s="320"/>
    </row>
    <row r="80" spans="1:26" x14ac:dyDescent="0.2">
      <c r="A80" s="62"/>
      <c r="B80" s="8" t="s">
        <v>1173</v>
      </c>
      <c r="C80" s="13">
        <v>100</v>
      </c>
      <c r="D80" s="13">
        <v>100</v>
      </c>
      <c r="E80" s="13">
        <v>100</v>
      </c>
      <c r="F80" s="13">
        <v>100</v>
      </c>
      <c r="G80" s="13">
        <v>100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314">
        <f t="shared" si="74"/>
        <v>100</v>
      </c>
      <c r="S80" s="314">
        <f t="shared" si="75"/>
        <v>100</v>
      </c>
      <c r="T80" s="314">
        <f t="shared" si="75"/>
        <v>100</v>
      </c>
      <c r="U80" s="314">
        <f t="shared" si="75"/>
        <v>100</v>
      </c>
      <c r="V80" s="314">
        <f t="shared" si="76"/>
        <v>100</v>
      </c>
      <c r="W80" s="28"/>
      <c r="X80" s="768">
        <f t="shared" si="86"/>
        <v>0</v>
      </c>
      <c r="Z80" s="320"/>
    </row>
    <row r="81" spans="1:26" x14ac:dyDescent="0.2">
      <c r="A81" s="62"/>
      <c r="B81" s="8" t="s">
        <v>479</v>
      </c>
      <c r="C81" s="13">
        <v>256</v>
      </c>
      <c r="D81" s="13">
        <v>256</v>
      </c>
      <c r="E81" s="13">
        <v>256</v>
      </c>
      <c r="F81" s="13">
        <v>256</v>
      </c>
      <c r="G81" s="13">
        <v>256</v>
      </c>
      <c r="H81" s="13"/>
      <c r="I81" s="13"/>
      <c r="J81" s="13"/>
      <c r="K81" s="13"/>
      <c r="L81" s="13"/>
      <c r="M81" s="13">
        <v>100</v>
      </c>
      <c r="N81" s="13">
        <f>100-5</f>
        <v>95</v>
      </c>
      <c r="O81" s="13">
        <f>100-5-95</f>
        <v>0</v>
      </c>
      <c r="P81" s="13">
        <f>100-5-95</f>
        <v>0</v>
      </c>
      <c r="Q81" s="13">
        <f>100-5-95</f>
        <v>0</v>
      </c>
      <c r="R81" s="314">
        <f t="shared" si="74"/>
        <v>356</v>
      </c>
      <c r="S81" s="314">
        <f t="shared" si="75"/>
        <v>351</v>
      </c>
      <c r="T81" s="314">
        <f t="shared" si="75"/>
        <v>256</v>
      </c>
      <c r="U81" s="314">
        <f t="shared" si="75"/>
        <v>256</v>
      </c>
      <c r="V81" s="314">
        <f t="shared" si="76"/>
        <v>256</v>
      </c>
      <c r="W81" s="28"/>
      <c r="X81" s="768">
        <f t="shared" si="86"/>
        <v>0</v>
      </c>
      <c r="Z81" s="320"/>
    </row>
    <row r="82" spans="1:26" x14ac:dyDescent="0.2">
      <c r="A82" s="81" t="s">
        <v>296</v>
      </c>
      <c r="B82" s="115" t="s">
        <v>31</v>
      </c>
      <c r="C82" s="236">
        <f t="shared" ref="C82:M82" si="87">SUM(C32+C42+C50+C69+C72)</f>
        <v>23486</v>
      </c>
      <c r="D82" s="236">
        <f t="shared" ref="D82:G82" si="88">SUM(D32+D42+D50+D69+D72)</f>
        <v>20050</v>
      </c>
      <c r="E82" s="236">
        <f t="shared" si="88"/>
        <v>22633</v>
      </c>
      <c r="F82" s="236">
        <f t="shared" ref="F82" si="89">SUM(F32+F42+F50+F69+F72)</f>
        <v>27084</v>
      </c>
      <c r="G82" s="236">
        <f t="shared" si="88"/>
        <v>24486</v>
      </c>
      <c r="H82" s="236">
        <f t="shared" si="87"/>
        <v>1150</v>
      </c>
      <c r="I82" s="236">
        <f t="shared" ref="I82:J82" si="90">SUM(I32+I42+I50+I69+I72)</f>
        <v>928</v>
      </c>
      <c r="J82" s="236">
        <f t="shared" si="90"/>
        <v>928</v>
      </c>
      <c r="K82" s="236">
        <f t="shared" ref="K82:L82" si="91">SUM(K32+K42+K50+K69+K72)</f>
        <v>1007</v>
      </c>
      <c r="L82" s="236">
        <f t="shared" si="91"/>
        <v>928</v>
      </c>
      <c r="M82" s="236">
        <f t="shared" si="87"/>
        <v>370</v>
      </c>
      <c r="N82" s="236">
        <f t="shared" ref="N82:O82" si="92">SUM(N32+N42+N50+N69+N72)</f>
        <v>868</v>
      </c>
      <c r="O82" s="236">
        <f t="shared" si="92"/>
        <v>370</v>
      </c>
      <c r="P82" s="236">
        <f t="shared" ref="P82:Q82" si="93">SUM(P32+P42+P50+P69+P72)</f>
        <v>370</v>
      </c>
      <c r="Q82" s="236">
        <f t="shared" si="93"/>
        <v>370</v>
      </c>
      <c r="R82" s="162">
        <f>(H82+C82+M82)</f>
        <v>25006</v>
      </c>
      <c r="S82" s="162">
        <f>(I82+D82+N82)</f>
        <v>21846</v>
      </c>
      <c r="T82" s="162">
        <f>(J82+E82+O82)</f>
        <v>23931</v>
      </c>
      <c r="U82" s="162">
        <f>(K82+F82+P82)</f>
        <v>28461</v>
      </c>
      <c r="V82" s="162">
        <f>(L82+G82+Q82)</f>
        <v>25784</v>
      </c>
      <c r="W82" s="28"/>
      <c r="X82" s="768"/>
      <c r="Z82" s="320"/>
    </row>
    <row r="83" spans="1:26" x14ac:dyDescent="0.2">
      <c r="A83" s="154" t="s">
        <v>295</v>
      </c>
      <c r="B83" s="115" t="s">
        <v>459</v>
      </c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7">
        <f t="shared" ref="R83:V84" si="94">C83+H83+M83</f>
        <v>0</v>
      </c>
      <c r="S83" s="237">
        <f t="shared" si="94"/>
        <v>0</v>
      </c>
      <c r="T83" s="237">
        <f t="shared" si="94"/>
        <v>0</v>
      </c>
      <c r="U83" s="237">
        <f t="shared" si="94"/>
        <v>0</v>
      </c>
      <c r="V83" s="237">
        <f t="shared" si="94"/>
        <v>0</v>
      </c>
      <c r="W83" s="28"/>
      <c r="X83" s="768">
        <f t="shared" si="86"/>
        <v>0</v>
      </c>
      <c r="Z83" s="320"/>
    </row>
    <row r="84" spans="1:26" ht="13.5" thickBot="1" x14ac:dyDescent="0.25">
      <c r="A84" s="154" t="s">
        <v>324</v>
      </c>
      <c r="B84" s="153" t="s">
        <v>40</v>
      </c>
      <c r="C84" s="237">
        <v>0</v>
      </c>
      <c r="D84" s="237">
        <v>0</v>
      </c>
      <c r="E84" s="237">
        <v>0</v>
      </c>
      <c r="F84" s="237">
        <v>0</v>
      </c>
      <c r="G84" s="237">
        <v>0</v>
      </c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>
        <f t="shared" si="94"/>
        <v>0</v>
      </c>
      <c r="S84" s="237">
        <f t="shared" si="94"/>
        <v>0</v>
      </c>
      <c r="T84" s="237">
        <f t="shared" si="94"/>
        <v>0</v>
      </c>
      <c r="U84" s="237">
        <f t="shared" si="94"/>
        <v>0</v>
      </c>
      <c r="V84" s="237">
        <f t="shared" si="94"/>
        <v>0</v>
      </c>
      <c r="W84" s="28"/>
      <c r="X84" s="768">
        <f t="shared" si="86"/>
        <v>0</v>
      </c>
      <c r="Z84" s="320"/>
    </row>
    <row r="85" spans="1:26" ht="16.5" thickBot="1" x14ac:dyDescent="0.3">
      <c r="A85" s="154"/>
      <c r="B85" s="209" t="s">
        <v>10</v>
      </c>
      <c r="C85" s="238">
        <f t="shared" ref="C85:V85" si="95">SUM(C28+C31+C82+C83+C84)</f>
        <v>202910</v>
      </c>
      <c r="D85" s="238">
        <f t="shared" ref="D85:G85" si="96">SUM(D28+D31+D82+D83+D84)</f>
        <v>205190</v>
      </c>
      <c r="E85" s="238">
        <f t="shared" si="96"/>
        <v>220057</v>
      </c>
      <c r="F85" s="238">
        <f t="shared" ref="F85" si="97">SUM(F28+F31+F82+F83+F84)</f>
        <v>237310</v>
      </c>
      <c r="G85" s="238">
        <f t="shared" si="96"/>
        <v>203910</v>
      </c>
      <c r="H85" s="238">
        <f t="shared" si="95"/>
        <v>29557</v>
      </c>
      <c r="I85" s="238">
        <f t="shared" ref="I85:J85" si="98">SUM(I28+I31+I82+I83+I84)</f>
        <v>29293</v>
      </c>
      <c r="J85" s="238">
        <f t="shared" si="98"/>
        <v>22904</v>
      </c>
      <c r="K85" s="238">
        <f t="shared" ref="K85:L85" si="99">SUM(K28+K31+K82+K83+K84)</f>
        <v>22983</v>
      </c>
      <c r="L85" s="238">
        <f t="shared" si="99"/>
        <v>22904</v>
      </c>
      <c r="M85" s="238">
        <f t="shared" si="95"/>
        <v>9013</v>
      </c>
      <c r="N85" s="238">
        <f>SUM(N28+N31+N82+N83+N84)</f>
        <v>9976</v>
      </c>
      <c r="O85" s="238">
        <f>SUM(O28+O31+O82+O83+O84)</f>
        <v>12982</v>
      </c>
      <c r="P85" s="238">
        <f>SUM(P28+P31+P82+P83+P84)</f>
        <v>14667</v>
      </c>
      <c r="Q85" s="238">
        <f>SUM(Q28+Q31+Q82+Q83+Q84)</f>
        <v>12982</v>
      </c>
      <c r="R85" s="238">
        <f t="shared" si="95"/>
        <v>241480</v>
      </c>
      <c r="S85" s="238">
        <f t="shared" si="95"/>
        <v>244459</v>
      </c>
      <c r="T85" s="238">
        <f t="shared" si="95"/>
        <v>255943</v>
      </c>
      <c r="U85" s="238">
        <f t="shared" ref="U85" si="100">SUM(U28+U31+U82+U83+U84)</f>
        <v>274960</v>
      </c>
      <c r="V85" s="600">
        <f t="shared" si="95"/>
        <v>236971</v>
      </c>
      <c r="W85" s="28"/>
      <c r="X85" s="768">
        <f t="shared" si="86"/>
        <v>19017</v>
      </c>
      <c r="Z85" s="320"/>
    </row>
    <row r="86" spans="1:26" x14ac:dyDescent="0.2">
      <c r="A86" s="154" t="s">
        <v>325</v>
      </c>
      <c r="B86" s="208" t="s">
        <v>791</v>
      </c>
      <c r="C86" s="239">
        <f t="shared" ref="C86:O86" si="101">SUM(C87:C88)</f>
        <v>1000</v>
      </c>
      <c r="D86" s="239">
        <f t="shared" ref="D86:G86" si="102">SUM(D87:D88)</f>
        <v>1000</v>
      </c>
      <c r="E86" s="239">
        <f t="shared" si="102"/>
        <v>993</v>
      </c>
      <c r="F86" s="239">
        <f t="shared" ref="F86" si="103">SUM(F87:F88)</f>
        <v>993</v>
      </c>
      <c r="G86" s="239">
        <f t="shared" si="102"/>
        <v>1000</v>
      </c>
      <c r="H86" s="239">
        <f t="shared" si="101"/>
        <v>0</v>
      </c>
      <c r="I86" s="239">
        <f t="shared" si="101"/>
        <v>0</v>
      </c>
      <c r="J86" s="239">
        <f t="shared" si="101"/>
        <v>0</v>
      </c>
      <c r="K86" s="239">
        <f t="shared" ref="K86:L86" si="104">SUM(K87:K88)</f>
        <v>0</v>
      </c>
      <c r="L86" s="239">
        <f t="shared" si="104"/>
        <v>0</v>
      </c>
      <c r="M86" s="239">
        <f t="shared" si="101"/>
        <v>0</v>
      </c>
      <c r="N86" s="239">
        <f t="shared" si="101"/>
        <v>0</v>
      </c>
      <c r="O86" s="239">
        <f t="shared" si="101"/>
        <v>7</v>
      </c>
      <c r="P86" s="239">
        <f t="shared" ref="P86:Q86" si="105">SUM(P87:P88)</f>
        <v>7</v>
      </c>
      <c r="Q86" s="239">
        <f t="shared" si="105"/>
        <v>7</v>
      </c>
      <c r="R86" s="162">
        <f>(H86+C86+M86)</f>
        <v>1000</v>
      </c>
      <c r="S86" s="162">
        <f>(I86+D86+N86)</f>
        <v>1000</v>
      </c>
      <c r="T86" s="162">
        <f>(J86+E86+O86)</f>
        <v>1000</v>
      </c>
      <c r="U86" s="162">
        <f>(K86+F86+P86)</f>
        <v>1000</v>
      </c>
      <c r="V86" s="162">
        <f>(L86+G86+Q86)</f>
        <v>1007</v>
      </c>
      <c r="W86" s="28"/>
      <c r="X86" s="768">
        <f t="shared" si="86"/>
        <v>0</v>
      </c>
      <c r="Z86" s="320"/>
    </row>
    <row r="87" spans="1:26" hidden="1" x14ac:dyDescent="0.2">
      <c r="A87" s="154"/>
      <c r="B87" s="8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314"/>
      <c r="S87" s="314"/>
      <c r="T87" s="314"/>
      <c r="U87" s="314"/>
      <c r="V87" s="314">
        <f>SUM(G87+L87+Q87)</f>
        <v>0</v>
      </c>
      <c r="W87" s="28"/>
      <c r="X87" s="768">
        <f t="shared" si="86"/>
        <v>0</v>
      </c>
      <c r="Z87" s="320"/>
    </row>
    <row r="88" spans="1:26" ht="13.5" thickBot="1" x14ac:dyDescent="0.25">
      <c r="A88" s="154"/>
      <c r="B88" s="12" t="s">
        <v>905</v>
      </c>
      <c r="C88" s="32">
        <v>1000</v>
      </c>
      <c r="D88" s="32">
        <v>1000</v>
      </c>
      <c r="E88" s="32">
        <f>1000-7</f>
        <v>993</v>
      </c>
      <c r="F88" s="32">
        <f>1000-7</f>
        <v>993</v>
      </c>
      <c r="G88" s="32">
        <v>1000</v>
      </c>
      <c r="H88" s="32"/>
      <c r="I88" s="32"/>
      <c r="J88" s="32"/>
      <c r="K88" s="32"/>
      <c r="L88" s="32"/>
      <c r="M88" s="32">
        <v>0</v>
      </c>
      <c r="N88" s="32">
        <v>0</v>
      </c>
      <c r="O88" s="32">
        <v>7</v>
      </c>
      <c r="P88" s="32">
        <v>7</v>
      </c>
      <c r="Q88" s="32">
        <v>7</v>
      </c>
      <c r="R88" s="599">
        <f>(H88+C88+M88)</f>
        <v>1000</v>
      </c>
      <c r="S88" s="599">
        <f>(I88+D88+N88)</f>
        <v>1000</v>
      </c>
      <c r="T88" s="599">
        <f>(J88+E88+O88)</f>
        <v>1000</v>
      </c>
      <c r="U88" s="599">
        <f>(K88+F88+P88)</f>
        <v>1000</v>
      </c>
      <c r="V88" s="599">
        <f>(L88+G88+Q88)</f>
        <v>1007</v>
      </c>
      <c r="W88" s="28"/>
      <c r="X88" s="768">
        <f t="shared" si="86"/>
        <v>0</v>
      </c>
      <c r="Z88" s="320"/>
    </row>
    <row r="89" spans="1:26" ht="20.25" thickBot="1" x14ac:dyDescent="0.4">
      <c r="A89" s="151"/>
      <c r="B89" s="157" t="s">
        <v>7</v>
      </c>
      <c r="C89" s="238">
        <f t="shared" ref="C89:O89" si="106">SUM(C28+C31+C82+C83+C84+C86)</f>
        <v>203910</v>
      </c>
      <c r="D89" s="238">
        <f t="shared" si="106"/>
        <v>206190</v>
      </c>
      <c r="E89" s="238">
        <f t="shared" si="106"/>
        <v>221050</v>
      </c>
      <c r="F89" s="238">
        <f t="shared" ref="F89" si="107">SUM(F28+F31+F82+F83+F84+F86)</f>
        <v>238303</v>
      </c>
      <c r="G89" s="238">
        <f t="shared" si="106"/>
        <v>204910</v>
      </c>
      <c r="H89" s="238">
        <f t="shared" si="106"/>
        <v>29557</v>
      </c>
      <c r="I89" s="238">
        <f t="shared" si="106"/>
        <v>29293</v>
      </c>
      <c r="J89" s="238">
        <f t="shared" si="106"/>
        <v>22904</v>
      </c>
      <c r="K89" s="238">
        <f t="shared" ref="K89:L89" si="108">SUM(K28+K31+K82+K83+K84+K86)</f>
        <v>22983</v>
      </c>
      <c r="L89" s="238">
        <f t="shared" si="108"/>
        <v>22904</v>
      </c>
      <c r="M89" s="238">
        <f t="shared" si="106"/>
        <v>9013</v>
      </c>
      <c r="N89" s="238">
        <f t="shared" si="106"/>
        <v>9976</v>
      </c>
      <c r="O89" s="238">
        <f t="shared" si="106"/>
        <v>12989</v>
      </c>
      <c r="P89" s="238">
        <f t="shared" ref="P89:Q89" si="109">SUM(P28+P31+P82+P83+P84+P86)</f>
        <v>14674</v>
      </c>
      <c r="Q89" s="238">
        <f t="shared" si="109"/>
        <v>12989</v>
      </c>
      <c r="R89" s="156">
        <f>SUM(R85+R86)</f>
        <v>242480</v>
      </c>
      <c r="S89" s="156">
        <f>SUM(S85+S86)</f>
        <v>245459</v>
      </c>
      <c r="T89" s="156">
        <f>SUM(T85+T86)</f>
        <v>256943</v>
      </c>
      <c r="U89" s="156">
        <f>SUM(U85+U86)</f>
        <v>275960</v>
      </c>
      <c r="V89" s="600">
        <f>SUM(V85+V86)</f>
        <v>237978</v>
      </c>
      <c r="W89" s="29"/>
      <c r="X89" s="768">
        <f t="shared" si="86"/>
        <v>19017</v>
      </c>
      <c r="Y89" s="205"/>
      <c r="Z89" s="320"/>
    </row>
    <row r="90" spans="1:26" x14ac:dyDescent="0.2">
      <c r="A90" s="62"/>
      <c r="B90" s="78" t="s">
        <v>59</v>
      </c>
      <c r="C90" s="155">
        <v>34</v>
      </c>
      <c r="D90" s="155">
        <v>34</v>
      </c>
      <c r="E90" s="155">
        <v>34</v>
      </c>
      <c r="F90" s="155">
        <v>34</v>
      </c>
      <c r="G90" s="155">
        <v>34</v>
      </c>
      <c r="H90" s="82">
        <v>4</v>
      </c>
      <c r="I90" s="82">
        <v>4</v>
      </c>
      <c r="J90" s="82">
        <v>4</v>
      </c>
      <c r="K90" s="82">
        <v>4</v>
      </c>
      <c r="L90" s="82">
        <v>4</v>
      </c>
      <c r="M90" s="82">
        <v>2</v>
      </c>
      <c r="N90" s="82">
        <v>2</v>
      </c>
      <c r="O90" s="82">
        <v>2</v>
      </c>
      <c r="P90" s="82">
        <v>0</v>
      </c>
      <c r="Q90" s="82">
        <v>2</v>
      </c>
      <c r="R90" s="41">
        <f>(H90+C90+M90)</f>
        <v>40</v>
      </c>
      <c r="S90" s="41">
        <f>(I90+D90+N90)</f>
        <v>40</v>
      </c>
      <c r="T90" s="41">
        <f>(J90+E90+O90)</f>
        <v>40</v>
      </c>
      <c r="U90" s="41">
        <f>(K90+F90+P90)</f>
        <v>38</v>
      </c>
      <c r="V90" s="41">
        <f>(L90+G90+Q90)</f>
        <v>40</v>
      </c>
      <c r="W90" s="29"/>
      <c r="X90" s="768">
        <f t="shared" si="86"/>
        <v>-2</v>
      </c>
      <c r="Y90" s="205"/>
      <c r="Z90" s="320"/>
    </row>
    <row r="91" spans="1:26" x14ac:dyDescent="0.2">
      <c r="B91" s="9" t="s">
        <v>1016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37"/>
      <c r="R91" s="37">
        <f>SUM('2.működés'!C13)</f>
        <v>133793</v>
      </c>
      <c r="S91" s="37">
        <f>SUM('2.működés'!D13)</f>
        <v>133793</v>
      </c>
      <c r="T91" s="37">
        <f>SUM('2.működés'!E13)</f>
        <v>133793</v>
      </c>
      <c r="U91" s="37">
        <f>SUM('2.működés'!F13)</f>
        <v>133793</v>
      </c>
      <c r="V91" s="37">
        <f>SUM('2.működés'!G13)</f>
        <v>133793</v>
      </c>
      <c r="X91" s="768">
        <f t="shared" si="86"/>
        <v>0</v>
      </c>
      <c r="Y91" s="205"/>
      <c r="Z91" s="320"/>
    </row>
    <row r="92" spans="1:26" x14ac:dyDescent="0.2">
      <c r="B92" s="9" t="s">
        <v>423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37"/>
      <c r="R92" s="37">
        <f>980+1+19</f>
        <v>1000</v>
      </c>
      <c r="S92" s="37">
        <f>980+1+(19+31)</f>
        <v>1031</v>
      </c>
      <c r="T92" s="37">
        <f>980+1+(19+31+153+920)</f>
        <v>2104</v>
      </c>
      <c r="U92" s="37">
        <f>980+1+(19+31+153+920)</f>
        <v>2104</v>
      </c>
      <c r="V92" s="37">
        <f t="shared" ref="V92" si="110">980+1+19</f>
        <v>1000</v>
      </c>
      <c r="X92" s="768">
        <f t="shared" si="86"/>
        <v>0</v>
      </c>
      <c r="Y92" s="205"/>
      <c r="Z92" s="320"/>
    </row>
    <row r="93" spans="1:26" x14ac:dyDescent="0.2">
      <c r="B93" s="9" t="s">
        <v>914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37"/>
      <c r="R93" s="37">
        <f>SUM('2.működés'!C59)</f>
        <v>45806</v>
      </c>
      <c r="S93" s="37">
        <f>SUM('2.működés'!D59)</f>
        <v>45806</v>
      </c>
      <c r="T93" s="37">
        <f>SUM('2.működés'!E59)</f>
        <v>45991</v>
      </c>
      <c r="U93" s="37">
        <f>SUM('2.működés'!F59)</f>
        <v>45991</v>
      </c>
      <c r="V93" s="37">
        <f>SUM('2.működés'!G59)</f>
        <v>45991</v>
      </c>
      <c r="X93" s="768">
        <f t="shared" si="86"/>
        <v>0</v>
      </c>
      <c r="Y93" s="205"/>
      <c r="Z93" s="320"/>
    </row>
    <row r="94" spans="1:26" x14ac:dyDescent="0.2">
      <c r="B94" s="9" t="s">
        <v>913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37"/>
      <c r="R94" s="37">
        <v>4000</v>
      </c>
      <c r="S94" s="37">
        <v>4000</v>
      </c>
      <c r="T94" s="37">
        <v>4000</v>
      </c>
      <c r="U94" s="37">
        <v>4000</v>
      </c>
      <c r="V94" s="37">
        <v>4000</v>
      </c>
      <c r="X94" s="768">
        <f t="shared" si="86"/>
        <v>0</v>
      </c>
      <c r="Y94" s="205"/>
      <c r="Z94" s="320"/>
    </row>
    <row r="95" spans="1:26" x14ac:dyDescent="0.2">
      <c r="B95" s="9" t="s">
        <v>912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37"/>
      <c r="R95" s="37">
        <v>3400</v>
      </c>
      <c r="S95" s="37">
        <v>3400</v>
      </c>
      <c r="T95" s="37">
        <v>3400</v>
      </c>
      <c r="U95" s="37">
        <v>3400</v>
      </c>
      <c r="V95" s="37">
        <v>3400</v>
      </c>
      <c r="X95" s="768">
        <f t="shared" si="86"/>
        <v>0</v>
      </c>
      <c r="Y95" s="205"/>
      <c r="Z95" s="320"/>
    </row>
    <row r="96" spans="1:26" x14ac:dyDescent="0.2">
      <c r="B96" s="9" t="s">
        <v>1176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37"/>
      <c r="R96" s="37">
        <f>SUM('2.működés'!C62)</f>
        <v>8000</v>
      </c>
      <c r="S96" s="37">
        <f>SUM('2.működés'!D62)</f>
        <v>8000</v>
      </c>
      <c r="T96" s="37">
        <f>SUM('2.működés'!E62)</f>
        <v>7080</v>
      </c>
      <c r="U96" s="37">
        <f>SUM('2.működés'!F62)</f>
        <v>5746</v>
      </c>
      <c r="V96" s="37"/>
      <c r="X96" s="768">
        <f t="shared" si="86"/>
        <v>-1334</v>
      </c>
      <c r="Y96" s="205"/>
      <c r="Z96" s="320"/>
    </row>
    <row r="97" spans="2:28" x14ac:dyDescent="0.2">
      <c r="B97" s="9" t="s">
        <v>1403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37"/>
      <c r="R97" s="37">
        <v>0</v>
      </c>
      <c r="S97" s="37">
        <v>0</v>
      </c>
      <c r="T97" s="37">
        <v>0</v>
      </c>
      <c r="U97" s="37">
        <f>94+102</f>
        <v>196</v>
      </c>
      <c r="V97" s="37"/>
      <c r="X97" s="768">
        <f t="shared" si="86"/>
        <v>196</v>
      </c>
      <c r="Y97" s="205"/>
      <c r="Z97" s="320"/>
    </row>
    <row r="98" spans="2:28" x14ac:dyDescent="0.2">
      <c r="B98" s="9" t="s">
        <v>1367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37"/>
      <c r="R98" s="37">
        <f>'2.működés'!C64</f>
        <v>0</v>
      </c>
      <c r="S98" s="37">
        <f>'2.működés'!D64</f>
        <v>0</v>
      </c>
      <c r="T98" s="37">
        <f>'2.működés'!E64</f>
        <v>6235</v>
      </c>
      <c r="U98" s="37">
        <f>'2.működés'!F64</f>
        <v>7475</v>
      </c>
      <c r="V98" s="37">
        <f>SUM('2.működés'!G62)</f>
        <v>7080</v>
      </c>
      <c r="X98" s="768">
        <f t="shared" si="86"/>
        <v>1240</v>
      </c>
      <c r="Y98" s="205"/>
      <c r="Z98" s="320"/>
    </row>
    <row r="99" spans="2:28" x14ac:dyDescent="0.2">
      <c r="B99" s="503" t="s">
        <v>347</v>
      </c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04"/>
      <c r="R99" s="504">
        <f>SUM(R91:R98)</f>
        <v>195999</v>
      </c>
      <c r="S99" s="504">
        <f t="shared" ref="S99:V99" si="111">SUM(S91:S98)</f>
        <v>196030</v>
      </c>
      <c r="T99" s="504">
        <f t="shared" si="111"/>
        <v>202603</v>
      </c>
      <c r="U99" s="504">
        <f t="shared" ref="U99" si="112">SUM(U91:U98)</f>
        <v>202705</v>
      </c>
      <c r="V99" s="504">
        <f t="shared" si="111"/>
        <v>195264</v>
      </c>
      <c r="X99" s="768">
        <f t="shared" si="86"/>
        <v>102</v>
      </c>
      <c r="Y99" s="205"/>
      <c r="Z99" s="320"/>
    </row>
    <row r="100" spans="2:28" x14ac:dyDescent="0.2">
      <c r="B100" s="9" t="s">
        <v>346</v>
      </c>
      <c r="Q100" s="37"/>
      <c r="R100" s="622">
        <f>SUM(R89-R99)</f>
        <v>46481</v>
      </c>
      <c r="S100" s="622">
        <f t="shared" ref="S100:V100" si="113">SUM(S89-S99)</f>
        <v>49429</v>
      </c>
      <c r="T100" s="622">
        <f t="shared" si="113"/>
        <v>54340</v>
      </c>
      <c r="U100" s="622">
        <f t="shared" ref="U100" si="114">SUM(U89-U99)</f>
        <v>73255</v>
      </c>
      <c r="V100" s="622">
        <f t="shared" si="113"/>
        <v>42714</v>
      </c>
      <c r="X100" s="768">
        <f t="shared" si="86"/>
        <v>18915</v>
      </c>
      <c r="Y100" s="205"/>
      <c r="Z100" s="635"/>
      <c r="AA100" s="205"/>
      <c r="AB100" s="205"/>
    </row>
    <row r="101" spans="2:28" x14ac:dyDescent="0.2">
      <c r="B101" s="9" t="s">
        <v>1278</v>
      </c>
      <c r="R101" s="76">
        <f>R91+R100</f>
        <v>180274</v>
      </c>
      <c r="S101" s="76">
        <f>S91+S100</f>
        <v>183222</v>
      </c>
      <c r="T101" s="76">
        <f>T91+T100</f>
        <v>188133</v>
      </c>
      <c r="U101" s="76">
        <f>U91+U100</f>
        <v>207048</v>
      </c>
      <c r="V101" s="76"/>
      <c r="X101" s="768">
        <f t="shared" si="86"/>
        <v>18915</v>
      </c>
      <c r="Z101" s="28"/>
    </row>
    <row r="102" spans="2:28" x14ac:dyDescent="0.2">
      <c r="W102"/>
      <c r="X102" s="768">
        <f t="shared" si="86"/>
        <v>0</v>
      </c>
      <c r="Z102" s="28"/>
    </row>
    <row r="103" spans="2:28" hidden="1" x14ac:dyDescent="0.2">
      <c r="U103" s="76">
        <f>207048-U101</f>
        <v>0</v>
      </c>
      <c r="W103"/>
      <c r="X103" s="768">
        <f t="shared" si="86"/>
        <v>0</v>
      </c>
      <c r="Z103" s="28"/>
    </row>
    <row r="104" spans="2:28" hidden="1" x14ac:dyDescent="0.2">
      <c r="U104" s="76">
        <f>U91+U100</f>
        <v>207048</v>
      </c>
      <c r="Z104" s="28"/>
    </row>
    <row r="105" spans="2:28" hidden="1" x14ac:dyDescent="0.2">
      <c r="Z105" s="29"/>
    </row>
    <row r="106" spans="2:28" x14ac:dyDescent="0.2">
      <c r="Z106" s="28"/>
    </row>
    <row r="107" spans="2:28" x14ac:dyDescent="0.2">
      <c r="Z107" s="28"/>
    </row>
    <row r="108" spans="2:28" x14ac:dyDescent="0.2">
      <c r="Z108" s="29"/>
    </row>
    <row r="109" spans="2:28" x14ac:dyDescent="0.2">
      <c r="Z109" s="29"/>
    </row>
    <row r="110" spans="2:28" x14ac:dyDescent="0.2">
      <c r="Z110" s="28"/>
    </row>
    <row r="111" spans="2:28" x14ac:dyDescent="0.2">
      <c r="Z111" s="28"/>
    </row>
    <row r="112" spans="2:28" x14ac:dyDescent="0.2">
      <c r="Z112" s="28"/>
    </row>
    <row r="113" spans="26:26" x14ac:dyDescent="0.2">
      <c r="Z113" s="28"/>
    </row>
    <row r="114" spans="26:26" x14ac:dyDescent="0.2">
      <c r="Z114" s="28"/>
    </row>
    <row r="115" spans="26:26" x14ac:dyDescent="0.2">
      <c r="Z115" s="28"/>
    </row>
    <row r="116" spans="26:26" x14ac:dyDescent="0.2">
      <c r="Z116" s="28"/>
    </row>
    <row r="117" spans="26:26" x14ac:dyDescent="0.2">
      <c r="Z117" s="29"/>
    </row>
    <row r="118" spans="26:26" x14ac:dyDescent="0.2">
      <c r="Z118" s="28"/>
    </row>
    <row r="119" spans="26:26" x14ac:dyDescent="0.2">
      <c r="Z119" s="28"/>
    </row>
    <row r="120" spans="26:26" x14ac:dyDescent="0.2">
      <c r="Z120" s="28"/>
    </row>
    <row r="121" spans="26:26" x14ac:dyDescent="0.2">
      <c r="Z121" s="28"/>
    </row>
    <row r="122" spans="26:26" x14ac:dyDescent="0.2">
      <c r="Z122" s="28"/>
    </row>
    <row r="123" spans="26:26" x14ac:dyDescent="0.2">
      <c r="Z123" s="28"/>
    </row>
    <row r="124" spans="26:26" x14ac:dyDescent="0.2">
      <c r="Z124" s="28"/>
    </row>
    <row r="125" spans="26:26" x14ac:dyDescent="0.2">
      <c r="Z125" s="28"/>
    </row>
    <row r="126" spans="26:26" x14ac:dyDescent="0.2">
      <c r="Z126" s="28"/>
    </row>
    <row r="127" spans="26:26" x14ac:dyDescent="0.2">
      <c r="Z127" s="29"/>
    </row>
    <row r="128" spans="26:26" x14ac:dyDescent="0.2">
      <c r="Z128" s="28"/>
    </row>
    <row r="129" spans="26:26" x14ac:dyDescent="0.2">
      <c r="Z129" s="28"/>
    </row>
    <row r="130" spans="26:26" x14ac:dyDescent="0.2">
      <c r="Z130" s="28"/>
    </row>
    <row r="131" spans="26:26" x14ac:dyDescent="0.2">
      <c r="Z131" s="28"/>
    </row>
    <row r="132" spans="26:26" x14ac:dyDescent="0.2">
      <c r="Z132" s="28"/>
    </row>
    <row r="133" spans="26:26" x14ac:dyDescent="0.2">
      <c r="Z133" s="28"/>
    </row>
    <row r="134" spans="26:26" x14ac:dyDescent="0.2">
      <c r="Z134" s="28"/>
    </row>
    <row r="135" spans="26:26" x14ac:dyDescent="0.2">
      <c r="Z135" s="28"/>
    </row>
    <row r="136" spans="26:26" x14ac:dyDescent="0.2">
      <c r="Z136" s="28"/>
    </row>
    <row r="137" spans="26:26" x14ac:dyDescent="0.2">
      <c r="Z137" s="28"/>
    </row>
    <row r="138" spans="26:26" x14ac:dyDescent="0.2">
      <c r="Z138" s="28"/>
    </row>
    <row r="139" spans="26:26" x14ac:dyDescent="0.2">
      <c r="Z139" s="29"/>
    </row>
    <row r="140" spans="26:26" x14ac:dyDescent="0.2">
      <c r="Z140" s="28"/>
    </row>
    <row r="141" spans="26:26" x14ac:dyDescent="0.2">
      <c r="Z141" s="28"/>
    </row>
    <row r="142" spans="26:26" x14ac:dyDescent="0.2">
      <c r="Z142" s="28"/>
    </row>
    <row r="143" spans="26:26" x14ac:dyDescent="0.2">
      <c r="Z143" s="28"/>
    </row>
    <row r="144" spans="26:26" x14ac:dyDescent="0.2">
      <c r="Z144" s="28"/>
    </row>
    <row r="145" spans="26:26" x14ac:dyDescent="0.2">
      <c r="Z145" s="28"/>
    </row>
    <row r="146" spans="26:26" x14ac:dyDescent="0.2">
      <c r="Z146" s="28"/>
    </row>
    <row r="147" spans="26:26" x14ac:dyDescent="0.2">
      <c r="Z147" s="28"/>
    </row>
    <row r="148" spans="26:26" x14ac:dyDescent="0.2">
      <c r="Z148" s="28"/>
    </row>
    <row r="149" spans="26:26" x14ac:dyDescent="0.2">
      <c r="Z149" s="28"/>
    </row>
    <row r="150" spans="26:26" x14ac:dyDescent="0.2">
      <c r="Z150" s="29"/>
    </row>
    <row r="151" spans="26:26" x14ac:dyDescent="0.2">
      <c r="Z151" s="28"/>
    </row>
    <row r="152" spans="26:26" x14ac:dyDescent="0.2">
      <c r="Z152" s="28"/>
    </row>
    <row r="153" spans="26:26" x14ac:dyDescent="0.2">
      <c r="Z153" s="28"/>
    </row>
    <row r="154" spans="26:26" x14ac:dyDescent="0.2">
      <c r="Z154" s="28"/>
    </row>
    <row r="155" spans="26:26" x14ac:dyDescent="0.2">
      <c r="Z155" s="28"/>
    </row>
    <row r="156" spans="26:26" x14ac:dyDescent="0.2">
      <c r="Z156" s="28"/>
    </row>
    <row r="157" spans="26:26" x14ac:dyDescent="0.2">
      <c r="Z157" s="28"/>
    </row>
    <row r="158" spans="26:26" x14ac:dyDescent="0.2">
      <c r="Z158" s="29"/>
    </row>
    <row r="159" spans="26:26" x14ac:dyDescent="0.2">
      <c r="Z159" s="28"/>
    </row>
    <row r="169" spans="26:26" x14ac:dyDescent="0.2">
      <c r="Z169" s="318"/>
    </row>
    <row r="170" spans="26:26" x14ac:dyDescent="0.2">
      <c r="Z170" s="320"/>
    </row>
    <row r="171" spans="26:26" x14ac:dyDescent="0.2">
      <c r="Z171" s="320"/>
    </row>
    <row r="172" spans="26:26" x14ac:dyDescent="0.2">
      <c r="Z172" s="320"/>
    </row>
    <row r="173" spans="26:26" x14ac:dyDescent="0.2">
      <c r="Z173" s="320"/>
    </row>
    <row r="174" spans="26:26" x14ac:dyDescent="0.2">
      <c r="Z174" s="320"/>
    </row>
    <row r="175" spans="26:26" x14ac:dyDescent="0.2">
      <c r="Z175" s="320"/>
    </row>
    <row r="176" spans="26:26" x14ac:dyDescent="0.2">
      <c r="Z176" s="320"/>
    </row>
    <row r="177" spans="26:26" x14ac:dyDescent="0.2">
      <c r="Z177" s="320"/>
    </row>
    <row r="178" spans="26:26" x14ac:dyDescent="0.2">
      <c r="Z178" s="320"/>
    </row>
    <row r="179" spans="26:26" x14ac:dyDescent="0.2">
      <c r="Z179" s="320"/>
    </row>
    <row r="180" spans="26:26" x14ac:dyDescent="0.2">
      <c r="Z180" s="320"/>
    </row>
    <row r="181" spans="26:26" x14ac:dyDescent="0.2">
      <c r="Z181" s="320"/>
    </row>
    <row r="182" spans="26:26" x14ac:dyDescent="0.2">
      <c r="Z182" s="320"/>
    </row>
    <row r="183" spans="26:26" x14ac:dyDescent="0.2">
      <c r="Z183" s="320"/>
    </row>
    <row r="184" spans="26:26" x14ac:dyDescent="0.2">
      <c r="Z184" s="320"/>
    </row>
    <row r="185" spans="26:26" x14ac:dyDescent="0.2">
      <c r="Z185" s="320"/>
    </row>
    <row r="186" spans="26:26" x14ac:dyDescent="0.2">
      <c r="Z186" s="320"/>
    </row>
    <row r="187" spans="26:26" x14ac:dyDescent="0.2">
      <c r="Z187" s="320"/>
    </row>
    <row r="188" spans="26:26" x14ac:dyDescent="0.2">
      <c r="Z188" s="320"/>
    </row>
    <row r="189" spans="26:26" x14ac:dyDescent="0.2">
      <c r="Z189" s="320"/>
    </row>
    <row r="190" spans="26:26" x14ac:dyDescent="0.2">
      <c r="Z190" s="320"/>
    </row>
    <row r="191" spans="26:26" x14ac:dyDescent="0.2">
      <c r="Z191" s="320"/>
    </row>
    <row r="192" spans="26:26" x14ac:dyDescent="0.2">
      <c r="Z192" s="320"/>
    </row>
    <row r="193" spans="26:26" x14ac:dyDescent="0.2">
      <c r="Z193" s="320"/>
    </row>
    <row r="194" spans="26:26" x14ac:dyDescent="0.2">
      <c r="Z194" s="320"/>
    </row>
    <row r="195" spans="26:26" x14ac:dyDescent="0.2">
      <c r="Z195" s="320"/>
    </row>
    <row r="196" spans="26:26" x14ac:dyDescent="0.2">
      <c r="Z196" s="320"/>
    </row>
    <row r="197" spans="26:26" x14ac:dyDescent="0.2">
      <c r="Z197" s="320"/>
    </row>
    <row r="198" spans="26:26" x14ac:dyDescent="0.2">
      <c r="Z198" s="320"/>
    </row>
    <row r="199" spans="26:26" x14ac:dyDescent="0.2">
      <c r="Z199" s="320"/>
    </row>
    <row r="200" spans="26:26" x14ac:dyDescent="0.2">
      <c r="Z200" s="320"/>
    </row>
    <row r="201" spans="26:26" x14ac:dyDescent="0.2">
      <c r="Z201" s="320"/>
    </row>
    <row r="202" spans="26:26" x14ac:dyDescent="0.2">
      <c r="Z202" s="320"/>
    </row>
    <row r="203" spans="26:26" x14ac:dyDescent="0.2">
      <c r="Z203" s="320"/>
    </row>
    <row r="204" spans="26:26" x14ac:dyDescent="0.2">
      <c r="Z204" s="320"/>
    </row>
    <row r="205" spans="26:26" x14ac:dyDescent="0.2">
      <c r="Z205" s="320"/>
    </row>
    <row r="206" spans="26:26" x14ac:dyDescent="0.2">
      <c r="Z206" s="320"/>
    </row>
    <row r="207" spans="26:26" x14ac:dyDescent="0.2">
      <c r="Z207" s="320"/>
    </row>
    <row r="208" spans="26:26" x14ac:dyDescent="0.2">
      <c r="Z208" s="320"/>
    </row>
    <row r="209" spans="26:26" x14ac:dyDescent="0.2">
      <c r="Z209" s="320"/>
    </row>
    <row r="210" spans="26:26" x14ac:dyDescent="0.2">
      <c r="Z210" s="320"/>
    </row>
    <row r="211" spans="26:26" x14ac:dyDescent="0.2">
      <c r="Z211" s="320"/>
    </row>
    <row r="212" spans="26:26" x14ac:dyDescent="0.2">
      <c r="Z212" s="320"/>
    </row>
    <row r="213" spans="26:26" x14ac:dyDescent="0.2">
      <c r="Z213" s="320"/>
    </row>
    <row r="214" spans="26:26" x14ac:dyDescent="0.2">
      <c r="Z214" s="320"/>
    </row>
    <row r="215" spans="26:26" x14ac:dyDescent="0.2">
      <c r="Z215" s="320"/>
    </row>
    <row r="216" spans="26:26" x14ac:dyDescent="0.2">
      <c r="Z216" s="320"/>
    </row>
    <row r="217" spans="26:26" x14ac:dyDescent="0.2">
      <c r="Z217" s="320"/>
    </row>
    <row r="218" spans="26:26" x14ac:dyDescent="0.2">
      <c r="Z218" s="320"/>
    </row>
    <row r="219" spans="26:26" x14ac:dyDescent="0.2">
      <c r="Z219" s="320"/>
    </row>
    <row r="220" spans="26:26" x14ac:dyDescent="0.2">
      <c r="Z220" s="320"/>
    </row>
    <row r="221" spans="26:26" x14ac:dyDescent="0.2">
      <c r="Z221" s="320"/>
    </row>
    <row r="222" spans="26:26" x14ac:dyDescent="0.2">
      <c r="Z222" s="320"/>
    </row>
    <row r="223" spans="26:26" x14ac:dyDescent="0.2">
      <c r="Z223" s="320"/>
    </row>
    <row r="224" spans="26:26" x14ac:dyDescent="0.2">
      <c r="Z224" s="320"/>
    </row>
    <row r="225" spans="26:26" x14ac:dyDescent="0.2">
      <c r="Z225" s="320"/>
    </row>
    <row r="226" spans="26:26" x14ac:dyDescent="0.2">
      <c r="Z226" s="320"/>
    </row>
    <row r="227" spans="26:26" x14ac:dyDescent="0.2">
      <c r="Z227" s="320"/>
    </row>
    <row r="228" spans="26:26" x14ac:dyDescent="0.2">
      <c r="Z228" s="320"/>
    </row>
    <row r="229" spans="26:26" x14ac:dyDescent="0.2">
      <c r="Z229" s="320"/>
    </row>
    <row r="230" spans="26:26" x14ac:dyDescent="0.2">
      <c r="Z230" s="320"/>
    </row>
    <row r="231" spans="26:26" x14ac:dyDescent="0.2">
      <c r="Z231" s="320"/>
    </row>
    <row r="232" spans="26:26" x14ac:dyDescent="0.2">
      <c r="Z232" s="320"/>
    </row>
    <row r="233" spans="26:26" x14ac:dyDescent="0.2">
      <c r="Z233" s="320"/>
    </row>
    <row r="234" spans="26:26" x14ac:dyDescent="0.2">
      <c r="Z234" s="320"/>
    </row>
    <row r="235" spans="26:26" x14ac:dyDescent="0.2">
      <c r="Z235" s="320"/>
    </row>
    <row r="236" spans="26:26" x14ac:dyDescent="0.2">
      <c r="Z236" s="320"/>
    </row>
    <row r="237" spans="26:26" x14ac:dyDescent="0.2">
      <c r="Z237" s="320"/>
    </row>
    <row r="238" spans="26:26" x14ac:dyDescent="0.2">
      <c r="Z238" s="320"/>
    </row>
  </sheetData>
  <mergeCells count="9">
    <mergeCell ref="A6:V6"/>
    <mergeCell ref="A4:V4"/>
    <mergeCell ref="A5:V5"/>
    <mergeCell ref="A8:A9"/>
    <mergeCell ref="B8:B9"/>
    <mergeCell ref="C8:G8"/>
    <mergeCell ref="H8:L8"/>
    <mergeCell ref="M8:Q8"/>
    <mergeCell ref="R8:V8"/>
  </mergeCells>
  <phoneticPr fontId="12" type="noConversion"/>
  <pageMargins left="0.35433070866141736" right="0" top="0.19685039370078741" bottom="0.15748031496062992" header="0.19685039370078741" footer="0.15748031496062992"/>
  <pageSetup paperSize="9" scale="70" orientation="landscape" r:id="rId1"/>
  <headerFooter alignWithMargins="0"/>
  <rowBreaks count="1" manualBreakCount="1">
    <brk id="58" max="2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85"/>
  <sheetViews>
    <sheetView zoomScaleNormal="100" workbookViewId="0">
      <selection activeCell="D30" sqref="D30:E30"/>
    </sheetView>
  </sheetViews>
  <sheetFormatPr defaultRowHeight="12.75" x14ac:dyDescent="0.2"/>
  <cols>
    <col min="1" max="1" width="44.85546875" customWidth="1"/>
    <col min="2" max="2" width="12.7109375" customWidth="1"/>
    <col min="3" max="3" width="12.7109375" style="96" customWidth="1"/>
    <col min="4" max="8" width="10.140625" customWidth="1"/>
    <col min="9" max="13" width="10.28515625" customWidth="1"/>
    <col min="14" max="14" width="12.7109375" customWidth="1"/>
    <col min="15" max="15" width="6.7109375" customWidth="1"/>
    <col min="16" max="17" width="12.7109375" customWidth="1"/>
    <col min="18" max="18" width="10.28515625" customWidth="1"/>
  </cols>
  <sheetData>
    <row r="1" spans="1:32" x14ac:dyDescent="0.2">
      <c r="A1" s="3"/>
      <c r="B1" s="3"/>
      <c r="C1" s="3"/>
      <c r="D1" s="3"/>
      <c r="E1" s="3"/>
      <c r="F1" s="3"/>
      <c r="G1" s="3"/>
      <c r="H1" s="3"/>
      <c r="J1" s="85"/>
      <c r="K1" s="85"/>
      <c r="L1" s="85"/>
      <c r="M1" s="85"/>
      <c r="N1" s="85" t="s">
        <v>954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x14ac:dyDescent="0.2">
      <c r="A2" s="86"/>
      <c r="B2" s="3"/>
      <c r="C2" s="87"/>
      <c r="D2" s="3"/>
      <c r="E2" s="3"/>
      <c r="F2" s="3"/>
      <c r="G2" s="3"/>
      <c r="H2" s="3"/>
      <c r="I2" s="609"/>
      <c r="J2" s="88"/>
      <c r="K2" s="88"/>
      <c r="L2" s="88"/>
      <c r="M2" s="88"/>
      <c r="N2" s="183" t="str">
        <f>'1.Bev-kiad.'!F2</f>
        <v>a 11/2023.(V.26.) önkormányzati rendelethez</v>
      </c>
      <c r="O2" s="3"/>
      <c r="P2" s="3"/>
      <c r="Q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2">
      <c r="A3" s="86"/>
      <c r="B3" s="3"/>
      <c r="C3" s="87"/>
      <c r="D3" s="3"/>
      <c r="E3" s="3"/>
      <c r="F3" s="3"/>
      <c r="G3" s="3"/>
      <c r="H3" s="3"/>
      <c r="I3" s="609"/>
      <c r="J3" s="88"/>
      <c r="K3" s="88"/>
      <c r="L3" s="88"/>
      <c r="M3" s="88"/>
      <c r="N3" s="183" t="s">
        <v>1304</v>
      </c>
      <c r="O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5" x14ac:dyDescent="0.2">
      <c r="A4" s="855" t="s">
        <v>27</v>
      </c>
      <c r="B4" s="856"/>
      <c r="C4" s="856"/>
      <c r="D4" s="856"/>
      <c r="E4" s="856"/>
      <c r="F4" s="856"/>
      <c r="G4" s="54"/>
      <c r="H4" s="54"/>
      <c r="I4" s="88"/>
      <c r="J4" s="88"/>
      <c r="K4" s="555"/>
      <c r="L4" s="90"/>
      <c r="M4" s="90"/>
      <c r="N4" s="54"/>
      <c r="O4" s="54"/>
      <c r="P4" s="54"/>
      <c r="Q4" s="54"/>
      <c r="R4" s="3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1:32" ht="15" x14ac:dyDescent="0.2">
      <c r="A5" s="855" t="s">
        <v>1305</v>
      </c>
      <c r="B5" s="856"/>
      <c r="C5" s="856"/>
      <c r="D5" s="856"/>
      <c r="E5" s="856"/>
      <c r="F5" s="856"/>
      <c r="G5" s="54"/>
      <c r="H5" s="54"/>
      <c r="I5" s="88"/>
      <c r="J5" s="88"/>
      <c r="K5" s="555"/>
      <c r="L5" s="90"/>
      <c r="M5" s="90"/>
      <c r="N5" s="54"/>
      <c r="O5" s="54"/>
      <c r="P5" s="54"/>
      <c r="Q5" s="3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</row>
    <row r="6" spans="1:32" x14ac:dyDescent="0.2">
      <c r="A6" s="3"/>
      <c r="B6" s="3"/>
      <c r="C6" s="87"/>
      <c r="D6" s="54"/>
      <c r="E6" s="54"/>
      <c r="F6" s="85" t="s">
        <v>28</v>
      </c>
      <c r="G6" s="54"/>
      <c r="H6" s="54"/>
      <c r="J6" s="85"/>
      <c r="L6" s="91"/>
      <c r="M6" s="91"/>
      <c r="N6" s="54"/>
      <c r="O6" s="54"/>
      <c r="P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</row>
    <row r="7" spans="1:32" ht="42.75" x14ac:dyDescent="0.2">
      <c r="A7" s="579" t="s">
        <v>387</v>
      </c>
      <c r="B7" s="578" t="s">
        <v>1150</v>
      </c>
      <c r="C7" s="588">
        <v>2022</v>
      </c>
      <c r="D7" s="588">
        <v>2023</v>
      </c>
      <c r="E7" s="588">
        <v>2024</v>
      </c>
      <c r="F7" s="588">
        <v>2025</v>
      </c>
      <c r="G7" s="587"/>
      <c r="H7" s="297"/>
      <c r="J7" s="587"/>
      <c r="K7" s="92"/>
      <c r="L7" s="92"/>
      <c r="M7" s="92"/>
    </row>
    <row r="8" spans="1:32" ht="15" customHeight="1" x14ac:dyDescent="0.2">
      <c r="A8" s="735" t="s">
        <v>64</v>
      </c>
      <c r="B8" s="589">
        <f>SUM(B9:B9)</f>
        <v>106639.83</v>
      </c>
      <c r="C8" s="589">
        <f>SUM(C9:C9)</f>
        <v>114409.17</v>
      </c>
      <c r="D8" s="556" t="s">
        <v>66</v>
      </c>
      <c r="E8" s="593" t="s">
        <v>66</v>
      </c>
      <c r="F8" s="591" t="s">
        <v>66</v>
      </c>
      <c r="G8" s="297"/>
      <c r="H8" s="297"/>
      <c r="I8" s="297"/>
      <c r="J8" s="297"/>
      <c r="K8" s="27"/>
      <c r="L8" s="27"/>
      <c r="M8" s="27"/>
    </row>
    <row r="9" spans="1:32" ht="16.5" customHeight="1" x14ac:dyDescent="0.2">
      <c r="A9" s="736" t="s">
        <v>1090</v>
      </c>
      <c r="B9" s="436">
        <f>(221049-C9)</f>
        <v>106639.83</v>
      </c>
      <c r="C9" s="146">
        <f>SUM('8.Önk.'!AQ113+'8.Önk.'!M110+'8.Önk.'!M111+'8.Önk.'!M112+'3.felh'!C47+'3.felh'!C48)</f>
        <v>114409.17</v>
      </c>
      <c r="D9" s="590" t="s">
        <v>66</v>
      </c>
      <c r="E9" s="590" t="s">
        <v>66</v>
      </c>
      <c r="F9" s="591" t="s">
        <v>66</v>
      </c>
      <c r="G9" s="197"/>
      <c r="H9" s="197"/>
      <c r="I9" s="197"/>
      <c r="J9" s="197"/>
      <c r="K9" s="27"/>
      <c r="L9" s="27"/>
      <c r="M9" s="27"/>
    </row>
    <row r="10" spans="1:32" ht="17.25" customHeight="1" x14ac:dyDescent="0.2">
      <c r="A10" s="729" t="s">
        <v>65</v>
      </c>
      <c r="B10" s="186">
        <f>SUM(B11)</f>
        <v>255977</v>
      </c>
      <c r="C10" s="186">
        <f>SUM(C11)</f>
        <v>693980.35</v>
      </c>
      <c r="D10" s="593" t="s">
        <v>66</v>
      </c>
      <c r="E10" s="593" t="s">
        <v>66</v>
      </c>
      <c r="F10" s="556" t="s">
        <v>66</v>
      </c>
      <c r="G10" s="584"/>
      <c r="H10" s="584"/>
      <c r="I10" s="584"/>
      <c r="J10" s="584"/>
      <c r="K10" s="27"/>
      <c r="L10" s="27"/>
      <c r="M10" s="27"/>
    </row>
    <row r="11" spans="1:32" ht="17.25" customHeight="1" x14ac:dyDescent="0.2">
      <c r="A11" s="736" t="s">
        <v>509</v>
      </c>
      <c r="B11" s="436">
        <v>255977</v>
      </c>
      <c r="C11" s="146">
        <f>SUM('8.Önk.'!M115+'8.Önk.'!M118+'8.Önk.'!AQ112+'3.felh'!C68)+'8.Önk.'!M119+'8.Önk.'!M120</f>
        <v>693980.35</v>
      </c>
      <c r="D11" s="590" t="s">
        <v>66</v>
      </c>
      <c r="E11" s="590" t="s">
        <v>66</v>
      </c>
      <c r="F11" s="40" t="s">
        <v>66</v>
      </c>
      <c r="G11" s="585"/>
      <c r="H11" s="585"/>
      <c r="I11" s="585"/>
      <c r="J11" s="585"/>
      <c r="K11" s="27"/>
      <c r="L11" s="27"/>
      <c r="M11" s="27"/>
    </row>
    <row r="12" spans="1:32" ht="27.75" customHeight="1" x14ac:dyDescent="0.2">
      <c r="A12" s="736" t="s">
        <v>1321</v>
      </c>
      <c r="B12" s="436">
        <v>0</v>
      </c>
      <c r="C12" s="146">
        <v>0</v>
      </c>
      <c r="D12" s="436">
        <v>227589</v>
      </c>
      <c r="E12" s="40" t="s">
        <v>66</v>
      </c>
      <c r="F12" s="40" t="s">
        <v>66</v>
      </c>
      <c r="G12" s="585"/>
      <c r="H12" s="585"/>
      <c r="I12" s="585"/>
      <c r="J12" s="585"/>
      <c r="K12" s="27"/>
      <c r="L12" s="27"/>
      <c r="M12" s="27"/>
    </row>
    <row r="13" spans="1:32" ht="15.75" customHeight="1" x14ac:dyDescent="0.2">
      <c r="A13" s="729" t="s">
        <v>67</v>
      </c>
      <c r="B13" s="774">
        <v>0</v>
      </c>
      <c r="C13" s="774">
        <v>0</v>
      </c>
      <c r="D13" s="593" t="s">
        <v>66</v>
      </c>
      <c r="E13" s="593" t="s">
        <v>66</v>
      </c>
      <c r="F13" s="556" t="s">
        <v>66</v>
      </c>
      <c r="G13" s="584"/>
      <c r="H13" s="584"/>
      <c r="I13" s="584"/>
      <c r="J13" s="584"/>
      <c r="K13" s="27"/>
      <c r="L13" s="27"/>
      <c r="M13" s="27"/>
    </row>
    <row r="14" spans="1:32" x14ac:dyDescent="0.2">
      <c r="A14" s="730" t="s">
        <v>66</v>
      </c>
      <c r="B14" s="146">
        <v>0</v>
      </c>
      <c r="C14" s="146">
        <v>0</v>
      </c>
      <c r="D14" s="590" t="s">
        <v>66</v>
      </c>
      <c r="E14" s="590" t="s">
        <v>66</v>
      </c>
      <c r="F14" s="40" t="s">
        <v>66</v>
      </c>
      <c r="G14" s="585"/>
      <c r="H14" s="585"/>
      <c r="I14" s="585"/>
      <c r="J14" s="585"/>
      <c r="K14" s="27"/>
      <c r="L14" s="27"/>
      <c r="M14" s="27"/>
    </row>
    <row r="15" spans="1:32" x14ac:dyDescent="0.2">
      <c r="A15" s="729" t="s">
        <v>47</v>
      </c>
      <c r="B15" s="105">
        <f>SUM(B8+B10)</f>
        <v>362616.83</v>
      </c>
      <c r="C15" s="105">
        <f>SUM(C8+C10)</f>
        <v>808389.52</v>
      </c>
      <c r="D15" s="594" t="s">
        <v>66</v>
      </c>
      <c r="E15" s="594" t="s">
        <v>66</v>
      </c>
      <c r="F15" s="592" t="s">
        <v>66</v>
      </c>
      <c r="G15" s="586"/>
      <c r="H15" s="586"/>
      <c r="I15" s="586"/>
      <c r="J15" s="586"/>
      <c r="K15" s="93"/>
      <c r="L15" s="93"/>
      <c r="M15" s="93"/>
    </row>
    <row r="16" spans="1:32" x14ac:dyDescent="0.2">
      <c r="A16" s="3"/>
      <c r="B16" s="3"/>
      <c r="C16" s="3"/>
      <c r="D16" s="187"/>
      <c r="E16" s="187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</row>
    <row r="17" spans="1:15" ht="12.95" customHeight="1" x14ac:dyDescent="0.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5" ht="16.5" customHeight="1" x14ac:dyDescent="0.2">
      <c r="A18" s="845" t="s">
        <v>955</v>
      </c>
      <c r="B18" s="845"/>
      <c r="C18" s="845"/>
      <c r="D18" s="845"/>
      <c r="E18" s="845"/>
      <c r="F18" s="845"/>
      <c r="G18" s="845"/>
      <c r="H18" s="845"/>
      <c r="I18" s="845"/>
      <c r="J18" s="845"/>
      <c r="K18" s="845"/>
      <c r="L18" s="845"/>
      <c r="M18" s="845"/>
      <c r="N18" s="845"/>
    </row>
    <row r="19" spans="1:15" ht="12.95" customHeight="1" x14ac:dyDescent="0.2">
      <c r="A19" s="855" t="s">
        <v>1151</v>
      </c>
      <c r="B19" s="856"/>
      <c r="C19" s="856"/>
      <c r="D19" s="856"/>
      <c r="E19" s="856"/>
      <c r="F19" s="856"/>
      <c r="G19" s="856"/>
      <c r="H19" s="856"/>
      <c r="I19" s="856"/>
      <c r="J19" s="856"/>
      <c r="K19" s="856"/>
      <c r="L19" s="856"/>
      <c r="M19" s="856"/>
      <c r="N19" s="856"/>
    </row>
    <row r="20" spans="1:15" ht="12.95" customHeight="1" x14ac:dyDescent="0.2">
      <c r="A20" s="3"/>
      <c r="B20" s="3"/>
      <c r="C20" s="87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5" t="s">
        <v>0</v>
      </c>
    </row>
    <row r="21" spans="1:15" ht="17.25" customHeight="1" x14ac:dyDescent="0.2">
      <c r="A21" s="853" t="s">
        <v>936</v>
      </c>
      <c r="B21" s="853" t="s">
        <v>68</v>
      </c>
      <c r="C21" s="853" t="s">
        <v>69</v>
      </c>
      <c r="D21" s="857" t="s">
        <v>907</v>
      </c>
      <c r="E21" s="857"/>
      <c r="F21" s="857"/>
      <c r="G21" s="857"/>
      <c r="H21" s="857"/>
      <c r="I21" s="857"/>
      <c r="J21" s="857"/>
      <c r="K21" s="857"/>
      <c r="L21" s="433"/>
      <c r="M21" s="433"/>
      <c r="N21" s="861" t="s">
        <v>47</v>
      </c>
    </row>
    <row r="22" spans="1:15" ht="33.75" customHeight="1" x14ac:dyDescent="0.2">
      <c r="A22" s="853"/>
      <c r="B22" s="853"/>
      <c r="C22" s="853"/>
      <c r="D22" s="849">
        <v>2022</v>
      </c>
      <c r="E22" s="850"/>
      <c r="F22" s="849">
        <v>2023</v>
      </c>
      <c r="G22" s="858"/>
      <c r="H22" s="846">
        <v>2024</v>
      </c>
      <c r="I22" s="846"/>
      <c r="J22" s="849">
        <v>2025</v>
      </c>
      <c r="K22" s="858"/>
      <c r="L22" s="857" t="s">
        <v>1152</v>
      </c>
      <c r="M22" s="876"/>
      <c r="N22" s="861"/>
    </row>
    <row r="23" spans="1:15" ht="15.75" customHeight="1" x14ac:dyDescent="0.2">
      <c r="A23" s="854"/>
      <c r="B23" s="854"/>
      <c r="C23" s="854"/>
      <c r="D23" s="120" t="s">
        <v>937</v>
      </c>
      <c r="E23" s="120" t="s">
        <v>938</v>
      </c>
      <c r="F23" s="120" t="s">
        <v>937</v>
      </c>
      <c r="G23" s="120" t="s">
        <v>938</v>
      </c>
      <c r="H23" s="120" t="s">
        <v>937</v>
      </c>
      <c r="I23" s="120" t="s">
        <v>938</v>
      </c>
      <c r="J23" s="120" t="s">
        <v>937</v>
      </c>
      <c r="K23" s="120" t="s">
        <v>938</v>
      </c>
      <c r="L23" s="120" t="s">
        <v>937</v>
      </c>
      <c r="M23" s="120" t="s">
        <v>938</v>
      </c>
      <c r="N23" s="862"/>
    </row>
    <row r="24" spans="1:15" ht="24.75" customHeight="1" x14ac:dyDescent="0.2">
      <c r="A24" s="435" t="s">
        <v>939</v>
      </c>
      <c r="B24" s="26">
        <v>2019</v>
      </c>
      <c r="C24" s="436">
        <v>100000</v>
      </c>
      <c r="D24" s="121">
        <v>10400</v>
      </c>
      <c r="E24" s="121">
        <v>6458</v>
      </c>
      <c r="F24" s="146">
        <v>10400</v>
      </c>
      <c r="G24" s="146">
        <v>1270</v>
      </c>
      <c r="H24" s="146">
        <v>10400</v>
      </c>
      <c r="I24" s="146">
        <v>1031</v>
      </c>
      <c r="J24" s="146">
        <v>10400</v>
      </c>
      <c r="K24" s="146">
        <v>785</v>
      </c>
      <c r="L24" s="146">
        <v>19400</v>
      </c>
      <c r="M24" s="146">
        <v>909</v>
      </c>
      <c r="N24" s="40">
        <f>SUM(D24:M24)</f>
        <v>71453</v>
      </c>
      <c r="O24" s="844">
        <f>SUM(N24+N25)</f>
        <v>159148</v>
      </c>
    </row>
    <row r="25" spans="1:15" x14ac:dyDescent="0.2">
      <c r="A25" s="59" t="s">
        <v>940</v>
      </c>
      <c r="B25" s="62">
        <v>2019</v>
      </c>
      <c r="C25" s="436">
        <v>100000</v>
      </c>
      <c r="D25" s="121">
        <v>9756</v>
      </c>
      <c r="E25" s="121">
        <v>6758</v>
      </c>
      <c r="F25" s="146">
        <v>9756</v>
      </c>
      <c r="G25" s="59">
        <v>1437</v>
      </c>
      <c r="H25" s="59">
        <v>9756</v>
      </c>
      <c r="I25" s="59">
        <v>1215</v>
      </c>
      <c r="J25" s="59">
        <v>9756</v>
      </c>
      <c r="K25" s="59">
        <v>986</v>
      </c>
      <c r="L25" s="59">
        <v>36585</v>
      </c>
      <c r="M25" s="59">
        <v>1690</v>
      </c>
      <c r="N25" s="40">
        <f t="shared" ref="N25:N27" si="0">SUM(D25:M25)</f>
        <v>87695</v>
      </c>
      <c r="O25" s="844"/>
    </row>
    <row r="26" spans="1:15" ht="12.95" customHeight="1" x14ac:dyDescent="0.2">
      <c r="A26" s="59" t="s">
        <v>1128</v>
      </c>
      <c r="B26" s="62">
        <v>2022</v>
      </c>
      <c r="C26" s="436">
        <v>342000</v>
      </c>
      <c r="D26" s="121">
        <v>38000</v>
      </c>
      <c r="E26" s="121">
        <v>12144</v>
      </c>
      <c r="F26" s="146">
        <v>38000</v>
      </c>
      <c r="G26" s="59">
        <v>12481</v>
      </c>
      <c r="H26" s="59">
        <v>38000</v>
      </c>
      <c r="I26" s="59">
        <v>10875</v>
      </c>
      <c r="J26" s="59">
        <v>38000</v>
      </c>
      <c r="K26" s="59">
        <v>9207</v>
      </c>
      <c r="L26" s="59">
        <f>(38000*5)</f>
        <v>190000</v>
      </c>
      <c r="M26" s="59">
        <v>21483</v>
      </c>
      <c r="N26" s="40">
        <f t="shared" si="0"/>
        <v>408190</v>
      </c>
    </row>
    <row r="27" spans="1:15" ht="12.95" customHeight="1" x14ac:dyDescent="0.2">
      <c r="A27" s="94" t="s">
        <v>47</v>
      </c>
      <c r="B27" s="63"/>
      <c r="C27" s="186">
        <f t="shared" ref="C27:M27" si="1">SUM(C24:C26)</f>
        <v>542000</v>
      </c>
      <c r="D27" s="122">
        <f t="shared" si="1"/>
        <v>58156</v>
      </c>
      <c r="E27" s="122">
        <f t="shared" si="1"/>
        <v>25360</v>
      </c>
      <c r="F27" s="59">
        <f t="shared" si="1"/>
        <v>58156</v>
      </c>
      <c r="G27" s="59">
        <f>SUM(G24:G26)</f>
        <v>15188</v>
      </c>
      <c r="H27" s="59">
        <f t="shared" si="1"/>
        <v>58156</v>
      </c>
      <c r="I27" s="61">
        <f t="shared" si="1"/>
        <v>13121</v>
      </c>
      <c r="J27" s="59">
        <f t="shared" si="1"/>
        <v>58156</v>
      </c>
      <c r="K27" s="59">
        <f t="shared" si="1"/>
        <v>10978</v>
      </c>
      <c r="L27" s="59">
        <f>SUM(L24:L26)</f>
        <v>245985</v>
      </c>
      <c r="M27" s="59">
        <f t="shared" si="1"/>
        <v>24082</v>
      </c>
      <c r="N27" s="556">
        <f t="shared" si="0"/>
        <v>567338</v>
      </c>
      <c r="O27" s="215">
        <f>SUM(N24:N26)</f>
        <v>567338</v>
      </c>
    </row>
    <row r="28" spans="1:15" ht="22.5" customHeight="1" x14ac:dyDescent="0.2">
      <c r="A28" s="863" t="s">
        <v>374</v>
      </c>
      <c r="B28" s="864"/>
      <c r="C28" s="865"/>
      <c r="D28" s="857" t="s">
        <v>386</v>
      </c>
      <c r="E28" s="857"/>
      <c r="F28" s="857"/>
      <c r="G28" s="857"/>
      <c r="H28" s="857"/>
      <c r="I28" s="857"/>
      <c r="J28" s="857"/>
      <c r="K28" s="857"/>
      <c r="L28" s="433"/>
      <c r="M28" s="433"/>
      <c r="N28" s="861" t="s">
        <v>47</v>
      </c>
    </row>
    <row r="29" spans="1:15" ht="21.75" customHeight="1" x14ac:dyDescent="0.2">
      <c r="A29" s="866"/>
      <c r="B29" s="867"/>
      <c r="C29" s="868"/>
      <c r="D29" s="859">
        <v>2022</v>
      </c>
      <c r="E29" s="860"/>
      <c r="F29" s="851">
        <v>2023</v>
      </c>
      <c r="G29" s="852"/>
      <c r="H29" s="847">
        <v>2024</v>
      </c>
      <c r="I29" s="848"/>
      <c r="J29" s="851">
        <v>2025</v>
      </c>
      <c r="K29" s="852"/>
      <c r="L29" s="851" t="s">
        <v>1152</v>
      </c>
      <c r="M29" s="852"/>
      <c r="N29" s="862"/>
    </row>
    <row r="30" spans="1:15" ht="12.95" customHeight="1" x14ac:dyDescent="0.2">
      <c r="A30" s="869"/>
      <c r="B30" s="870"/>
      <c r="C30" s="871"/>
      <c r="D30" s="872">
        <f>SUM('2.működés'!F74+'2.működés'!F75+'2.működés'!F76+'2.működés'!F78+'2.működés'!F86+'2.működés'!F81+'3.felh'!F25+'2.működés'!F80)/2</f>
        <v>233380.5</v>
      </c>
      <c r="E30" s="873"/>
      <c r="F30" s="874">
        <v>187500</v>
      </c>
      <c r="G30" s="875"/>
      <c r="H30" s="874">
        <v>187500</v>
      </c>
      <c r="I30" s="875"/>
      <c r="J30" s="874">
        <v>187500</v>
      </c>
      <c r="K30" s="875"/>
      <c r="L30" s="874">
        <f>(187500*6)</f>
        <v>1125000</v>
      </c>
      <c r="M30" s="875"/>
      <c r="N30" s="40">
        <f>SUM(D30:M30)</f>
        <v>1920880.5</v>
      </c>
    </row>
    <row r="31" spans="1:15" ht="12.95" customHeight="1" x14ac:dyDescent="0.2">
      <c r="B31" s="76"/>
      <c r="C31" s="95"/>
    </row>
    <row r="32" spans="1:15" ht="12.95" hidden="1" customHeight="1" x14ac:dyDescent="0.2">
      <c r="B32" s="76"/>
      <c r="C32" s="95"/>
      <c r="D32" s="76">
        <f>('2.működés'!D73+'2.működés'!D78+'2.működés'!D80+'2.működés'!D86+'2.működés'!D81+'3.felh'!D27)/2</f>
        <v>214095</v>
      </c>
      <c r="E32" s="76"/>
      <c r="F32" s="76">
        <f>('2.működés'!E73+'2.működés'!E78+'2.működés'!E80+'2.működés'!E86+'2.működés'!E81+'3.felh'!E27)/2</f>
        <v>229475</v>
      </c>
      <c r="G32" s="76"/>
      <c r="H32" s="76"/>
    </row>
    <row r="33" spans="2:6" ht="12.95" hidden="1" customHeight="1" x14ac:dyDescent="0.2">
      <c r="B33" s="76"/>
      <c r="C33" s="95"/>
      <c r="D33" s="76">
        <f>D32*2</f>
        <v>428190</v>
      </c>
      <c r="E33" s="76"/>
    </row>
    <row r="34" spans="2:6" ht="12.95" hidden="1" customHeight="1" x14ac:dyDescent="0.2">
      <c r="B34" s="76"/>
      <c r="C34" s="95"/>
      <c r="D34" s="76">
        <f>368582-D33</f>
        <v>-59608</v>
      </c>
      <c r="E34" s="76"/>
    </row>
    <row r="35" spans="2:6" ht="12.95" customHeight="1" x14ac:dyDescent="0.2">
      <c r="B35" s="76"/>
      <c r="C35" s="95"/>
    </row>
    <row r="36" spans="2:6" ht="12.95" customHeight="1" x14ac:dyDescent="0.2">
      <c r="B36" s="76"/>
      <c r="C36" s="95"/>
      <c r="F36" s="76"/>
    </row>
    <row r="37" spans="2:6" ht="12.95" customHeight="1" x14ac:dyDescent="0.2">
      <c r="B37" s="76"/>
      <c r="C37" s="95"/>
    </row>
    <row r="38" spans="2:6" ht="12.95" customHeight="1" x14ac:dyDescent="0.2">
      <c r="B38" s="76"/>
      <c r="C38" s="95"/>
    </row>
    <row r="39" spans="2:6" ht="12.95" customHeight="1" x14ac:dyDescent="0.2">
      <c r="B39" s="76"/>
      <c r="C39" s="95"/>
    </row>
    <row r="40" spans="2:6" ht="12.95" customHeight="1" x14ac:dyDescent="0.2">
      <c r="B40" s="76"/>
      <c r="C40" s="95"/>
    </row>
    <row r="41" spans="2:6" ht="12.95" customHeight="1" x14ac:dyDescent="0.2">
      <c r="B41" s="76"/>
      <c r="C41" s="95"/>
    </row>
    <row r="42" spans="2:6" ht="12.95" customHeight="1" x14ac:dyDescent="0.2">
      <c r="B42" s="76"/>
      <c r="C42" s="95"/>
    </row>
    <row r="43" spans="2:6" ht="12.95" customHeight="1" x14ac:dyDescent="0.2">
      <c r="B43" s="76"/>
      <c r="C43" s="95"/>
    </row>
    <row r="44" spans="2:6" ht="12.95" customHeight="1" x14ac:dyDescent="0.2">
      <c r="B44" s="76"/>
      <c r="C44" s="95"/>
    </row>
    <row r="45" spans="2:6" ht="12.95" customHeight="1" x14ac:dyDescent="0.2">
      <c r="B45" s="76"/>
      <c r="C45" s="95"/>
    </row>
    <row r="46" spans="2:6" ht="12.95" customHeight="1" x14ac:dyDescent="0.2">
      <c r="B46" s="76"/>
      <c r="C46" s="95"/>
    </row>
    <row r="47" spans="2:6" ht="12.95" customHeight="1" x14ac:dyDescent="0.2">
      <c r="B47" s="76"/>
      <c r="C47" s="95"/>
    </row>
    <row r="48" spans="2:6" ht="12.95" customHeight="1" x14ac:dyDescent="0.2">
      <c r="B48" s="76"/>
      <c r="C48" s="95"/>
    </row>
    <row r="49" spans="2:3" ht="12.95" customHeight="1" x14ac:dyDescent="0.2">
      <c r="B49" s="76"/>
      <c r="C49" s="95"/>
    </row>
    <row r="50" spans="2:3" ht="12.95" customHeight="1" x14ac:dyDescent="0.2">
      <c r="B50" s="76"/>
      <c r="C50" s="95"/>
    </row>
    <row r="51" spans="2:3" ht="12.95" customHeight="1" x14ac:dyDescent="0.2">
      <c r="B51" s="76"/>
      <c r="C51" s="95"/>
    </row>
    <row r="52" spans="2:3" ht="12.95" customHeight="1" x14ac:dyDescent="0.2">
      <c r="B52" s="76"/>
      <c r="C52" s="95"/>
    </row>
    <row r="53" spans="2:3" ht="12.95" customHeight="1" x14ac:dyDescent="0.2">
      <c r="B53" s="76"/>
      <c r="C53" s="95"/>
    </row>
    <row r="54" spans="2:3" ht="12.95" customHeight="1" x14ac:dyDescent="0.2">
      <c r="B54" s="76"/>
      <c r="C54" s="95"/>
    </row>
    <row r="55" spans="2:3" ht="12.95" customHeight="1" x14ac:dyDescent="0.2">
      <c r="B55" s="76"/>
      <c r="C55" s="95"/>
    </row>
    <row r="56" spans="2:3" ht="12.95" customHeight="1" x14ac:dyDescent="0.2">
      <c r="B56" s="76"/>
      <c r="C56" s="95"/>
    </row>
    <row r="57" spans="2:3" ht="12.95" customHeight="1" x14ac:dyDescent="0.2">
      <c r="B57" s="76"/>
      <c r="C57" s="95"/>
    </row>
    <row r="58" spans="2:3" ht="12.95" customHeight="1" x14ac:dyDescent="0.2">
      <c r="B58" s="76"/>
      <c r="C58" s="95"/>
    </row>
    <row r="59" spans="2:3" ht="12.95" customHeight="1" x14ac:dyDescent="0.2">
      <c r="B59" s="76"/>
      <c r="C59" s="95"/>
    </row>
    <row r="60" spans="2:3" ht="12.95" customHeight="1" x14ac:dyDescent="0.2">
      <c r="B60" s="76"/>
      <c r="C60" s="95"/>
    </row>
    <row r="61" spans="2:3" ht="12.95" customHeight="1" x14ac:dyDescent="0.2">
      <c r="B61" s="76"/>
      <c r="C61" s="95"/>
    </row>
    <row r="62" spans="2:3" ht="12.95" customHeight="1" x14ac:dyDescent="0.2">
      <c r="B62" s="76"/>
      <c r="C62" s="95"/>
    </row>
    <row r="63" spans="2:3" ht="12.95" customHeight="1" x14ac:dyDescent="0.2">
      <c r="B63" s="76"/>
      <c r="C63" s="95"/>
    </row>
    <row r="64" spans="2:3" ht="12.95" customHeight="1" x14ac:dyDescent="0.2">
      <c r="B64" s="76"/>
      <c r="C64" s="95"/>
    </row>
    <row r="65" spans="2:3" ht="12.95" customHeight="1" x14ac:dyDescent="0.2">
      <c r="B65" s="76"/>
      <c r="C65" s="95"/>
    </row>
    <row r="66" spans="2:3" ht="12.95" customHeight="1" x14ac:dyDescent="0.2">
      <c r="B66" s="76"/>
      <c r="C66" s="95"/>
    </row>
    <row r="67" spans="2:3" ht="12.95" customHeight="1" x14ac:dyDescent="0.2">
      <c r="B67" s="76"/>
      <c r="C67" s="95"/>
    </row>
    <row r="68" spans="2:3" x14ac:dyDescent="0.2">
      <c r="B68" s="76"/>
      <c r="C68" s="95"/>
    </row>
    <row r="69" spans="2:3" x14ac:dyDescent="0.2">
      <c r="B69" s="76"/>
      <c r="C69" s="95"/>
    </row>
    <row r="70" spans="2:3" x14ac:dyDescent="0.2">
      <c r="B70" s="76"/>
      <c r="C70" s="95"/>
    </row>
    <row r="71" spans="2:3" x14ac:dyDescent="0.2">
      <c r="B71" s="76"/>
      <c r="C71" s="95"/>
    </row>
    <row r="72" spans="2:3" x14ac:dyDescent="0.2">
      <c r="B72" s="76"/>
      <c r="C72" s="95"/>
    </row>
    <row r="73" spans="2:3" x14ac:dyDescent="0.2">
      <c r="B73" s="76"/>
      <c r="C73" s="95"/>
    </row>
    <row r="74" spans="2:3" x14ac:dyDescent="0.2">
      <c r="B74" s="76"/>
      <c r="C74" s="95"/>
    </row>
    <row r="75" spans="2:3" x14ac:dyDescent="0.2">
      <c r="B75" s="76"/>
      <c r="C75" s="95"/>
    </row>
    <row r="76" spans="2:3" x14ac:dyDescent="0.2">
      <c r="B76" s="76"/>
      <c r="C76" s="95"/>
    </row>
    <row r="77" spans="2:3" x14ac:dyDescent="0.2">
      <c r="B77" s="76"/>
      <c r="C77" s="95"/>
    </row>
    <row r="78" spans="2:3" x14ac:dyDescent="0.2">
      <c r="B78" s="76"/>
      <c r="C78" s="95"/>
    </row>
    <row r="79" spans="2:3" x14ac:dyDescent="0.2">
      <c r="B79" s="76"/>
      <c r="C79" s="95"/>
    </row>
    <row r="80" spans="2:3" x14ac:dyDescent="0.2">
      <c r="B80" s="76"/>
      <c r="C80" s="95"/>
    </row>
    <row r="81" spans="2:3" x14ac:dyDescent="0.2">
      <c r="B81" s="76"/>
      <c r="C81" s="95"/>
    </row>
    <row r="82" spans="2:3" x14ac:dyDescent="0.2">
      <c r="B82" s="76"/>
      <c r="C82" s="95"/>
    </row>
    <row r="83" spans="2:3" x14ac:dyDescent="0.2">
      <c r="B83" s="76"/>
      <c r="C83" s="95"/>
    </row>
    <row r="84" spans="2:3" x14ac:dyDescent="0.2">
      <c r="B84" s="76"/>
      <c r="C84" s="95"/>
    </row>
    <row r="85" spans="2:3" x14ac:dyDescent="0.2">
      <c r="B85" s="76"/>
      <c r="C85" s="95"/>
    </row>
  </sheetData>
  <mergeCells count="28">
    <mergeCell ref="A4:F4"/>
    <mergeCell ref="A5:F5"/>
    <mergeCell ref="A28:C30"/>
    <mergeCell ref="F22:G22"/>
    <mergeCell ref="N28:N29"/>
    <mergeCell ref="D30:E30"/>
    <mergeCell ref="F30:G30"/>
    <mergeCell ref="H30:I30"/>
    <mergeCell ref="J30:K30"/>
    <mergeCell ref="L22:M22"/>
    <mergeCell ref="L29:M29"/>
    <mergeCell ref="L30:M30"/>
    <mergeCell ref="O24:O25"/>
    <mergeCell ref="A18:N18"/>
    <mergeCell ref="H22:I22"/>
    <mergeCell ref="H29:I29"/>
    <mergeCell ref="D22:E22"/>
    <mergeCell ref="J29:K29"/>
    <mergeCell ref="A21:A23"/>
    <mergeCell ref="A19:N19"/>
    <mergeCell ref="B21:B23"/>
    <mergeCell ref="D28:K28"/>
    <mergeCell ref="J22:K22"/>
    <mergeCell ref="F29:G29"/>
    <mergeCell ref="C21:C23"/>
    <mergeCell ref="D29:E29"/>
    <mergeCell ref="D21:K21"/>
    <mergeCell ref="N21:N23"/>
  </mergeCells>
  <pageMargins left="0.43307086614173229" right="0.19685039370078741" top="0.31496062992125984" bottom="0.98425196850393704" header="0.19685039370078741" footer="0.51181102362204722"/>
  <pageSetup paperSize="9" scale="7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zoomScaleNormal="100" workbookViewId="0">
      <selection activeCell="C15" sqref="C15"/>
    </sheetView>
  </sheetViews>
  <sheetFormatPr defaultRowHeight="12.75" x14ac:dyDescent="0.2"/>
  <cols>
    <col min="1" max="1" width="6.140625" style="321" customWidth="1"/>
    <col min="2" max="2" width="46.85546875" style="321" customWidth="1"/>
    <col min="3" max="3" width="15.28515625" style="321" customWidth="1"/>
    <col min="4" max="4" width="13.7109375" style="321" customWidth="1"/>
    <col min="5" max="5" width="13.85546875" style="321" customWidth="1"/>
    <col min="6" max="7" width="9.140625" style="321" hidden="1" customWidth="1"/>
    <col min="8" max="16384" width="9.140625" style="321"/>
  </cols>
  <sheetData>
    <row r="1" spans="1:7" x14ac:dyDescent="0.2">
      <c r="E1" s="322" t="s">
        <v>375</v>
      </c>
    </row>
    <row r="2" spans="1:7" ht="19.5" x14ac:dyDescent="0.35">
      <c r="A2" s="779" t="s">
        <v>27</v>
      </c>
      <c r="B2" s="787"/>
      <c r="C2" s="787"/>
      <c r="D2" s="787"/>
      <c r="E2" s="787"/>
    </row>
    <row r="3" spans="1:7" ht="19.5" x14ac:dyDescent="0.35">
      <c r="A3" s="779" t="s">
        <v>728</v>
      </c>
      <c r="B3" s="787"/>
      <c r="C3" s="787"/>
      <c r="D3" s="787"/>
      <c r="E3" s="787"/>
    </row>
    <row r="4" spans="1:7" ht="20.25" thickBot="1" x14ac:dyDescent="0.4">
      <c r="B4" s="316"/>
      <c r="C4" s="316"/>
      <c r="D4" s="316"/>
    </row>
    <row r="5" spans="1:7" s="326" customFormat="1" ht="48.75" customHeight="1" thickBot="1" x14ac:dyDescent="0.25">
      <c r="A5" s="323"/>
      <c r="B5" s="324" t="s">
        <v>520</v>
      </c>
      <c r="C5" s="324" t="s">
        <v>44</v>
      </c>
      <c r="D5" s="324" t="s">
        <v>521</v>
      </c>
      <c r="E5" s="325" t="s">
        <v>47</v>
      </c>
    </row>
    <row r="6" spans="1:7" x14ac:dyDescent="0.2">
      <c r="A6" s="327" t="s">
        <v>522</v>
      </c>
      <c r="B6" s="328" t="s">
        <v>523</v>
      </c>
      <c r="C6" s="329">
        <v>2162596</v>
      </c>
      <c r="D6" s="329">
        <v>31806</v>
      </c>
      <c r="E6" s="330">
        <f>SUM(C6:D6)</f>
        <v>2194402</v>
      </c>
      <c r="G6" s="321">
        <v>252931</v>
      </c>
    </row>
    <row r="7" spans="1:7" x14ac:dyDescent="0.2">
      <c r="A7" s="331" t="s">
        <v>524</v>
      </c>
      <c r="B7" s="332" t="s">
        <v>525</v>
      </c>
      <c r="C7" s="333">
        <v>813907</v>
      </c>
      <c r="D7" s="333">
        <v>185259</v>
      </c>
      <c r="E7" s="334">
        <f>SUM(C7:D7)</f>
        <v>999166</v>
      </c>
      <c r="F7" s="335"/>
      <c r="G7" s="321">
        <v>252931</v>
      </c>
    </row>
    <row r="8" spans="1:7" x14ac:dyDescent="0.2">
      <c r="A8" s="336" t="s">
        <v>526</v>
      </c>
      <c r="B8" s="337" t="s">
        <v>527</v>
      </c>
      <c r="C8" s="338">
        <f>C6-C7</f>
        <v>1348689</v>
      </c>
      <c r="D8" s="338">
        <f>D6-D7</f>
        <v>-153453</v>
      </c>
      <c r="E8" s="339">
        <f>E6-E7</f>
        <v>1195236</v>
      </c>
      <c r="F8" s="340"/>
    </row>
    <row r="9" spans="1:7" x14ac:dyDescent="0.2">
      <c r="A9" s="331" t="s">
        <v>528</v>
      </c>
      <c r="B9" s="332" t="s">
        <v>529</v>
      </c>
      <c r="C9" s="333">
        <v>162293</v>
      </c>
      <c r="D9" s="333">
        <v>173994</v>
      </c>
      <c r="E9" s="334">
        <f>SUM(C9:D9)</f>
        <v>336287</v>
      </c>
      <c r="F9" s="335">
        <f>E6+E9</f>
        <v>2530689</v>
      </c>
      <c r="G9" s="335">
        <f>F9-G6</f>
        <v>2277758</v>
      </c>
    </row>
    <row r="10" spans="1:7" x14ac:dyDescent="0.2">
      <c r="A10" s="331" t="s">
        <v>530</v>
      </c>
      <c r="B10" s="332" t="s">
        <v>531</v>
      </c>
      <c r="C10" s="333">
        <v>184852</v>
      </c>
      <c r="D10" s="333">
        <v>0</v>
      </c>
      <c r="E10" s="334">
        <f>SUM(C10:D10)</f>
        <v>184852</v>
      </c>
      <c r="F10" s="335">
        <f>E7+E10</f>
        <v>1184018</v>
      </c>
      <c r="G10" s="335">
        <f>F10-G7</f>
        <v>931087</v>
      </c>
    </row>
    <row r="11" spans="1:7" ht="14.25" customHeight="1" x14ac:dyDescent="0.2">
      <c r="A11" s="336" t="s">
        <v>532</v>
      </c>
      <c r="B11" s="337" t="s">
        <v>533</v>
      </c>
      <c r="C11" s="338">
        <f>C9-C10</f>
        <v>-22559</v>
      </c>
      <c r="D11" s="338">
        <f>D9-D10</f>
        <v>173994</v>
      </c>
      <c r="E11" s="339">
        <f>E9-E10</f>
        <v>151435</v>
      </c>
    </row>
    <row r="12" spans="1:7" x14ac:dyDescent="0.2">
      <c r="A12" s="336" t="s">
        <v>534</v>
      </c>
      <c r="B12" s="337" t="s">
        <v>535</v>
      </c>
      <c r="C12" s="338">
        <f>C8+C11</f>
        <v>1326130</v>
      </c>
      <c r="D12" s="338">
        <f>D8+D11</f>
        <v>20541</v>
      </c>
      <c r="E12" s="339">
        <f>E8+E11</f>
        <v>1346671</v>
      </c>
    </row>
    <row r="13" spans="1:7" x14ac:dyDescent="0.2">
      <c r="A13" s="336">
        <v>15</v>
      </c>
      <c r="B13" s="337" t="s">
        <v>536</v>
      </c>
      <c r="C13" s="338">
        <f>C12</f>
        <v>1326130</v>
      </c>
      <c r="D13" s="338">
        <f>D12</f>
        <v>20541</v>
      </c>
      <c r="E13" s="339">
        <f>E12</f>
        <v>1346671</v>
      </c>
    </row>
    <row r="14" spans="1:7" ht="25.5" hidden="1" x14ac:dyDescent="0.2">
      <c r="A14" s="336" t="s">
        <v>537</v>
      </c>
      <c r="B14" s="337" t="s">
        <v>538</v>
      </c>
      <c r="C14" s="341">
        <v>0</v>
      </c>
      <c r="D14" s="341">
        <v>0</v>
      </c>
      <c r="E14" s="342">
        <f>SUM(C14:D14)</f>
        <v>0</v>
      </c>
    </row>
    <row r="15" spans="1:7" ht="13.5" thickBot="1" x14ac:dyDescent="0.25">
      <c r="A15" s="343">
        <v>17</v>
      </c>
      <c r="B15" s="344" t="s">
        <v>539</v>
      </c>
      <c r="C15" s="345">
        <f>C12-C14</f>
        <v>1326130</v>
      </c>
      <c r="D15" s="345">
        <f>D12-D14</f>
        <v>20541</v>
      </c>
      <c r="E15" s="346">
        <f>E12-E14</f>
        <v>1346671</v>
      </c>
    </row>
  </sheetData>
  <mergeCells count="2">
    <mergeCell ref="A2:E2"/>
    <mergeCell ref="A3:E3"/>
  </mergeCells>
  <pageMargins left="0.7" right="0.7" top="0.75" bottom="0.75" header="0.3" footer="0.3"/>
  <pageSetup paperSize="9" scale="9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H82"/>
  <sheetViews>
    <sheetView topLeftCell="A13" zoomScaleNormal="100" workbookViewId="0">
      <selection activeCell="F19" sqref="F19"/>
    </sheetView>
  </sheetViews>
  <sheetFormatPr defaultRowHeight="12.75" x14ac:dyDescent="0.2"/>
  <cols>
    <col min="1" max="1" width="0.28515625" style="321" customWidth="1"/>
    <col min="2" max="2" width="8.140625" style="321" customWidth="1"/>
    <col min="3" max="3" width="78.5703125" style="321" customWidth="1"/>
    <col min="4" max="4" width="13.42578125" style="321" customWidth="1"/>
    <col min="5" max="5" width="14.140625" style="321" customWidth="1"/>
    <col min="6" max="6" width="12.42578125" style="321" customWidth="1"/>
    <col min="7" max="16384" width="9.140625" style="321"/>
  </cols>
  <sheetData>
    <row r="1" spans="2:8" x14ac:dyDescent="0.2">
      <c r="F1" s="322" t="s">
        <v>495</v>
      </c>
    </row>
    <row r="2" spans="2:8" ht="19.5" x14ac:dyDescent="0.35">
      <c r="B2" s="779" t="s">
        <v>27</v>
      </c>
      <c r="C2" s="787"/>
      <c r="D2" s="787"/>
      <c r="E2" s="787"/>
      <c r="F2" s="787"/>
      <c r="G2"/>
      <c r="H2"/>
    </row>
    <row r="3" spans="2:8" ht="19.5" x14ac:dyDescent="0.35">
      <c r="B3" s="779" t="s">
        <v>729</v>
      </c>
      <c r="C3" s="787"/>
      <c r="D3" s="787"/>
      <c r="E3" s="787"/>
      <c r="F3" s="787"/>
      <c r="G3"/>
      <c r="H3"/>
    </row>
    <row r="4" spans="2:8" x14ac:dyDescent="0.2">
      <c r="F4" s="322"/>
    </row>
    <row r="5" spans="2:8" x14ac:dyDescent="0.2">
      <c r="F5" s="322" t="s">
        <v>739</v>
      </c>
    </row>
    <row r="6" spans="2:8" s="326" customFormat="1" ht="31.5" x14ac:dyDescent="0.2">
      <c r="B6" s="347"/>
      <c r="C6" s="348" t="s">
        <v>71</v>
      </c>
      <c r="D6" s="348" t="s">
        <v>541</v>
      </c>
      <c r="E6" s="347" t="s">
        <v>542</v>
      </c>
      <c r="F6" s="347" t="s">
        <v>543</v>
      </c>
    </row>
    <row r="7" spans="2:8" hidden="1" x14ac:dyDescent="0.2">
      <c r="B7" s="349" t="s">
        <v>522</v>
      </c>
      <c r="C7" s="332" t="s">
        <v>544</v>
      </c>
      <c r="D7" s="333">
        <v>0</v>
      </c>
      <c r="E7" s="333">
        <v>0</v>
      </c>
      <c r="F7" s="333">
        <v>0</v>
      </c>
    </row>
    <row r="8" spans="2:8" hidden="1" x14ac:dyDescent="0.2">
      <c r="B8" s="349" t="s">
        <v>524</v>
      </c>
      <c r="C8" s="332" t="s">
        <v>545</v>
      </c>
      <c r="D8" s="333">
        <v>71</v>
      </c>
      <c r="E8" s="333">
        <v>0</v>
      </c>
      <c r="F8" s="333">
        <v>34</v>
      </c>
    </row>
    <row r="9" spans="2:8" x14ac:dyDescent="0.2">
      <c r="B9" s="349" t="s">
        <v>522</v>
      </c>
      <c r="C9" s="332" t="s">
        <v>546</v>
      </c>
      <c r="D9" s="333">
        <v>292</v>
      </c>
      <c r="E9" s="333">
        <f>E7+E8</f>
        <v>0</v>
      </c>
      <c r="F9" s="333">
        <v>812</v>
      </c>
    </row>
    <row r="10" spans="2:8" hidden="1" x14ac:dyDescent="0.2">
      <c r="B10" s="349" t="s">
        <v>530</v>
      </c>
      <c r="C10" s="332" t="s">
        <v>547</v>
      </c>
      <c r="D10" s="333">
        <v>453294</v>
      </c>
      <c r="E10" s="333">
        <v>0</v>
      </c>
      <c r="F10" s="333">
        <v>456355</v>
      </c>
    </row>
    <row r="11" spans="2:8" hidden="1" x14ac:dyDescent="0.2">
      <c r="B11" s="349" t="s">
        <v>532</v>
      </c>
      <c r="C11" s="332" t="s">
        <v>548</v>
      </c>
      <c r="D11" s="333">
        <v>20376</v>
      </c>
      <c r="E11" s="333">
        <v>0</v>
      </c>
      <c r="F11" s="333">
        <v>0</v>
      </c>
    </row>
    <row r="12" spans="2:8" hidden="1" x14ac:dyDescent="0.2">
      <c r="B12" s="349" t="s">
        <v>549</v>
      </c>
      <c r="C12" s="332" t="s">
        <v>550</v>
      </c>
      <c r="D12" s="333">
        <v>0</v>
      </c>
      <c r="E12" s="333">
        <v>0</v>
      </c>
      <c r="F12" s="333">
        <v>0</v>
      </c>
    </row>
    <row r="13" spans="2:8" x14ac:dyDescent="0.2">
      <c r="B13" s="349" t="s">
        <v>524</v>
      </c>
      <c r="C13" s="332" t="s">
        <v>551</v>
      </c>
      <c r="D13" s="333">
        <v>4808307</v>
      </c>
      <c r="E13" s="333">
        <f>E10+E11+E12</f>
        <v>0</v>
      </c>
      <c r="F13" s="333">
        <v>4824355</v>
      </c>
    </row>
    <row r="14" spans="2:8" hidden="1" x14ac:dyDescent="0.2">
      <c r="B14" s="349" t="s">
        <v>552</v>
      </c>
      <c r="C14" s="332" t="s">
        <v>553</v>
      </c>
      <c r="D14" s="333">
        <v>0</v>
      </c>
      <c r="E14" s="333">
        <v>0</v>
      </c>
      <c r="F14" s="333">
        <v>0</v>
      </c>
    </row>
    <row r="15" spans="2:8" hidden="1" x14ac:dyDescent="0.2">
      <c r="B15" s="349" t="s">
        <v>554</v>
      </c>
      <c r="C15" s="332" t="s">
        <v>555</v>
      </c>
      <c r="D15" s="333">
        <v>0</v>
      </c>
      <c r="E15" s="333">
        <v>0</v>
      </c>
      <c r="F15" s="333">
        <v>0</v>
      </c>
    </row>
    <row r="16" spans="2:8" hidden="1" x14ac:dyDescent="0.2">
      <c r="B16" s="349" t="s">
        <v>556</v>
      </c>
      <c r="C16" s="332" t="s">
        <v>557</v>
      </c>
      <c r="D16" s="333">
        <v>0</v>
      </c>
      <c r="E16" s="333">
        <v>0</v>
      </c>
      <c r="F16" s="333">
        <v>0</v>
      </c>
    </row>
    <row r="17" spans="2:6" hidden="1" x14ac:dyDescent="0.2">
      <c r="B17" s="349">
        <v>17</v>
      </c>
      <c r="C17" s="332" t="s">
        <v>558</v>
      </c>
      <c r="D17" s="333">
        <v>0</v>
      </c>
      <c r="E17" s="333">
        <v>0</v>
      </c>
      <c r="F17" s="333">
        <v>0</v>
      </c>
    </row>
    <row r="18" spans="2:6" x14ac:dyDescent="0.2">
      <c r="B18" s="349" t="s">
        <v>530</v>
      </c>
      <c r="C18" s="332" t="s">
        <v>559</v>
      </c>
      <c r="D18" s="333">
        <v>196666</v>
      </c>
      <c r="E18" s="333">
        <f>E14+E17</f>
        <v>0</v>
      </c>
      <c r="F18" s="333">
        <v>196506</v>
      </c>
    </row>
    <row r="19" spans="2:6" x14ac:dyDescent="0.2">
      <c r="B19" s="350" t="s">
        <v>530</v>
      </c>
      <c r="C19" s="337" t="s">
        <v>560</v>
      </c>
      <c r="D19" s="338">
        <f>D9+D13+D18</f>
        <v>5005265</v>
      </c>
      <c r="E19" s="338">
        <f>E9+E13+E18</f>
        <v>0</v>
      </c>
      <c r="F19" s="338">
        <f>F9+F13+F18</f>
        <v>5021673</v>
      </c>
    </row>
    <row r="20" spans="2:6" hidden="1" x14ac:dyDescent="0.2">
      <c r="C20" s="332" t="s">
        <v>561</v>
      </c>
      <c r="D20" s="333">
        <v>945</v>
      </c>
      <c r="E20" s="333">
        <v>0</v>
      </c>
      <c r="F20" s="333">
        <v>881</v>
      </c>
    </row>
    <row r="21" spans="2:6" x14ac:dyDescent="0.2">
      <c r="B21" s="349" t="s">
        <v>534</v>
      </c>
      <c r="C21" s="332" t="s">
        <v>749</v>
      </c>
      <c r="D21" s="333">
        <v>0</v>
      </c>
      <c r="E21" s="333">
        <f t="shared" ref="D21:F22" si="0">E20</f>
        <v>0</v>
      </c>
      <c r="F21" s="333">
        <v>160</v>
      </c>
    </row>
    <row r="22" spans="2:6" x14ac:dyDescent="0.2">
      <c r="B22" s="350" t="s">
        <v>549</v>
      </c>
      <c r="C22" s="337" t="s">
        <v>562</v>
      </c>
      <c r="D22" s="338">
        <f t="shared" si="0"/>
        <v>0</v>
      </c>
      <c r="E22" s="338">
        <f t="shared" si="0"/>
        <v>0</v>
      </c>
      <c r="F22" s="338">
        <f t="shared" si="0"/>
        <v>160</v>
      </c>
    </row>
    <row r="23" spans="2:6" hidden="1" x14ac:dyDescent="0.2">
      <c r="B23" s="349">
        <v>44</v>
      </c>
      <c r="C23" s="332" t="s">
        <v>563</v>
      </c>
      <c r="D23" s="333">
        <v>0</v>
      </c>
      <c r="E23" s="333">
        <v>0</v>
      </c>
      <c r="F23" s="333">
        <v>0</v>
      </c>
    </row>
    <row r="24" spans="2:6" hidden="1" x14ac:dyDescent="0.2">
      <c r="B24" s="350">
        <v>46</v>
      </c>
      <c r="C24" s="337" t="s">
        <v>564</v>
      </c>
      <c r="D24" s="338">
        <f>D23</f>
        <v>0</v>
      </c>
      <c r="E24" s="338">
        <f>E23</f>
        <v>0</v>
      </c>
      <c r="F24" s="338">
        <f>F23</f>
        <v>0</v>
      </c>
    </row>
    <row r="25" spans="2:6" hidden="1" x14ac:dyDescent="0.2">
      <c r="B25" s="349">
        <v>10</v>
      </c>
      <c r="C25" s="332" t="s">
        <v>565</v>
      </c>
      <c r="D25" s="333">
        <v>568</v>
      </c>
      <c r="E25" s="333">
        <v>0</v>
      </c>
      <c r="F25" s="333">
        <v>959</v>
      </c>
    </row>
    <row r="26" spans="2:6" x14ac:dyDescent="0.2">
      <c r="B26" s="349">
        <v>10</v>
      </c>
      <c r="C26" s="332" t="s">
        <v>566</v>
      </c>
      <c r="D26" s="333">
        <v>245</v>
      </c>
      <c r="E26" s="333">
        <f>E25</f>
        <v>0</v>
      </c>
      <c r="F26" s="333">
        <v>187</v>
      </c>
    </row>
    <row r="27" spans="2:6" x14ac:dyDescent="0.2">
      <c r="B27" s="349">
        <v>11</v>
      </c>
      <c r="C27" s="332" t="s">
        <v>740</v>
      </c>
      <c r="D27" s="333">
        <v>158112</v>
      </c>
      <c r="E27" s="333">
        <v>0</v>
      </c>
      <c r="F27" s="333">
        <v>1349783</v>
      </c>
    </row>
    <row r="28" spans="2:6" hidden="1" x14ac:dyDescent="0.2">
      <c r="B28" s="350">
        <v>12</v>
      </c>
      <c r="C28" s="337" t="s">
        <v>567</v>
      </c>
      <c r="D28" s="338">
        <f>D27</f>
        <v>158112</v>
      </c>
      <c r="E28" s="338">
        <f>E27</f>
        <v>0</v>
      </c>
      <c r="F28" s="338">
        <f>F27</f>
        <v>1349783</v>
      </c>
    </row>
    <row r="29" spans="2:6" x14ac:dyDescent="0.2">
      <c r="B29" s="350">
        <v>12</v>
      </c>
      <c r="C29" s="337" t="s">
        <v>568</v>
      </c>
      <c r="D29" s="338">
        <f>D26+D28+D24</f>
        <v>158357</v>
      </c>
      <c r="E29" s="338">
        <f>E26+E28+E24</f>
        <v>0</v>
      </c>
      <c r="F29" s="338">
        <f>F26+F28+F24</f>
        <v>1349970</v>
      </c>
    </row>
    <row r="30" spans="2:6" hidden="1" x14ac:dyDescent="0.2">
      <c r="B30" s="349">
        <v>62</v>
      </c>
      <c r="C30" s="332" t="s">
        <v>569</v>
      </c>
      <c r="D30" s="333">
        <v>0</v>
      </c>
      <c r="E30" s="333">
        <v>0</v>
      </c>
      <c r="F30" s="333">
        <v>0</v>
      </c>
    </row>
    <row r="31" spans="2:6" hidden="1" x14ac:dyDescent="0.2">
      <c r="B31" s="349">
        <v>66</v>
      </c>
      <c r="C31" s="332" t="s">
        <v>570</v>
      </c>
      <c r="D31" s="333">
        <v>0</v>
      </c>
      <c r="E31" s="333">
        <v>0</v>
      </c>
      <c r="F31" s="333">
        <v>0</v>
      </c>
    </row>
    <row r="32" spans="2:6" hidden="1" x14ac:dyDescent="0.2">
      <c r="B32" s="349">
        <v>67</v>
      </c>
      <c r="C32" s="332" t="s">
        <v>571</v>
      </c>
      <c r="D32" s="333">
        <v>0</v>
      </c>
      <c r="E32" s="333">
        <v>0</v>
      </c>
      <c r="F32" s="333">
        <v>0</v>
      </c>
    </row>
    <row r="33" spans="2:6" hidden="1" x14ac:dyDescent="0.2">
      <c r="B33" s="349">
        <v>68</v>
      </c>
      <c r="C33" s="332" t="s">
        <v>572</v>
      </c>
      <c r="D33" s="333">
        <v>0</v>
      </c>
      <c r="E33" s="333">
        <v>0</v>
      </c>
      <c r="F33" s="333">
        <v>0</v>
      </c>
    </row>
    <row r="34" spans="2:6" hidden="1" x14ac:dyDescent="0.2">
      <c r="B34" s="349" t="s">
        <v>573</v>
      </c>
      <c r="C34" s="332" t="s">
        <v>574</v>
      </c>
      <c r="D34" s="333">
        <v>0</v>
      </c>
      <c r="E34" s="333">
        <v>0</v>
      </c>
      <c r="F34" s="333">
        <v>0</v>
      </c>
    </row>
    <row r="35" spans="2:6" ht="25.5" hidden="1" x14ac:dyDescent="0.2">
      <c r="B35" s="351">
        <v>70</v>
      </c>
      <c r="C35" s="332" t="s">
        <v>741</v>
      </c>
      <c r="D35" s="341">
        <v>0</v>
      </c>
      <c r="E35" s="341">
        <v>0</v>
      </c>
      <c r="F35" s="341">
        <v>0</v>
      </c>
    </row>
    <row r="36" spans="2:6" hidden="1" x14ac:dyDescent="0.2">
      <c r="B36" s="349">
        <v>73</v>
      </c>
      <c r="C36" s="332" t="s">
        <v>575</v>
      </c>
      <c r="D36" s="333">
        <v>0</v>
      </c>
      <c r="E36" s="333">
        <v>0</v>
      </c>
      <c r="F36" s="333">
        <v>0</v>
      </c>
    </row>
    <row r="37" spans="2:6" hidden="1" x14ac:dyDescent="0.2">
      <c r="B37" s="349">
        <v>78</v>
      </c>
      <c r="C37" s="332" t="s">
        <v>576</v>
      </c>
      <c r="D37" s="333">
        <v>0</v>
      </c>
      <c r="E37" s="333">
        <v>0</v>
      </c>
      <c r="F37" s="333">
        <v>0</v>
      </c>
    </row>
    <row r="38" spans="2:6" hidden="1" x14ac:dyDescent="0.2">
      <c r="B38" s="349">
        <v>79</v>
      </c>
      <c r="C38" s="332" t="s">
        <v>577</v>
      </c>
      <c r="D38" s="333">
        <v>0</v>
      </c>
      <c r="E38" s="333">
        <v>0</v>
      </c>
      <c r="F38" s="333">
        <v>0</v>
      </c>
    </row>
    <row r="39" spans="2:6" hidden="1" x14ac:dyDescent="0.2">
      <c r="B39" s="349">
        <v>81</v>
      </c>
      <c r="C39" s="332" t="s">
        <v>578</v>
      </c>
      <c r="D39" s="333">
        <v>0</v>
      </c>
      <c r="E39" s="333">
        <v>0</v>
      </c>
      <c r="F39" s="333">
        <v>0</v>
      </c>
    </row>
    <row r="40" spans="2:6" ht="25.5" hidden="1" x14ac:dyDescent="0.2">
      <c r="B40" s="351">
        <v>85</v>
      </c>
      <c r="C40" s="332" t="s">
        <v>742</v>
      </c>
      <c r="D40" s="341">
        <v>0</v>
      </c>
      <c r="E40" s="341">
        <v>0</v>
      </c>
      <c r="F40" s="341">
        <v>0</v>
      </c>
    </row>
    <row r="41" spans="2:6" ht="25.5" hidden="1" x14ac:dyDescent="0.2">
      <c r="B41" s="351">
        <v>92</v>
      </c>
      <c r="C41" s="332" t="s">
        <v>743</v>
      </c>
      <c r="D41" s="341">
        <v>0</v>
      </c>
      <c r="E41" s="341">
        <v>0</v>
      </c>
      <c r="F41" s="341">
        <v>0</v>
      </c>
    </row>
    <row r="42" spans="2:6" x14ac:dyDescent="0.2">
      <c r="B42" s="349">
        <v>13</v>
      </c>
      <c r="C42" s="332" t="s">
        <v>579</v>
      </c>
      <c r="D42" s="333">
        <v>25534</v>
      </c>
      <c r="E42" s="333">
        <f>E30+E34+E38+E40</f>
        <v>0</v>
      </c>
      <c r="F42" s="333">
        <v>42542</v>
      </c>
    </row>
    <row r="43" spans="2:6" ht="12.75" hidden="1" customHeight="1" x14ac:dyDescent="0.2">
      <c r="B43" s="349">
        <v>123</v>
      </c>
      <c r="C43" s="332" t="s">
        <v>580</v>
      </c>
      <c r="D43" s="333">
        <v>0</v>
      </c>
      <c r="E43" s="333">
        <v>0</v>
      </c>
      <c r="F43" s="333">
        <v>0</v>
      </c>
    </row>
    <row r="44" spans="2:6" hidden="1" x14ac:dyDescent="0.2">
      <c r="B44" s="349">
        <v>125</v>
      </c>
      <c r="C44" s="332" t="s">
        <v>581</v>
      </c>
      <c r="D44" s="333">
        <v>0</v>
      </c>
      <c r="E44" s="333">
        <v>0</v>
      </c>
      <c r="F44" s="333">
        <v>0</v>
      </c>
    </row>
    <row r="45" spans="2:6" x14ac:dyDescent="0.2">
      <c r="B45" s="349">
        <v>14</v>
      </c>
      <c r="C45" s="332" t="s">
        <v>582</v>
      </c>
      <c r="D45" s="333">
        <v>4768</v>
      </c>
      <c r="E45" s="333">
        <f>E43</f>
        <v>0</v>
      </c>
      <c r="F45" s="333">
        <v>53571</v>
      </c>
    </row>
    <row r="46" spans="2:6" hidden="1" x14ac:dyDescent="0.2">
      <c r="B46" s="349">
        <v>142</v>
      </c>
      <c r="C46" s="332" t="s">
        <v>583</v>
      </c>
      <c r="D46" s="333">
        <v>0</v>
      </c>
      <c r="E46" s="333">
        <v>0</v>
      </c>
      <c r="F46" s="333">
        <v>0</v>
      </c>
    </row>
    <row r="47" spans="2:6" hidden="1" x14ac:dyDescent="0.2">
      <c r="B47" s="349">
        <v>147</v>
      </c>
      <c r="C47" s="332" t="s">
        <v>584</v>
      </c>
      <c r="D47" s="333">
        <v>0</v>
      </c>
      <c r="E47" s="333">
        <v>0</v>
      </c>
      <c r="F47" s="333">
        <v>0</v>
      </c>
    </row>
    <row r="48" spans="2:6" hidden="1" x14ac:dyDescent="0.2">
      <c r="B48" s="349">
        <v>152</v>
      </c>
      <c r="C48" s="332" t="s">
        <v>585</v>
      </c>
      <c r="D48" s="333">
        <v>0</v>
      </c>
      <c r="E48" s="333">
        <v>0</v>
      </c>
      <c r="F48" s="333">
        <v>0</v>
      </c>
    </row>
    <row r="49" spans="2:6" x14ac:dyDescent="0.2">
      <c r="B49" s="349">
        <v>15</v>
      </c>
      <c r="C49" s="332" t="s">
        <v>586</v>
      </c>
      <c r="D49" s="333">
        <v>663</v>
      </c>
      <c r="E49" s="333">
        <f>E46+E48</f>
        <v>0</v>
      </c>
      <c r="F49" s="333">
        <v>533</v>
      </c>
    </row>
    <row r="50" spans="2:6" x14ac:dyDescent="0.2">
      <c r="B50" s="350">
        <v>16</v>
      </c>
      <c r="C50" s="337" t="s">
        <v>587</v>
      </c>
      <c r="D50" s="338">
        <f>D42+D45+D49</f>
        <v>30965</v>
      </c>
      <c r="E50" s="338">
        <f>E42+E45+E49</f>
        <v>0</v>
      </c>
      <c r="F50" s="338">
        <f>F42+F45+F49</f>
        <v>96646</v>
      </c>
    </row>
    <row r="51" spans="2:6" hidden="1" x14ac:dyDescent="0.2">
      <c r="B51" s="349">
        <v>161</v>
      </c>
      <c r="C51" s="332" t="s">
        <v>588</v>
      </c>
      <c r="D51" s="333">
        <v>0</v>
      </c>
      <c r="E51" s="333">
        <v>0</v>
      </c>
      <c r="F51" s="333">
        <v>1155</v>
      </c>
    </row>
    <row r="52" spans="2:6" hidden="1" x14ac:dyDescent="0.2">
      <c r="B52" s="350">
        <v>164</v>
      </c>
      <c r="C52" s="337" t="s">
        <v>589</v>
      </c>
      <c r="D52" s="338">
        <f>SUM(D51)</f>
        <v>0</v>
      </c>
      <c r="E52" s="338">
        <f>SUM(E51)</f>
        <v>0</v>
      </c>
      <c r="F52" s="338">
        <f>SUM(F51)</f>
        <v>1155</v>
      </c>
    </row>
    <row r="53" spans="2:6" hidden="1" x14ac:dyDescent="0.2">
      <c r="B53" s="349">
        <v>166</v>
      </c>
      <c r="C53" s="332" t="s">
        <v>590</v>
      </c>
      <c r="D53" s="333">
        <v>0</v>
      </c>
      <c r="E53" s="333">
        <v>0</v>
      </c>
      <c r="F53" s="333">
        <v>0</v>
      </c>
    </row>
    <row r="54" spans="2:6" hidden="1" x14ac:dyDescent="0.2">
      <c r="B54" s="350">
        <v>167</v>
      </c>
      <c r="C54" s="337" t="s">
        <v>591</v>
      </c>
      <c r="D54" s="338">
        <f>SUM(D53)</f>
        <v>0</v>
      </c>
      <c r="E54" s="338">
        <f>SUM(E53)</f>
        <v>0</v>
      </c>
      <c r="F54" s="338">
        <f>SUM(F53)</f>
        <v>0</v>
      </c>
    </row>
    <row r="55" spans="2:6" hidden="1" x14ac:dyDescent="0.2">
      <c r="B55" s="349">
        <v>168</v>
      </c>
      <c r="C55" s="332" t="s">
        <v>592</v>
      </c>
      <c r="D55" s="333">
        <v>0</v>
      </c>
      <c r="E55" s="333">
        <v>0</v>
      </c>
      <c r="F55" s="333">
        <v>0</v>
      </c>
    </row>
    <row r="56" spans="2:6" ht="25.5" hidden="1" x14ac:dyDescent="0.2">
      <c r="B56" s="349">
        <v>169</v>
      </c>
      <c r="C56" s="332" t="s">
        <v>593</v>
      </c>
      <c r="D56" s="341">
        <v>0</v>
      </c>
      <c r="E56" s="341">
        <v>0</v>
      </c>
      <c r="F56" s="341">
        <v>0</v>
      </c>
    </row>
    <row r="57" spans="2:6" hidden="1" x14ac:dyDescent="0.2">
      <c r="B57" s="350">
        <v>170</v>
      </c>
      <c r="C57" s="337" t="s">
        <v>594</v>
      </c>
      <c r="D57" s="338">
        <f>D56+D55</f>
        <v>0</v>
      </c>
      <c r="E57" s="338">
        <f>E56+E55</f>
        <v>0</v>
      </c>
      <c r="F57" s="338">
        <f>F56+F55</f>
        <v>0</v>
      </c>
    </row>
    <row r="58" spans="2:6" x14ac:dyDescent="0.2">
      <c r="B58" s="350">
        <v>17</v>
      </c>
      <c r="C58" s="337" t="s">
        <v>744</v>
      </c>
      <c r="D58" s="338">
        <v>1051</v>
      </c>
      <c r="E58" s="338">
        <f>E52+E54+E57</f>
        <v>0</v>
      </c>
      <c r="F58" s="338">
        <f>F52+F54+F57</f>
        <v>1155</v>
      </c>
    </row>
    <row r="59" spans="2:6" hidden="1" x14ac:dyDescent="0.2">
      <c r="B59" s="349">
        <v>172</v>
      </c>
      <c r="C59" s="332" t="s">
        <v>595</v>
      </c>
      <c r="D59" s="333">
        <v>0</v>
      </c>
      <c r="E59" s="333">
        <v>0</v>
      </c>
      <c r="F59" s="333">
        <v>0</v>
      </c>
    </row>
    <row r="60" spans="2:6" hidden="1" x14ac:dyDescent="0.2">
      <c r="B60" s="349">
        <v>173</v>
      </c>
      <c r="C60" s="332" t="s">
        <v>596</v>
      </c>
      <c r="D60" s="333">
        <v>0</v>
      </c>
      <c r="E60" s="333">
        <v>0</v>
      </c>
      <c r="F60" s="333">
        <v>0</v>
      </c>
    </row>
    <row r="61" spans="2:6" x14ac:dyDescent="0.2">
      <c r="B61" s="350">
        <v>18</v>
      </c>
      <c r="C61" s="337" t="s">
        <v>597</v>
      </c>
      <c r="D61" s="338">
        <v>101</v>
      </c>
      <c r="E61" s="338">
        <f>E59+E60</f>
        <v>0</v>
      </c>
      <c r="F61" s="338">
        <f>F59+F60</f>
        <v>0</v>
      </c>
    </row>
    <row r="62" spans="2:6" x14ac:dyDescent="0.2">
      <c r="B62" s="350">
        <v>19</v>
      </c>
      <c r="C62" s="337" t="s">
        <v>598</v>
      </c>
      <c r="D62" s="338">
        <f>D19+D22+D29+D50+D58+D61</f>
        <v>5195739</v>
      </c>
      <c r="E62" s="338">
        <f>E19+E22+E29+E50+E57+E61</f>
        <v>0</v>
      </c>
      <c r="F62" s="338">
        <f>F19+F22+F29+F50+F58+F61</f>
        <v>6469604</v>
      </c>
    </row>
    <row r="63" spans="2:6" x14ac:dyDescent="0.2">
      <c r="B63" s="349">
        <v>20</v>
      </c>
      <c r="C63" s="332" t="s">
        <v>745</v>
      </c>
      <c r="D63" s="333">
        <v>5004269</v>
      </c>
      <c r="E63" s="333">
        <v>0</v>
      </c>
      <c r="F63" s="333">
        <v>5397196</v>
      </c>
    </row>
    <row r="64" spans="2:6" x14ac:dyDescent="0.2">
      <c r="B64" s="349">
        <v>181</v>
      </c>
      <c r="C64" s="332" t="s">
        <v>599</v>
      </c>
      <c r="D64" s="333">
        <v>410107</v>
      </c>
      <c r="E64" s="333">
        <v>0</v>
      </c>
      <c r="F64" s="333">
        <v>0</v>
      </c>
    </row>
    <row r="65" spans="2:6" x14ac:dyDescent="0.2">
      <c r="B65" s="349">
        <v>21</v>
      </c>
      <c r="C65" s="332" t="s">
        <v>600</v>
      </c>
      <c r="D65" s="333">
        <v>-871417</v>
      </c>
      <c r="E65" s="333">
        <v>0</v>
      </c>
      <c r="F65" s="333">
        <v>-799071</v>
      </c>
    </row>
    <row r="66" spans="2:6" x14ac:dyDescent="0.2">
      <c r="B66" s="349">
        <v>23</v>
      </c>
      <c r="C66" s="332" t="s">
        <v>601</v>
      </c>
      <c r="D66" s="333">
        <v>55541</v>
      </c>
      <c r="E66" s="333">
        <v>0</v>
      </c>
      <c r="F66" s="333">
        <v>113006</v>
      </c>
    </row>
    <row r="67" spans="2:6" x14ac:dyDescent="0.2">
      <c r="B67" s="350">
        <v>24</v>
      </c>
      <c r="C67" s="337" t="s">
        <v>602</v>
      </c>
      <c r="D67" s="338">
        <f>D63+D64+D65+D66</f>
        <v>4598500</v>
      </c>
      <c r="E67" s="338">
        <f>E63+E64+E65+E66</f>
        <v>0</v>
      </c>
      <c r="F67" s="338">
        <f>F63+F64+F65+F66</f>
        <v>4711131</v>
      </c>
    </row>
    <row r="68" spans="2:6" hidden="1" x14ac:dyDescent="0.2">
      <c r="B68" s="349">
        <v>189</v>
      </c>
      <c r="C68" s="332" t="s">
        <v>746</v>
      </c>
      <c r="D68" s="333">
        <v>0</v>
      </c>
      <c r="E68" s="333">
        <v>0</v>
      </c>
      <c r="F68" s="333">
        <v>0</v>
      </c>
    </row>
    <row r="69" spans="2:6" hidden="1" x14ac:dyDescent="0.2">
      <c r="B69" s="349">
        <v>190</v>
      </c>
      <c r="C69" s="332" t="s">
        <v>747</v>
      </c>
      <c r="D69" s="333">
        <v>0</v>
      </c>
      <c r="E69" s="333">
        <v>0</v>
      </c>
      <c r="F69" s="333">
        <v>0</v>
      </c>
    </row>
    <row r="70" spans="2:6" hidden="1" x14ac:dyDescent="0.2">
      <c r="B70" s="349">
        <v>186</v>
      </c>
      <c r="C70" s="332" t="s">
        <v>603</v>
      </c>
      <c r="D70" s="333">
        <v>0</v>
      </c>
      <c r="E70" s="333">
        <v>0</v>
      </c>
      <c r="F70" s="333">
        <v>0</v>
      </c>
    </row>
    <row r="71" spans="2:6" hidden="1" x14ac:dyDescent="0.2">
      <c r="B71" s="350" t="s">
        <v>748</v>
      </c>
      <c r="C71" s="337" t="s">
        <v>604</v>
      </c>
      <c r="D71" s="338">
        <f>D69+D68+D70</f>
        <v>0</v>
      </c>
      <c r="E71" s="338">
        <f>E69+E68+E70</f>
        <v>0</v>
      </c>
      <c r="F71" s="338">
        <f>F69+F68+F70</f>
        <v>0</v>
      </c>
    </row>
    <row r="72" spans="2:6" ht="25.5" hidden="1" x14ac:dyDescent="0.2">
      <c r="B72" s="351">
        <v>225</v>
      </c>
      <c r="C72" s="332" t="s">
        <v>605</v>
      </c>
      <c r="D72" s="341">
        <v>0</v>
      </c>
      <c r="E72" s="341">
        <v>0</v>
      </c>
      <c r="F72" s="341">
        <v>0</v>
      </c>
    </row>
    <row r="73" spans="2:6" hidden="1" x14ac:dyDescent="0.2">
      <c r="B73" s="350">
        <v>236</v>
      </c>
      <c r="C73" s="337" t="s">
        <v>606</v>
      </c>
      <c r="D73" s="338">
        <f>D72</f>
        <v>0</v>
      </c>
      <c r="E73" s="338">
        <f>E72</f>
        <v>0</v>
      </c>
      <c r="F73" s="338">
        <f>F72</f>
        <v>0</v>
      </c>
    </row>
    <row r="74" spans="2:6" x14ac:dyDescent="0.2">
      <c r="B74" s="349">
        <v>25</v>
      </c>
      <c r="C74" s="332" t="s">
        <v>604</v>
      </c>
      <c r="D74" s="333">
        <v>63120</v>
      </c>
      <c r="E74" s="333">
        <v>0</v>
      </c>
      <c r="F74" s="333">
        <v>71</v>
      </c>
    </row>
    <row r="75" spans="2:6" hidden="1" x14ac:dyDescent="0.2">
      <c r="B75" s="349">
        <v>26</v>
      </c>
      <c r="C75" s="332" t="s">
        <v>607</v>
      </c>
      <c r="D75" s="333"/>
      <c r="E75" s="333"/>
      <c r="F75" s="333"/>
    </row>
    <row r="76" spans="2:6" x14ac:dyDescent="0.2">
      <c r="B76" s="349">
        <v>26</v>
      </c>
      <c r="C76" s="332" t="s">
        <v>606</v>
      </c>
      <c r="D76" s="333">
        <v>13583</v>
      </c>
      <c r="E76" s="333">
        <v>0</v>
      </c>
      <c r="F76" s="333">
        <v>77224</v>
      </c>
    </row>
    <row r="77" spans="2:6" x14ac:dyDescent="0.2">
      <c r="B77" s="349">
        <v>27</v>
      </c>
      <c r="C77" s="332" t="s">
        <v>608</v>
      </c>
      <c r="D77" s="333">
        <v>8782</v>
      </c>
      <c r="E77" s="333">
        <f>E74+E76</f>
        <v>0</v>
      </c>
      <c r="F77" s="333">
        <v>4988</v>
      </c>
    </row>
    <row r="78" spans="2:6" x14ac:dyDescent="0.2">
      <c r="B78" s="350">
        <v>28</v>
      </c>
      <c r="C78" s="337" t="s">
        <v>609</v>
      </c>
      <c r="D78" s="338">
        <f>D71+D77+D73+D74+D76</f>
        <v>85485</v>
      </c>
      <c r="E78" s="338">
        <f>E71+E77+E73+E74+E76</f>
        <v>0</v>
      </c>
      <c r="F78" s="338">
        <f>F71+F77+F73+F74+F76</f>
        <v>82283</v>
      </c>
    </row>
    <row r="79" spans="2:6" hidden="1" x14ac:dyDescent="0.2">
      <c r="B79" s="349">
        <v>251</v>
      </c>
      <c r="C79" s="332" t="s">
        <v>610</v>
      </c>
      <c r="D79" s="333">
        <v>28949</v>
      </c>
      <c r="E79" s="333">
        <v>0</v>
      </c>
      <c r="F79" s="333"/>
    </row>
    <row r="80" spans="2:6" hidden="1" x14ac:dyDescent="0.2">
      <c r="B80" s="349">
        <v>252</v>
      </c>
      <c r="C80" s="332" t="s">
        <v>611</v>
      </c>
      <c r="D80" s="333">
        <v>482805</v>
      </c>
      <c r="E80" s="333">
        <v>0</v>
      </c>
      <c r="F80" s="333">
        <v>1676190</v>
      </c>
    </row>
    <row r="81" spans="2:6" x14ac:dyDescent="0.2">
      <c r="B81" s="350">
        <v>30</v>
      </c>
      <c r="C81" s="337" t="s">
        <v>612</v>
      </c>
      <c r="D81" s="338">
        <f>D79+D80</f>
        <v>511754</v>
      </c>
      <c r="E81" s="338">
        <f>E79+E80</f>
        <v>0</v>
      </c>
      <c r="F81" s="338">
        <f>F79+F80</f>
        <v>1676190</v>
      </c>
    </row>
    <row r="82" spans="2:6" x14ac:dyDescent="0.2">
      <c r="B82" s="350">
        <v>31</v>
      </c>
      <c r="C82" s="337" t="s">
        <v>613</v>
      </c>
      <c r="D82" s="338">
        <f>D67+D78+D81</f>
        <v>5195739</v>
      </c>
      <c r="E82" s="338">
        <f>E67+E78+E81</f>
        <v>0</v>
      </c>
      <c r="F82" s="338">
        <f>F67+F78+F81</f>
        <v>6469604</v>
      </c>
    </row>
  </sheetData>
  <mergeCells count="2">
    <mergeCell ref="B2:F2"/>
    <mergeCell ref="B3:F3"/>
  </mergeCells>
  <pageMargins left="0.7" right="0.7" top="0.75" bottom="0.75" header="0.3" footer="0.3"/>
  <pageSetup paperSize="9"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6"/>
  <sheetViews>
    <sheetView topLeftCell="A7" zoomScaleNormal="100" workbookViewId="0">
      <selection activeCell="E32" sqref="E32"/>
    </sheetView>
  </sheetViews>
  <sheetFormatPr defaultRowHeight="12.75" x14ac:dyDescent="0.2"/>
  <cols>
    <col min="1" max="1" width="8.140625" customWidth="1"/>
    <col min="2" max="2" width="65.85546875" customWidth="1"/>
    <col min="3" max="5" width="16" customWidth="1"/>
    <col min="6" max="6" width="3.85546875" customWidth="1"/>
  </cols>
  <sheetData>
    <row r="1" spans="1:8" s="321" customFormat="1" x14ac:dyDescent="0.2">
      <c r="E1" s="322" t="s">
        <v>519</v>
      </c>
    </row>
    <row r="2" spans="1:8" s="321" customFormat="1" ht="19.5" x14ac:dyDescent="0.35">
      <c r="A2" s="779" t="s">
        <v>27</v>
      </c>
      <c r="B2" s="787"/>
      <c r="C2" s="787"/>
      <c r="D2" s="787"/>
      <c r="E2" s="787"/>
      <c r="F2" s="787"/>
      <c r="G2"/>
      <c r="H2"/>
    </row>
    <row r="3" spans="1:8" s="321" customFormat="1" ht="19.5" x14ac:dyDescent="0.35">
      <c r="A3" s="779" t="s">
        <v>730</v>
      </c>
      <c r="B3" s="787"/>
      <c r="C3" s="787"/>
      <c r="D3" s="787"/>
      <c r="E3" s="787"/>
      <c r="F3" s="787"/>
      <c r="G3"/>
      <c r="H3"/>
    </row>
    <row r="4" spans="1:8" ht="5.25" customHeight="1" x14ac:dyDescent="0.2"/>
    <row r="5" spans="1:8" ht="31.5" x14ac:dyDescent="0.2">
      <c r="A5" s="352"/>
      <c r="B5" s="353" t="s">
        <v>71</v>
      </c>
      <c r="C5" s="353" t="s">
        <v>541</v>
      </c>
      <c r="D5" s="353" t="s">
        <v>542</v>
      </c>
      <c r="E5" s="353" t="s">
        <v>543</v>
      </c>
    </row>
    <row r="6" spans="1:8" x14ac:dyDescent="0.2">
      <c r="A6" s="354" t="s">
        <v>522</v>
      </c>
      <c r="B6" s="355" t="s">
        <v>615</v>
      </c>
      <c r="C6" s="356">
        <v>376071</v>
      </c>
      <c r="D6" s="356">
        <v>0</v>
      </c>
      <c r="E6" s="356">
        <v>420997</v>
      </c>
    </row>
    <row r="7" spans="1:8" x14ac:dyDescent="0.2">
      <c r="A7" s="354" t="s">
        <v>524</v>
      </c>
      <c r="B7" s="355" t="s">
        <v>616</v>
      </c>
      <c r="C7" s="356">
        <v>10661</v>
      </c>
      <c r="D7" s="356">
        <v>0</v>
      </c>
      <c r="E7" s="356">
        <v>8508</v>
      </c>
    </row>
    <row r="8" spans="1:8" x14ac:dyDescent="0.2">
      <c r="A8" s="354" t="s">
        <v>526</v>
      </c>
      <c r="B8" s="355" t="s">
        <v>617</v>
      </c>
      <c r="C8" s="356">
        <v>20059</v>
      </c>
      <c r="D8" s="356">
        <v>0</v>
      </c>
      <c r="E8" s="356">
        <v>30058</v>
      </c>
    </row>
    <row r="9" spans="1:8" x14ac:dyDescent="0.2">
      <c r="A9" s="357" t="s">
        <v>528</v>
      </c>
      <c r="B9" s="358" t="s">
        <v>618</v>
      </c>
      <c r="C9" s="359">
        <f>SUM(C6:C8)</f>
        <v>406791</v>
      </c>
      <c r="D9" s="359">
        <f>SUM(D6:D8)</f>
        <v>0</v>
      </c>
      <c r="E9" s="359">
        <f>SUM(E6:E8)</f>
        <v>459563</v>
      </c>
    </row>
    <row r="10" spans="1:8" x14ac:dyDescent="0.2">
      <c r="A10" s="354" t="s">
        <v>549</v>
      </c>
      <c r="B10" s="355" t="s">
        <v>619</v>
      </c>
      <c r="C10" s="356">
        <v>689293</v>
      </c>
      <c r="D10" s="356">
        <v>0</v>
      </c>
      <c r="E10" s="356">
        <v>411244</v>
      </c>
    </row>
    <row r="11" spans="1:8" x14ac:dyDescent="0.2">
      <c r="A11" s="354" t="s">
        <v>537</v>
      </c>
      <c r="B11" s="355" t="s">
        <v>620</v>
      </c>
      <c r="C11" s="356">
        <v>19631</v>
      </c>
      <c r="D11" s="356">
        <v>0</v>
      </c>
      <c r="E11" s="356">
        <v>53204</v>
      </c>
    </row>
    <row r="12" spans="1:8" x14ac:dyDescent="0.2">
      <c r="A12" s="354">
        <v>10</v>
      </c>
      <c r="B12" s="355" t="s">
        <v>621</v>
      </c>
      <c r="C12" s="356">
        <v>6831</v>
      </c>
      <c r="D12" s="356">
        <v>0</v>
      </c>
      <c r="E12" s="356">
        <v>0</v>
      </c>
    </row>
    <row r="13" spans="1:8" x14ac:dyDescent="0.2">
      <c r="A13" s="354">
        <v>11</v>
      </c>
      <c r="B13" s="355" t="s">
        <v>622</v>
      </c>
      <c r="C13" s="356">
        <v>204957</v>
      </c>
      <c r="D13" s="356">
        <v>0</v>
      </c>
      <c r="E13" s="356">
        <v>164858</v>
      </c>
    </row>
    <row r="14" spans="1:8" x14ac:dyDescent="0.2">
      <c r="A14" s="357">
        <v>12</v>
      </c>
      <c r="B14" s="358" t="s">
        <v>623</v>
      </c>
      <c r="C14" s="359">
        <f>SUM(C10:C13)</f>
        <v>920712</v>
      </c>
      <c r="D14" s="359">
        <f>SUM(D10:D13)</f>
        <v>0</v>
      </c>
      <c r="E14" s="359">
        <f>SUM(E10:E13)</f>
        <v>629306</v>
      </c>
    </row>
    <row r="15" spans="1:8" x14ac:dyDescent="0.2">
      <c r="A15" s="354">
        <v>13</v>
      </c>
      <c r="B15" s="355" t="s">
        <v>624</v>
      </c>
      <c r="C15" s="356">
        <v>17806</v>
      </c>
      <c r="D15" s="356">
        <v>0</v>
      </c>
      <c r="E15" s="356">
        <v>6592</v>
      </c>
    </row>
    <row r="16" spans="1:8" x14ac:dyDescent="0.2">
      <c r="A16" s="354">
        <v>14</v>
      </c>
      <c r="B16" s="355" t="s">
        <v>625</v>
      </c>
      <c r="C16" s="356">
        <v>145978</v>
      </c>
      <c r="D16" s="356">
        <v>0</v>
      </c>
      <c r="E16" s="356">
        <v>125511</v>
      </c>
    </row>
    <row r="17" spans="1:5" hidden="1" x14ac:dyDescent="0.2">
      <c r="A17" s="354">
        <v>16</v>
      </c>
      <c r="B17" s="355" t="s">
        <v>626</v>
      </c>
      <c r="C17" s="356">
        <v>0</v>
      </c>
      <c r="D17" s="356">
        <v>0</v>
      </c>
      <c r="E17" s="356">
        <v>0</v>
      </c>
    </row>
    <row r="18" spans="1:5" x14ac:dyDescent="0.2">
      <c r="A18" s="357">
        <v>17</v>
      </c>
      <c r="B18" s="358" t="s">
        <v>627</v>
      </c>
      <c r="C18" s="359">
        <f>SUM(C15:C17)</f>
        <v>163784</v>
      </c>
      <c r="D18" s="359">
        <f>SUM(D15:D17)</f>
        <v>0</v>
      </c>
      <c r="E18" s="359">
        <f>SUM(E15:E17)</f>
        <v>132103</v>
      </c>
    </row>
    <row r="19" spans="1:5" x14ac:dyDescent="0.2">
      <c r="A19" s="354">
        <v>18</v>
      </c>
      <c r="B19" s="355" t="s">
        <v>628</v>
      </c>
      <c r="C19" s="356">
        <v>151365</v>
      </c>
      <c r="D19" s="356">
        <v>0</v>
      </c>
      <c r="E19" s="356">
        <v>116469</v>
      </c>
    </row>
    <row r="20" spans="1:5" x14ac:dyDescent="0.2">
      <c r="A20" s="354">
        <v>19</v>
      </c>
      <c r="B20" s="355" t="s">
        <v>629</v>
      </c>
      <c r="C20" s="356">
        <v>65241</v>
      </c>
      <c r="D20" s="356">
        <v>0</v>
      </c>
      <c r="E20" s="356">
        <v>55597</v>
      </c>
    </row>
    <row r="21" spans="1:5" x14ac:dyDescent="0.2">
      <c r="A21" s="354">
        <v>20</v>
      </c>
      <c r="B21" s="355" t="s">
        <v>630</v>
      </c>
      <c r="C21" s="356">
        <v>59835</v>
      </c>
      <c r="D21" s="356">
        <v>0</v>
      </c>
      <c r="E21" s="356">
        <v>38725</v>
      </c>
    </row>
    <row r="22" spans="1:5" x14ac:dyDescent="0.2">
      <c r="A22" s="357">
        <v>21</v>
      </c>
      <c r="B22" s="358" t="s">
        <v>631</v>
      </c>
      <c r="C22" s="359">
        <f>SUM(C19:C21)</f>
        <v>276441</v>
      </c>
      <c r="D22" s="359">
        <f>SUM(D19:D21)</f>
        <v>0</v>
      </c>
      <c r="E22" s="359">
        <f>SUM(E19:E21)</f>
        <v>210791</v>
      </c>
    </row>
    <row r="23" spans="1:5" x14ac:dyDescent="0.2">
      <c r="A23" s="357">
        <v>22</v>
      </c>
      <c r="B23" s="358" t="s">
        <v>632</v>
      </c>
      <c r="C23" s="359">
        <v>93449</v>
      </c>
      <c r="D23" s="359">
        <v>0</v>
      </c>
      <c r="E23" s="359">
        <v>91234</v>
      </c>
    </row>
    <row r="24" spans="1:5" x14ac:dyDescent="0.2">
      <c r="A24" s="357">
        <v>23</v>
      </c>
      <c r="B24" s="358" t="s">
        <v>633</v>
      </c>
      <c r="C24" s="359">
        <v>739741</v>
      </c>
      <c r="D24" s="359">
        <v>0</v>
      </c>
      <c r="E24" s="359">
        <v>541756</v>
      </c>
    </row>
    <row r="25" spans="1:5" x14ac:dyDescent="0.2">
      <c r="A25" s="357">
        <v>24</v>
      </c>
      <c r="B25" s="358" t="s">
        <v>634</v>
      </c>
      <c r="C25" s="359">
        <f>C9+C14-C18-C22-C23-C24</f>
        <v>54088</v>
      </c>
      <c r="D25" s="359">
        <f>D9+D14-D18-D22-D23-D24</f>
        <v>0</v>
      </c>
      <c r="E25" s="359">
        <f>E9+E14-E18-E22-E23-E24</f>
        <v>112985</v>
      </c>
    </row>
    <row r="26" spans="1:5" x14ac:dyDescent="0.2">
      <c r="A26" s="354">
        <v>25</v>
      </c>
      <c r="B26" s="355" t="s">
        <v>635</v>
      </c>
      <c r="C26" s="356">
        <v>1648</v>
      </c>
      <c r="D26" s="356">
        <v>0</v>
      </c>
      <c r="E26" s="356">
        <v>0</v>
      </c>
    </row>
    <row r="27" spans="1:5" x14ac:dyDescent="0.2">
      <c r="A27" s="354">
        <v>28</v>
      </c>
      <c r="B27" s="355" t="s">
        <v>636</v>
      </c>
      <c r="C27" s="356">
        <v>15</v>
      </c>
      <c r="D27" s="356">
        <v>0</v>
      </c>
      <c r="E27" s="356">
        <v>39</v>
      </c>
    </row>
    <row r="28" spans="1:5" hidden="1" x14ac:dyDescent="0.2">
      <c r="A28" s="354">
        <v>29</v>
      </c>
      <c r="B28" s="355" t="s">
        <v>637</v>
      </c>
      <c r="C28" s="356">
        <v>0</v>
      </c>
      <c r="D28" s="356">
        <v>0</v>
      </c>
      <c r="E28" s="356">
        <v>0</v>
      </c>
    </row>
    <row r="29" spans="1:5" x14ac:dyDescent="0.2">
      <c r="A29" s="357">
        <v>32</v>
      </c>
      <c r="B29" s="358" t="s">
        <v>638</v>
      </c>
      <c r="C29" s="359">
        <f>SUM(C26:C28)</f>
        <v>1663</v>
      </c>
      <c r="D29" s="359">
        <f>SUM(D26:D28)</f>
        <v>0</v>
      </c>
      <c r="E29" s="359">
        <f>SUM(E26:E28)</f>
        <v>39</v>
      </c>
    </row>
    <row r="30" spans="1:5" x14ac:dyDescent="0.2">
      <c r="A30" s="354">
        <v>35</v>
      </c>
      <c r="B30" s="355" t="s">
        <v>639</v>
      </c>
      <c r="C30" s="356">
        <v>210</v>
      </c>
      <c r="D30" s="356">
        <v>0</v>
      </c>
      <c r="E30" s="356">
        <v>18</v>
      </c>
    </row>
    <row r="31" spans="1:5" hidden="1" x14ac:dyDescent="0.2">
      <c r="A31" s="354">
        <v>39</v>
      </c>
      <c r="B31" s="355" t="s">
        <v>640</v>
      </c>
      <c r="C31" s="356">
        <v>0</v>
      </c>
      <c r="D31" s="356">
        <v>0</v>
      </c>
      <c r="E31" s="356">
        <v>0</v>
      </c>
    </row>
    <row r="32" spans="1:5" x14ac:dyDescent="0.2">
      <c r="A32" s="357">
        <v>42</v>
      </c>
      <c r="B32" s="358" t="s">
        <v>641</v>
      </c>
      <c r="C32" s="359">
        <f>SUM(C30:C31)</f>
        <v>210</v>
      </c>
      <c r="D32" s="359">
        <f>SUM(D30:D31)</f>
        <v>0</v>
      </c>
      <c r="E32" s="359">
        <f>SUM(E30:E31)</f>
        <v>18</v>
      </c>
    </row>
    <row r="33" spans="1:7" x14ac:dyDescent="0.2">
      <c r="A33" s="357">
        <v>43</v>
      </c>
      <c r="B33" s="358" t="s">
        <v>642</v>
      </c>
      <c r="C33" s="359">
        <f>C29-C32</f>
        <v>1453</v>
      </c>
      <c r="D33" s="359">
        <f>D29-D32</f>
        <v>0</v>
      </c>
      <c r="E33" s="359">
        <f>E29-E32</f>
        <v>21</v>
      </c>
    </row>
    <row r="34" spans="1:7" x14ac:dyDescent="0.2">
      <c r="A34" s="357">
        <v>44</v>
      </c>
      <c r="B34" s="358" t="s">
        <v>643</v>
      </c>
      <c r="C34" s="359">
        <f>C25+C33</f>
        <v>55541</v>
      </c>
      <c r="D34" s="359">
        <f>D25+D33</f>
        <v>0</v>
      </c>
      <c r="E34" s="359">
        <f>E25+E33</f>
        <v>113006</v>
      </c>
      <c r="G34" s="76"/>
    </row>
    <row r="35" spans="1:7" x14ac:dyDescent="0.2">
      <c r="A35" s="2"/>
      <c r="B35" s="2"/>
      <c r="C35" s="2"/>
      <c r="D35" s="2"/>
      <c r="E35" s="2"/>
    </row>
    <row r="36" spans="1:7" x14ac:dyDescent="0.2">
      <c r="A36" s="2"/>
      <c r="B36" s="2"/>
      <c r="C36" s="2"/>
      <c r="D36" s="2"/>
      <c r="E36" s="2"/>
    </row>
  </sheetData>
  <mergeCells count="2">
    <mergeCell ref="A2:F2"/>
    <mergeCell ref="A3:F3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35"/>
  <sheetViews>
    <sheetView zoomScaleNormal="100" workbookViewId="0">
      <selection activeCell="H102" sqref="H102"/>
    </sheetView>
  </sheetViews>
  <sheetFormatPr defaultRowHeight="12.75" x14ac:dyDescent="0.2"/>
  <cols>
    <col min="1" max="2" width="4.7109375" style="360" customWidth="1"/>
    <col min="3" max="3" width="62.28515625" style="360" customWidth="1"/>
    <col min="4" max="4" width="16.5703125" style="360" customWidth="1"/>
    <col min="5" max="5" width="16.140625" style="360" customWidth="1"/>
    <col min="6" max="6" width="12.28515625" style="362" customWidth="1"/>
    <col min="7" max="12" width="9.140625" style="362"/>
    <col min="13" max="16384" width="9.140625" style="360"/>
  </cols>
  <sheetData>
    <row r="1" spans="1:8" x14ac:dyDescent="0.2">
      <c r="E1" s="361" t="s">
        <v>540</v>
      </c>
    </row>
    <row r="2" spans="1:8" ht="23.25" customHeight="1" x14ac:dyDescent="0.35">
      <c r="A2" s="879" t="s">
        <v>27</v>
      </c>
      <c r="B2" s="879"/>
      <c r="C2" s="879"/>
      <c r="D2" s="879"/>
      <c r="E2" s="879"/>
      <c r="F2" s="363"/>
      <c r="G2" s="363"/>
      <c r="H2" s="363"/>
    </row>
    <row r="3" spans="1:8" ht="21" customHeight="1" x14ac:dyDescent="0.35">
      <c r="A3" s="879" t="s">
        <v>731</v>
      </c>
      <c r="B3" s="879"/>
      <c r="C3" s="879"/>
      <c r="D3" s="879"/>
      <c r="E3" s="879"/>
      <c r="F3" s="363"/>
      <c r="G3" s="363"/>
      <c r="H3" s="363"/>
    </row>
    <row r="4" spans="1:8" ht="13.5" customHeight="1" thickBot="1" x14ac:dyDescent="0.25">
      <c r="E4" s="364" t="s">
        <v>435</v>
      </c>
    </row>
    <row r="5" spans="1:8" ht="19.5" customHeight="1" x14ac:dyDescent="0.2">
      <c r="A5" s="891" t="s">
        <v>645</v>
      </c>
      <c r="B5" s="892"/>
      <c r="C5" s="892"/>
      <c r="D5" s="880" t="s">
        <v>732</v>
      </c>
      <c r="E5" s="881"/>
    </row>
    <row r="6" spans="1:8" ht="15" customHeight="1" thickBot="1" x14ac:dyDescent="0.25">
      <c r="A6" s="365"/>
      <c r="B6" s="366"/>
      <c r="C6" s="366"/>
      <c r="D6" s="367" t="s">
        <v>646</v>
      </c>
      <c r="E6" s="368" t="s">
        <v>647</v>
      </c>
    </row>
    <row r="7" spans="1:8" ht="22.5" customHeight="1" x14ac:dyDescent="0.2">
      <c r="A7" s="369" t="s">
        <v>648</v>
      </c>
      <c r="B7" s="893" t="s">
        <v>649</v>
      </c>
      <c r="C7" s="893"/>
      <c r="D7" s="370">
        <f>SUM(D8+D17+D63)</f>
        <v>5021673</v>
      </c>
      <c r="E7" s="370">
        <f>SUM(E8+E17+E63)</f>
        <v>5709039</v>
      </c>
    </row>
    <row r="8" spans="1:8" ht="12.75" customHeight="1" x14ac:dyDescent="0.2">
      <c r="A8" s="371"/>
      <c r="B8" s="371" t="s">
        <v>650</v>
      </c>
      <c r="C8" s="372" t="s">
        <v>651</v>
      </c>
      <c r="D8" s="373">
        <f>D10+D16</f>
        <v>812</v>
      </c>
      <c r="E8" s="373">
        <f>E10+E16</f>
        <v>843</v>
      </c>
    </row>
    <row r="9" spans="1:8" x14ac:dyDescent="0.2">
      <c r="A9" s="371"/>
      <c r="B9" s="371"/>
      <c r="C9" s="371" t="s">
        <v>652</v>
      </c>
      <c r="D9" s="374"/>
      <c r="E9" s="373"/>
    </row>
    <row r="10" spans="1:8" ht="12.75" customHeight="1" x14ac:dyDescent="0.2">
      <c r="A10" s="371"/>
      <c r="B10" s="371"/>
      <c r="C10" s="375" t="s">
        <v>653</v>
      </c>
      <c r="D10" s="374">
        <f>D12+D15</f>
        <v>779</v>
      </c>
      <c r="E10" s="374">
        <f>E12+E15</f>
        <v>787</v>
      </c>
    </row>
    <row r="11" spans="1:8" ht="12.75" customHeight="1" x14ac:dyDescent="0.2">
      <c r="A11" s="371"/>
      <c r="B11" s="371"/>
      <c r="C11" s="371" t="s">
        <v>654</v>
      </c>
      <c r="D11" s="374"/>
      <c r="E11" s="373"/>
    </row>
    <row r="12" spans="1:8" ht="12.75" customHeight="1" x14ac:dyDescent="0.2">
      <c r="A12" s="371"/>
      <c r="B12" s="371"/>
      <c r="C12" s="375" t="s">
        <v>655</v>
      </c>
      <c r="D12" s="374"/>
      <c r="E12" s="373"/>
    </row>
    <row r="13" spans="1:8" ht="12.75" customHeight="1" x14ac:dyDescent="0.2">
      <c r="A13" s="371"/>
      <c r="B13" s="371"/>
      <c r="C13" s="375" t="s">
        <v>656</v>
      </c>
      <c r="D13" s="374"/>
      <c r="E13" s="373"/>
    </row>
    <row r="14" spans="1:8" x14ac:dyDescent="0.2">
      <c r="A14" s="371"/>
      <c r="B14" s="371"/>
      <c r="C14" s="376" t="s">
        <v>657</v>
      </c>
      <c r="D14" s="374"/>
      <c r="E14" s="373"/>
    </row>
    <row r="15" spans="1:8" ht="12.75" customHeight="1" x14ac:dyDescent="0.2">
      <c r="A15" s="371"/>
      <c r="B15" s="371"/>
      <c r="C15" s="375" t="s">
        <v>658</v>
      </c>
      <c r="D15" s="374">
        <v>779</v>
      </c>
      <c r="E15" s="374">
        <v>787</v>
      </c>
    </row>
    <row r="16" spans="1:8" ht="12.75" customHeight="1" x14ac:dyDescent="0.2">
      <c r="A16" s="371"/>
      <c r="B16" s="371"/>
      <c r="C16" s="375" t="s">
        <v>659</v>
      </c>
      <c r="D16" s="374">
        <v>33</v>
      </c>
      <c r="E16" s="374">
        <v>56</v>
      </c>
    </row>
    <row r="17" spans="1:6" ht="12.75" customHeight="1" x14ac:dyDescent="0.2">
      <c r="A17" s="371"/>
      <c r="B17" s="371" t="s">
        <v>660</v>
      </c>
      <c r="C17" s="372" t="s">
        <v>661</v>
      </c>
      <c r="D17" s="373">
        <f>SUM(D18+D27+D36+D45+D54)</f>
        <v>4824355</v>
      </c>
      <c r="E17" s="373">
        <f>SUM(E18+E27+E36+E45+E54)</f>
        <v>5511690</v>
      </c>
    </row>
    <row r="18" spans="1:6" ht="12.75" customHeight="1" x14ac:dyDescent="0.2">
      <c r="A18" s="377"/>
      <c r="B18" s="377"/>
      <c r="C18" s="372" t="s">
        <v>662</v>
      </c>
      <c r="D18" s="373">
        <f>SUM(D20+D26)</f>
        <v>4742551</v>
      </c>
      <c r="E18" s="373">
        <f>SUM(E20+E26)</f>
        <v>5392868</v>
      </c>
      <c r="F18" s="378"/>
    </row>
    <row r="19" spans="1:6" x14ac:dyDescent="0.2">
      <c r="A19" s="377"/>
      <c r="B19" s="377"/>
      <c r="C19" s="371" t="s">
        <v>663</v>
      </c>
      <c r="D19" s="374"/>
      <c r="E19" s="373"/>
    </row>
    <row r="20" spans="1:6" ht="12.75" customHeight="1" x14ac:dyDescent="0.2">
      <c r="A20" s="377"/>
      <c r="B20" s="377"/>
      <c r="C20" s="375" t="s">
        <v>653</v>
      </c>
      <c r="D20" s="374">
        <f>SUM(D22+D25)</f>
        <v>4290983</v>
      </c>
      <c r="E20" s="374">
        <f>SUM(E22+E25)</f>
        <v>4915121</v>
      </c>
    </row>
    <row r="21" spans="1:6" ht="12.75" customHeight="1" x14ac:dyDescent="0.2">
      <c r="A21" s="377"/>
      <c r="B21" s="377"/>
      <c r="C21" s="371" t="s">
        <v>664</v>
      </c>
      <c r="D21" s="374"/>
      <c r="E21" s="373"/>
    </row>
    <row r="22" spans="1:6" ht="12.75" customHeight="1" x14ac:dyDescent="0.2">
      <c r="A22" s="377"/>
      <c r="B22" s="377"/>
      <c r="C22" s="375" t="s">
        <v>655</v>
      </c>
      <c r="D22" s="374">
        <f>1360503+642572+1183530</f>
        <v>3186605</v>
      </c>
      <c r="E22" s="374">
        <f>(1360503+772377+1619070)</f>
        <v>3751950</v>
      </c>
    </row>
    <row r="23" spans="1:6" ht="12.75" customHeight="1" x14ac:dyDescent="0.2">
      <c r="A23" s="377"/>
      <c r="B23" s="377"/>
      <c r="C23" s="375" t="s">
        <v>665</v>
      </c>
      <c r="D23" s="379">
        <f>D22</f>
        <v>3186605</v>
      </c>
      <c r="E23" s="379">
        <f>E22</f>
        <v>3751950</v>
      </c>
    </row>
    <row r="24" spans="1:6" x14ac:dyDescent="0.2">
      <c r="A24" s="377"/>
      <c r="B24" s="377"/>
      <c r="C24" s="375" t="s">
        <v>666</v>
      </c>
      <c r="D24" s="379"/>
      <c r="E24" s="380"/>
    </row>
    <row r="25" spans="1:6" ht="12.75" customHeight="1" x14ac:dyDescent="0.2">
      <c r="A25" s="377"/>
      <c r="B25" s="377"/>
      <c r="C25" s="375" t="s">
        <v>658</v>
      </c>
      <c r="D25" s="374">
        <f>(849598+84095+59505+111180)</f>
        <v>1104378</v>
      </c>
      <c r="E25" s="374">
        <f>(849598+114818+61809+136946)</f>
        <v>1163171</v>
      </c>
    </row>
    <row r="26" spans="1:6" ht="12.75" customHeight="1" x14ac:dyDescent="0.2">
      <c r="A26" s="377"/>
      <c r="B26" s="377"/>
      <c r="C26" s="375" t="s">
        <v>667</v>
      </c>
      <c r="D26" s="374">
        <f>333489+1050+89045+2324+668+24992</f>
        <v>451568</v>
      </c>
      <c r="E26" s="374">
        <f>333489+1050+111117+2324+668+29099</f>
        <v>477747</v>
      </c>
    </row>
    <row r="27" spans="1:6" ht="12.75" customHeight="1" x14ac:dyDescent="0.2">
      <c r="A27" s="371"/>
      <c r="B27" s="371"/>
      <c r="C27" s="372" t="s">
        <v>668</v>
      </c>
      <c r="D27" s="373">
        <f>SUM(D29+D35)</f>
        <v>81804</v>
      </c>
      <c r="E27" s="373">
        <f>SUM(E29+E35)</f>
        <v>118822</v>
      </c>
    </row>
    <row r="28" spans="1:6" ht="12.75" customHeight="1" x14ac:dyDescent="0.2">
      <c r="A28" s="371"/>
      <c r="B28" s="371"/>
      <c r="C28" s="371" t="s">
        <v>669</v>
      </c>
      <c r="D28" s="374"/>
      <c r="E28" s="373"/>
    </row>
    <row r="29" spans="1:6" ht="12.75" customHeight="1" x14ac:dyDescent="0.2">
      <c r="A29" s="371"/>
      <c r="B29" s="371"/>
      <c r="C29" s="375" t="s">
        <v>653</v>
      </c>
      <c r="D29" s="374"/>
      <c r="E29" s="373"/>
    </row>
    <row r="30" spans="1:6" ht="12.75" customHeight="1" x14ac:dyDescent="0.2">
      <c r="A30" s="371"/>
      <c r="B30" s="371"/>
      <c r="C30" s="371" t="s">
        <v>664</v>
      </c>
      <c r="D30" s="374"/>
      <c r="E30" s="373"/>
    </row>
    <row r="31" spans="1:6" ht="12.75" customHeight="1" x14ac:dyDescent="0.2">
      <c r="A31" s="371"/>
      <c r="B31" s="371"/>
      <c r="C31" s="375" t="s">
        <v>655</v>
      </c>
      <c r="D31" s="374"/>
      <c r="E31" s="373"/>
    </row>
    <row r="32" spans="1:6" ht="12.75" customHeight="1" x14ac:dyDescent="0.2">
      <c r="A32" s="371"/>
      <c r="B32" s="371"/>
      <c r="C32" s="375" t="s">
        <v>665</v>
      </c>
      <c r="D32" s="374"/>
      <c r="E32" s="373"/>
    </row>
    <row r="33" spans="1:5" x14ac:dyDescent="0.2">
      <c r="A33" s="371"/>
      <c r="B33" s="371"/>
      <c r="C33" s="375" t="s">
        <v>666</v>
      </c>
      <c r="D33" s="374"/>
      <c r="E33" s="373"/>
    </row>
    <row r="34" spans="1:5" ht="12.75" customHeight="1" x14ac:dyDescent="0.2">
      <c r="A34" s="371"/>
      <c r="B34" s="371"/>
      <c r="C34" s="375" t="s">
        <v>658</v>
      </c>
      <c r="D34" s="374"/>
      <c r="E34" s="373"/>
    </row>
    <row r="35" spans="1:5" ht="12.75" customHeight="1" x14ac:dyDescent="0.2">
      <c r="A35" s="371"/>
      <c r="B35" s="371"/>
      <c r="C35" s="375" t="s">
        <v>667</v>
      </c>
      <c r="D35" s="374">
        <f>1692+51269+8851+728+144+12296+4153+2671</f>
        <v>81804</v>
      </c>
      <c r="E35" s="374">
        <f>3353+75015+8851+728+144+23907+4153+2671</f>
        <v>118822</v>
      </c>
    </row>
    <row r="36" spans="1:5" ht="12.75" customHeight="1" x14ac:dyDescent="0.2">
      <c r="A36" s="371"/>
      <c r="B36" s="371"/>
      <c r="C36" s="372" t="s">
        <v>670</v>
      </c>
      <c r="D36" s="373">
        <v>0</v>
      </c>
      <c r="E36" s="373">
        <v>0</v>
      </c>
    </row>
    <row r="37" spans="1:5" ht="12.75" customHeight="1" x14ac:dyDescent="0.2">
      <c r="A37" s="371"/>
      <c r="B37" s="371"/>
      <c r="C37" s="371" t="s">
        <v>669</v>
      </c>
      <c r="D37" s="374"/>
      <c r="E37" s="373"/>
    </row>
    <row r="38" spans="1:5" ht="12.75" customHeight="1" x14ac:dyDescent="0.2">
      <c r="A38" s="371"/>
      <c r="B38" s="371"/>
      <c r="C38" s="375" t="s">
        <v>653</v>
      </c>
      <c r="D38" s="374"/>
      <c r="E38" s="373"/>
    </row>
    <row r="39" spans="1:5" ht="12.75" customHeight="1" x14ac:dyDescent="0.2">
      <c r="A39" s="371"/>
      <c r="B39" s="371"/>
      <c r="C39" s="371" t="s">
        <v>664</v>
      </c>
      <c r="D39" s="374"/>
      <c r="E39" s="373"/>
    </row>
    <row r="40" spans="1:5" ht="12.75" customHeight="1" x14ac:dyDescent="0.2">
      <c r="A40" s="371"/>
      <c r="B40" s="371"/>
      <c r="C40" s="375" t="s">
        <v>655</v>
      </c>
      <c r="D40" s="374"/>
      <c r="E40" s="373"/>
    </row>
    <row r="41" spans="1:5" ht="12.75" customHeight="1" x14ac:dyDescent="0.2">
      <c r="A41" s="371"/>
      <c r="B41" s="371"/>
      <c r="C41" s="375" t="s">
        <v>665</v>
      </c>
      <c r="D41" s="374"/>
      <c r="E41" s="373"/>
    </row>
    <row r="42" spans="1:5" x14ac:dyDescent="0.2">
      <c r="A42" s="371"/>
      <c r="B42" s="371"/>
      <c r="C42" s="375" t="s">
        <v>666</v>
      </c>
      <c r="D42" s="374"/>
      <c r="E42" s="373"/>
    </row>
    <row r="43" spans="1:5" ht="12.75" customHeight="1" x14ac:dyDescent="0.2">
      <c r="A43" s="371"/>
      <c r="B43" s="371"/>
      <c r="C43" s="375" t="s">
        <v>658</v>
      </c>
      <c r="D43" s="374"/>
      <c r="E43" s="373"/>
    </row>
    <row r="44" spans="1:5" ht="12.75" customHeight="1" x14ac:dyDescent="0.2">
      <c r="A44" s="381"/>
      <c r="B44" s="381"/>
      <c r="C44" s="375" t="s">
        <v>667</v>
      </c>
      <c r="D44" s="374"/>
      <c r="E44" s="382"/>
    </row>
    <row r="45" spans="1:5" ht="12.75" customHeight="1" x14ac:dyDescent="0.2">
      <c r="A45" s="371"/>
      <c r="B45" s="381"/>
      <c r="C45" s="372" t="s">
        <v>671</v>
      </c>
      <c r="D45" s="373">
        <f>SUM(D47+D53)</f>
        <v>0</v>
      </c>
      <c r="E45" s="373">
        <f>SUM(E47+E53)</f>
        <v>0</v>
      </c>
    </row>
    <row r="46" spans="1:5" ht="12.75" customHeight="1" x14ac:dyDescent="0.2">
      <c r="A46" s="371"/>
      <c r="B46" s="381"/>
      <c r="C46" s="371" t="s">
        <v>669</v>
      </c>
      <c r="D46" s="374"/>
      <c r="E46" s="382"/>
    </row>
    <row r="47" spans="1:5" ht="12.75" customHeight="1" x14ac:dyDescent="0.2">
      <c r="A47" s="371"/>
      <c r="B47" s="381"/>
      <c r="C47" s="375" t="s">
        <v>653</v>
      </c>
      <c r="D47" s="374"/>
      <c r="E47" s="383"/>
    </row>
    <row r="48" spans="1:5" ht="12.75" customHeight="1" x14ac:dyDescent="0.2">
      <c r="A48" s="371"/>
      <c r="B48" s="381"/>
      <c r="C48" s="371" t="s">
        <v>664</v>
      </c>
      <c r="D48" s="374"/>
      <c r="E48" s="382"/>
    </row>
    <row r="49" spans="1:5" ht="12.75" customHeight="1" x14ac:dyDescent="0.2">
      <c r="A49" s="371"/>
      <c r="B49" s="381"/>
      <c r="C49" s="375" t="s">
        <v>655</v>
      </c>
      <c r="D49" s="374"/>
      <c r="E49" s="382"/>
    </row>
    <row r="50" spans="1:5" ht="12.75" customHeight="1" x14ac:dyDescent="0.2">
      <c r="A50" s="371"/>
      <c r="B50" s="381"/>
      <c r="C50" s="375" t="s">
        <v>665</v>
      </c>
      <c r="D50" s="374"/>
      <c r="E50" s="382"/>
    </row>
    <row r="51" spans="1:5" x14ac:dyDescent="0.2">
      <c r="A51" s="371"/>
      <c r="B51" s="381"/>
      <c r="C51" s="375" t="s">
        <v>666</v>
      </c>
      <c r="D51" s="374"/>
      <c r="E51" s="382"/>
    </row>
    <row r="52" spans="1:5" ht="12.75" customHeight="1" x14ac:dyDescent="0.2">
      <c r="A52" s="371"/>
      <c r="B52" s="381"/>
      <c r="C52" s="375" t="s">
        <v>658</v>
      </c>
      <c r="D52" s="374"/>
      <c r="E52" s="383"/>
    </row>
    <row r="53" spans="1:5" ht="12.75" customHeight="1" x14ac:dyDescent="0.2">
      <c r="A53" s="371"/>
      <c r="B53" s="381"/>
      <c r="C53" s="375" t="s">
        <v>672</v>
      </c>
      <c r="D53" s="374">
        <v>0</v>
      </c>
      <c r="E53" s="384">
        <v>0</v>
      </c>
    </row>
    <row r="54" spans="1:5" ht="12.75" customHeight="1" x14ac:dyDescent="0.2">
      <c r="A54" s="371"/>
      <c r="B54" s="371"/>
      <c r="C54" s="372" t="s">
        <v>673</v>
      </c>
      <c r="D54" s="373"/>
      <c r="E54" s="382"/>
    </row>
    <row r="55" spans="1:5" x14ac:dyDescent="0.2">
      <c r="A55" s="371"/>
      <c r="B55" s="371"/>
      <c r="C55" s="371" t="s">
        <v>669</v>
      </c>
      <c r="D55" s="374"/>
      <c r="E55" s="382"/>
    </row>
    <row r="56" spans="1:5" ht="12.75" customHeight="1" x14ac:dyDescent="0.2">
      <c r="A56" s="371"/>
      <c r="B56" s="371"/>
      <c r="C56" s="375" t="s">
        <v>653</v>
      </c>
      <c r="D56" s="374"/>
      <c r="E56" s="382"/>
    </row>
    <row r="57" spans="1:5" ht="12.75" customHeight="1" x14ac:dyDescent="0.2">
      <c r="A57" s="371"/>
      <c r="B57" s="371"/>
      <c r="C57" s="371" t="s">
        <v>664</v>
      </c>
      <c r="D57" s="374"/>
      <c r="E57" s="382"/>
    </row>
    <row r="58" spans="1:5" ht="12.75" customHeight="1" x14ac:dyDescent="0.2">
      <c r="A58" s="371"/>
      <c r="B58" s="371"/>
      <c r="C58" s="375" t="s">
        <v>655</v>
      </c>
      <c r="D58" s="374"/>
      <c r="E58" s="382"/>
    </row>
    <row r="59" spans="1:5" ht="12.75" customHeight="1" x14ac:dyDescent="0.2">
      <c r="A59" s="371"/>
      <c r="B59" s="371"/>
      <c r="C59" s="375" t="s">
        <v>665</v>
      </c>
      <c r="D59" s="374"/>
      <c r="E59" s="382"/>
    </row>
    <row r="60" spans="1:5" x14ac:dyDescent="0.2">
      <c r="A60" s="371"/>
      <c r="B60" s="371"/>
      <c r="C60" s="375" t="s">
        <v>666</v>
      </c>
      <c r="D60" s="374"/>
      <c r="E60" s="382"/>
    </row>
    <row r="61" spans="1:5" ht="12.75" customHeight="1" x14ac:dyDescent="0.2">
      <c r="A61" s="371"/>
      <c r="B61" s="371"/>
      <c r="C61" s="375" t="s">
        <v>658</v>
      </c>
      <c r="D61" s="374"/>
      <c r="E61" s="382"/>
    </row>
    <row r="62" spans="1:5" ht="12.75" customHeight="1" x14ac:dyDescent="0.2">
      <c r="A62" s="371"/>
      <c r="B62" s="371"/>
      <c r="C62" s="375" t="s">
        <v>672</v>
      </c>
      <c r="D62" s="374"/>
      <c r="E62" s="382"/>
    </row>
    <row r="63" spans="1:5" ht="12.75" customHeight="1" x14ac:dyDescent="0.2">
      <c r="A63" s="371"/>
      <c r="B63" s="372" t="s">
        <v>674</v>
      </c>
      <c r="C63" s="385" t="s">
        <v>675</v>
      </c>
      <c r="D63" s="373">
        <f>SUM(D66+D72)</f>
        <v>196506</v>
      </c>
      <c r="E63" s="373">
        <f>SUM(E66+E72)</f>
        <v>196506</v>
      </c>
    </row>
    <row r="64" spans="1:5" ht="12.75" customHeight="1" x14ac:dyDescent="0.2">
      <c r="A64" s="371"/>
      <c r="B64" s="371"/>
      <c r="C64" s="371" t="s">
        <v>676</v>
      </c>
      <c r="D64" s="374"/>
      <c r="E64" s="382"/>
    </row>
    <row r="65" spans="1:5" ht="12.75" customHeight="1" x14ac:dyDescent="0.2">
      <c r="A65" s="371"/>
      <c r="B65" s="371"/>
      <c r="C65" s="371" t="s">
        <v>669</v>
      </c>
      <c r="D65" s="374"/>
      <c r="E65" s="382"/>
    </row>
    <row r="66" spans="1:5" ht="12.75" customHeight="1" x14ac:dyDescent="0.2">
      <c r="A66" s="381"/>
      <c r="B66" s="381"/>
      <c r="C66" s="375" t="s">
        <v>653</v>
      </c>
      <c r="D66" s="374"/>
      <c r="E66" s="382"/>
    </row>
    <row r="67" spans="1:5" ht="12.75" customHeight="1" x14ac:dyDescent="0.2">
      <c r="A67" s="381"/>
      <c r="B67" s="381"/>
      <c r="C67" s="371" t="s">
        <v>664</v>
      </c>
      <c r="D67" s="374"/>
      <c r="E67" s="382"/>
    </row>
    <row r="68" spans="1:5" ht="12.75" customHeight="1" x14ac:dyDescent="0.2">
      <c r="A68" s="381"/>
      <c r="B68" s="381"/>
      <c r="C68" s="375" t="s">
        <v>655</v>
      </c>
      <c r="D68" s="374"/>
      <c r="E68" s="382"/>
    </row>
    <row r="69" spans="1:5" ht="12.75" customHeight="1" x14ac:dyDescent="0.2">
      <c r="A69" s="381"/>
      <c r="B69" s="381"/>
      <c r="C69" s="375" t="s">
        <v>665</v>
      </c>
      <c r="D69" s="374"/>
      <c r="E69" s="382"/>
    </row>
    <row r="70" spans="1:5" ht="17.25" customHeight="1" x14ac:dyDescent="0.2">
      <c r="A70" s="381"/>
      <c r="B70" s="381"/>
      <c r="C70" s="375" t="s">
        <v>666</v>
      </c>
      <c r="D70" s="374"/>
      <c r="E70" s="382"/>
    </row>
    <row r="71" spans="1:5" ht="12.75" customHeight="1" x14ac:dyDescent="0.2">
      <c r="A71" s="381"/>
      <c r="B71" s="381"/>
      <c r="C71" s="375" t="s">
        <v>658</v>
      </c>
      <c r="D71" s="374"/>
      <c r="E71" s="382"/>
    </row>
    <row r="72" spans="1:5" ht="12.75" customHeight="1" x14ac:dyDescent="0.2">
      <c r="A72" s="381"/>
      <c r="B72" s="381"/>
      <c r="C72" s="375" t="s">
        <v>672</v>
      </c>
      <c r="D72" s="374">
        <v>196506</v>
      </c>
      <c r="E72" s="384">
        <v>196506</v>
      </c>
    </row>
    <row r="73" spans="1:5" ht="12.75" customHeight="1" x14ac:dyDescent="0.2">
      <c r="A73" s="381"/>
      <c r="B73" s="381"/>
      <c r="C73" s="371" t="s">
        <v>677</v>
      </c>
      <c r="D73" s="374"/>
      <c r="E73" s="382"/>
    </row>
    <row r="74" spans="1:5" ht="12.75" customHeight="1" x14ac:dyDescent="0.2">
      <c r="A74" s="381"/>
      <c r="B74" s="381"/>
      <c r="C74" s="371" t="s">
        <v>669</v>
      </c>
      <c r="D74" s="374"/>
      <c r="E74" s="382"/>
    </row>
    <row r="75" spans="1:5" ht="12.75" customHeight="1" x14ac:dyDescent="0.2">
      <c r="A75" s="381"/>
      <c r="B75" s="381"/>
      <c r="C75" s="375" t="s">
        <v>653</v>
      </c>
      <c r="D75" s="374"/>
      <c r="E75" s="382"/>
    </row>
    <row r="76" spans="1:5" ht="12.75" customHeight="1" x14ac:dyDescent="0.2">
      <c r="A76" s="381"/>
      <c r="B76" s="381"/>
      <c r="C76" s="371" t="s">
        <v>678</v>
      </c>
      <c r="D76" s="374"/>
      <c r="E76" s="382"/>
    </row>
    <row r="77" spans="1:5" ht="12.75" customHeight="1" x14ac:dyDescent="0.2">
      <c r="A77" s="381"/>
      <c r="B77" s="381"/>
      <c r="C77" s="375" t="s">
        <v>655</v>
      </c>
      <c r="D77" s="374"/>
      <c r="E77" s="382"/>
    </row>
    <row r="78" spans="1:5" ht="12.75" customHeight="1" x14ac:dyDescent="0.2">
      <c r="A78" s="381"/>
      <c r="B78" s="381"/>
      <c r="C78" s="375" t="s">
        <v>665</v>
      </c>
      <c r="D78" s="374"/>
      <c r="E78" s="382"/>
    </row>
    <row r="79" spans="1:5" x14ac:dyDescent="0.2">
      <c r="A79" s="381"/>
      <c r="B79" s="381"/>
      <c r="C79" s="375" t="s">
        <v>666</v>
      </c>
      <c r="D79" s="374"/>
      <c r="E79" s="382"/>
    </row>
    <row r="80" spans="1:5" ht="12.75" customHeight="1" x14ac:dyDescent="0.2">
      <c r="A80" s="381"/>
      <c r="B80" s="381"/>
      <c r="C80" s="375" t="s">
        <v>658</v>
      </c>
      <c r="D80" s="374"/>
      <c r="E80" s="382"/>
    </row>
    <row r="81" spans="1:13" ht="12.75" customHeight="1" x14ac:dyDescent="0.2">
      <c r="A81" s="381"/>
      <c r="B81" s="381"/>
      <c r="C81" s="375" t="s">
        <v>667</v>
      </c>
      <c r="D81" s="374"/>
      <c r="E81" s="382"/>
    </row>
    <row r="82" spans="1:13" ht="12.75" customHeight="1" x14ac:dyDescent="0.2">
      <c r="A82" s="381"/>
      <c r="B82" s="381"/>
      <c r="C82" s="371" t="s">
        <v>679</v>
      </c>
      <c r="D82" s="374"/>
      <c r="E82" s="382"/>
    </row>
    <row r="83" spans="1:13" ht="12.75" customHeight="1" x14ac:dyDescent="0.2">
      <c r="A83" s="381"/>
      <c r="B83" s="381"/>
      <c r="C83" s="371" t="s">
        <v>669</v>
      </c>
      <c r="D83" s="374"/>
      <c r="E83" s="382"/>
    </row>
    <row r="84" spans="1:13" ht="12.75" customHeight="1" x14ac:dyDescent="0.2">
      <c r="A84" s="381"/>
      <c r="B84" s="381"/>
      <c r="C84" s="375" t="s">
        <v>653</v>
      </c>
      <c r="D84" s="374"/>
      <c r="E84" s="382"/>
    </row>
    <row r="85" spans="1:13" ht="12.75" customHeight="1" x14ac:dyDescent="0.2">
      <c r="A85" s="381"/>
      <c r="B85" s="381"/>
      <c r="C85" s="371" t="s">
        <v>664</v>
      </c>
      <c r="D85" s="374"/>
      <c r="E85" s="382"/>
    </row>
    <row r="86" spans="1:13" ht="12.75" customHeight="1" x14ac:dyDescent="0.2">
      <c r="A86" s="381"/>
      <c r="B86" s="381"/>
      <c r="C86" s="375" t="s">
        <v>655</v>
      </c>
      <c r="D86" s="374"/>
      <c r="E86" s="382"/>
    </row>
    <row r="87" spans="1:13" ht="12.75" customHeight="1" x14ac:dyDescent="0.2">
      <c r="A87" s="381"/>
      <c r="B87" s="381"/>
      <c r="C87" s="375" t="s">
        <v>665</v>
      </c>
      <c r="D87" s="374"/>
      <c r="E87" s="382"/>
    </row>
    <row r="88" spans="1:13" x14ac:dyDescent="0.2">
      <c r="A88" s="381"/>
      <c r="B88" s="381"/>
      <c r="C88" s="375" t="s">
        <v>666</v>
      </c>
      <c r="D88" s="374"/>
      <c r="E88" s="382"/>
    </row>
    <row r="89" spans="1:13" ht="12.75" customHeight="1" x14ac:dyDescent="0.2">
      <c r="A89" s="381"/>
      <c r="B89" s="381"/>
      <c r="C89" s="375" t="s">
        <v>658</v>
      </c>
      <c r="D89" s="374"/>
      <c r="E89" s="382"/>
    </row>
    <row r="90" spans="1:13" ht="12.75" customHeight="1" x14ac:dyDescent="0.2">
      <c r="A90" s="381"/>
      <c r="B90" s="381"/>
      <c r="C90" s="375" t="s">
        <v>672</v>
      </c>
      <c r="D90" s="374"/>
      <c r="E90" s="382"/>
    </row>
    <row r="91" spans="1:13" ht="14.25" customHeight="1" x14ac:dyDescent="0.2">
      <c r="A91" s="377"/>
      <c r="B91" s="371" t="s">
        <v>680</v>
      </c>
      <c r="C91" s="386" t="s">
        <v>681</v>
      </c>
      <c r="D91" s="374"/>
      <c r="E91" s="373"/>
      <c r="F91" s="894"/>
      <c r="G91" s="894"/>
      <c r="H91" s="894"/>
      <c r="I91" s="894"/>
      <c r="J91" s="894"/>
      <c r="K91" s="894"/>
      <c r="L91" s="387"/>
      <c r="M91" s="387"/>
    </row>
    <row r="92" spans="1:13" ht="12.75" customHeight="1" x14ac:dyDescent="0.2">
      <c r="A92" s="388" t="s">
        <v>682</v>
      </c>
      <c r="B92" s="388"/>
      <c r="C92" s="388" t="s">
        <v>683</v>
      </c>
      <c r="D92" s="373">
        <f>SUM(D93:D94)</f>
        <v>160</v>
      </c>
      <c r="E92" s="373">
        <f>SUM(E93:E94)</f>
        <v>160</v>
      </c>
    </row>
    <row r="93" spans="1:13" ht="12.75" customHeight="1" x14ac:dyDescent="0.2">
      <c r="A93" s="381"/>
      <c r="B93" s="371" t="s">
        <v>650</v>
      </c>
      <c r="C93" s="371" t="s">
        <v>684</v>
      </c>
      <c r="D93" s="374">
        <v>0</v>
      </c>
      <c r="E93" s="384">
        <v>0</v>
      </c>
    </row>
    <row r="94" spans="1:13" ht="12.75" customHeight="1" x14ac:dyDescent="0.2">
      <c r="A94" s="381"/>
      <c r="B94" s="371" t="s">
        <v>660</v>
      </c>
      <c r="C94" s="371" t="s">
        <v>685</v>
      </c>
      <c r="D94" s="374">
        <v>160</v>
      </c>
      <c r="E94" s="382">
        <v>160</v>
      </c>
    </row>
    <row r="95" spans="1:13" ht="12.75" customHeight="1" x14ac:dyDescent="0.2">
      <c r="A95" s="389" t="s">
        <v>686</v>
      </c>
      <c r="B95" s="372"/>
      <c r="C95" s="388" t="s">
        <v>687</v>
      </c>
      <c r="D95" s="373">
        <f>'13.Mérleg'!F29</f>
        <v>1349970</v>
      </c>
      <c r="E95" s="382">
        <f>D95</f>
        <v>1349970</v>
      </c>
    </row>
    <row r="96" spans="1:13" ht="12.75" customHeight="1" x14ac:dyDescent="0.2">
      <c r="A96" s="389" t="s">
        <v>688</v>
      </c>
      <c r="B96" s="372"/>
      <c r="C96" s="388" t="s">
        <v>689</v>
      </c>
      <c r="D96" s="373">
        <f>'13.Mérleg'!F50</f>
        <v>96646</v>
      </c>
      <c r="E96" s="382">
        <f t="shared" ref="E96:E101" si="0">D96</f>
        <v>96646</v>
      </c>
    </row>
    <row r="97" spans="1:5" ht="12.75" hidden="1" customHeight="1" x14ac:dyDescent="0.2">
      <c r="A97" s="390"/>
      <c r="B97" s="371" t="s">
        <v>650</v>
      </c>
      <c r="C97" s="371" t="s">
        <v>690</v>
      </c>
      <c r="D97" s="374"/>
      <c r="E97" s="382">
        <f t="shared" si="0"/>
        <v>0</v>
      </c>
    </row>
    <row r="98" spans="1:5" ht="12.75" hidden="1" customHeight="1" x14ac:dyDescent="0.2">
      <c r="A98" s="390"/>
      <c r="B98" s="371" t="s">
        <v>660</v>
      </c>
      <c r="C98" s="371" t="s">
        <v>691</v>
      </c>
      <c r="D98" s="374"/>
      <c r="E98" s="382">
        <f t="shared" si="0"/>
        <v>0</v>
      </c>
    </row>
    <row r="99" spans="1:5" ht="12.75" hidden="1" customHeight="1" x14ac:dyDescent="0.2">
      <c r="A99" s="390"/>
      <c r="B99" s="371" t="s">
        <v>674</v>
      </c>
      <c r="C99" s="371" t="s">
        <v>692</v>
      </c>
      <c r="D99" s="374"/>
      <c r="E99" s="382">
        <f t="shared" si="0"/>
        <v>0</v>
      </c>
    </row>
    <row r="100" spans="1:5" ht="12.75" customHeight="1" x14ac:dyDescent="0.2">
      <c r="A100" s="389" t="s">
        <v>693</v>
      </c>
      <c r="B100" s="372"/>
      <c r="C100" s="388" t="s">
        <v>694</v>
      </c>
      <c r="D100" s="373">
        <f>'13.Mérleg'!F58</f>
        <v>1155</v>
      </c>
      <c r="E100" s="382">
        <f t="shared" si="0"/>
        <v>1155</v>
      </c>
    </row>
    <row r="101" spans="1:5" ht="12.75" customHeight="1" x14ac:dyDescent="0.2">
      <c r="A101" s="389" t="s">
        <v>695</v>
      </c>
      <c r="B101" s="372"/>
      <c r="C101" s="388" t="s">
        <v>696</v>
      </c>
      <c r="D101" s="373">
        <f>'13.Mérleg'!F61</f>
        <v>0</v>
      </c>
      <c r="E101" s="382">
        <f t="shared" si="0"/>
        <v>0</v>
      </c>
    </row>
    <row r="102" spans="1:5" ht="21.75" customHeight="1" x14ac:dyDescent="0.2">
      <c r="A102" s="885" t="s">
        <v>697</v>
      </c>
      <c r="B102" s="885"/>
      <c r="C102" s="885"/>
      <c r="D102" s="391">
        <f>SUM(D7+D92+D95+D96+D100+D101)</f>
        <v>6469604</v>
      </c>
      <c r="E102" s="391">
        <f>SUM(E7+E92+E95+E96+E100+E101)</f>
        <v>7156970</v>
      </c>
    </row>
    <row r="103" spans="1:5" ht="16.5" customHeight="1" x14ac:dyDescent="0.2">
      <c r="A103" s="392"/>
      <c r="E103" s="393"/>
    </row>
    <row r="104" spans="1:5" ht="26.25" customHeight="1" x14ac:dyDescent="0.2">
      <c r="A104" s="882" t="s">
        <v>698</v>
      </c>
      <c r="B104" s="882"/>
      <c r="C104" s="882"/>
      <c r="D104" s="882"/>
      <c r="E104" s="882"/>
    </row>
    <row r="105" spans="1:5" ht="13.5" thickBot="1" x14ac:dyDescent="0.25">
      <c r="B105" s="394"/>
      <c r="C105" s="394"/>
      <c r="D105" s="394"/>
      <c r="E105" s="395" t="s">
        <v>435</v>
      </c>
    </row>
    <row r="106" spans="1:5" ht="26.25" customHeight="1" thickBot="1" x14ac:dyDescent="0.25">
      <c r="A106" s="886" t="s">
        <v>71</v>
      </c>
      <c r="B106" s="887"/>
      <c r="C106" s="887"/>
      <c r="D106" s="888"/>
      <c r="E106" s="396" t="s">
        <v>732</v>
      </c>
    </row>
    <row r="107" spans="1:5" ht="13.5" customHeight="1" x14ac:dyDescent="0.2">
      <c r="A107" s="397" t="s">
        <v>699</v>
      </c>
      <c r="B107" s="889" t="s">
        <v>700</v>
      </c>
      <c r="C107" s="889"/>
      <c r="D107" s="398"/>
      <c r="E107" s="399">
        <v>294286</v>
      </c>
    </row>
    <row r="108" spans="1:5" ht="13.5" customHeight="1" x14ac:dyDescent="0.2">
      <c r="A108" s="400" t="s">
        <v>701</v>
      </c>
      <c r="B108" s="890" t="s">
        <v>702</v>
      </c>
      <c r="C108" s="890"/>
      <c r="D108" s="381"/>
      <c r="E108" s="374"/>
    </row>
    <row r="109" spans="1:5" ht="13.5" customHeight="1" x14ac:dyDescent="0.2">
      <c r="A109" s="400" t="s">
        <v>703</v>
      </c>
      <c r="B109" s="890" t="s">
        <v>704</v>
      </c>
      <c r="C109" s="890"/>
      <c r="D109" s="381"/>
      <c r="E109" s="374"/>
    </row>
    <row r="110" spans="1:5" ht="13.5" customHeight="1" x14ac:dyDescent="0.2">
      <c r="A110" s="400" t="s">
        <v>705</v>
      </c>
      <c r="B110" s="890" t="s">
        <v>706</v>
      </c>
      <c r="C110" s="890"/>
      <c r="D110" s="381"/>
      <c r="E110" s="373"/>
    </row>
    <row r="111" spans="1:5" ht="12.75" customHeight="1" x14ac:dyDescent="0.2">
      <c r="A111" s="400" t="s">
        <v>707</v>
      </c>
      <c r="B111" s="890" t="s">
        <v>708</v>
      </c>
      <c r="C111" s="890"/>
      <c r="D111" s="381"/>
      <c r="E111" s="373"/>
    </row>
    <row r="112" spans="1:5" ht="13.5" customHeight="1" x14ac:dyDescent="0.2">
      <c r="A112" s="884" t="s">
        <v>709</v>
      </c>
      <c r="B112" s="884"/>
      <c r="C112" s="884"/>
      <c r="D112" s="401"/>
      <c r="E112" s="373">
        <f>SUM(E107:E111)</f>
        <v>294286</v>
      </c>
    </row>
    <row r="113" spans="1:5" ht="15.75" x14ac:dyDescent="0.2">
      <c r="A113" s="402"/>
    </row>
    <row r="114" spans="1:5" ht="15.75" x14ac:dyDescent="0.2">
      <c r="A114" s="883" t="s">
        <v>710</v>
      </c>
      <c r="B114" s="883"/>
      <c r="C114" s="883"/>
      <c r="D114" s="883"/>
      <c r="E114" s="883"/>
    </row>
    <row r="115" spans="1:5" ht="15.75" x14ac:dyDescent="0.2">
      <c r="A115" s="883" t="s">
        <v>711</v>
      </c>
      <c r="B115" s="883"/>
      <c r="C115" s="883"/>
      <c r="D115" s="883"/>
      <c r="E115" s="883"/>
    </row>
    <row r="116" spans="1:5" ht="15.75" x14ac:dyDescent="0.2">
      <c r="A116" s="883" t="s">
        <v>712</v>
      </c>
      <c r="B116" s="883"/>
      <c r="C116" s="883"/>
      <c r="D116" s="883"/>
      <c r="E116" s="883"/>
    </row>
    <row r="117" spans="1:5" ht="15.75" x14ac:dyDescent="0.2">
      <c r="A117" s="403"/>
      <c r="B117" s="403"/>
      <c r="C117" s="403"/>
      <c r="D117" s="404" t="s">
        <v>713</v>
      </c>
      <c r="E117" s="404" t="s">
        <v>714</v>
      </c>
    </row>
    <row r="118" spans="1:5" x14ac:dyDescent="0.2">
      <c r="A118" s="405" t="s">
        <v>699</v>
      </c>
      <c r="B118" s="877" t="s">
        <v>715</v>
      </c>
      <c r="C118" s="877"/>
      <c r="D118" s="406"/>
      <c r="E118" s="407" t="s">
        <v>66</v>
      </c>
    </row>
    <row r="119" spans="1:5" x14ac:dyDescent="0.2">
      <c r="A119" s="405"/>
      <c r="B119" s="408"/>
      <c r="C119" s="409"/>
      <c r="D119" s="409"/>
      <c r="E119" s="407"/>
    </row>
    <row r="120" spans="1:5" x14ac:dyDescent="0.2">
      <c r="A120" s="405"/>
      <c r="B120" s="408"/>
      <c r="C120" s="409"/>
      <c r="D120" s="409"/>
      <c r="E120" s="407"/>
    </row>
    <row r="121" spans="1:5" x14ac:dyDescent="0.2">
      <c r="A121" s="410"/>
      <c r="B121" s="411"/>
      <c r="C121" s="412"/>
      <c r="D121" s="412"/>
      <c r="E121" s="413"/>
    </row>
    <row r="122" spans="1:5" x14ac:dyDescent="0.2">
      <c r="A122" s="405" t="s">
        <v>701</v>
      </c>
      <c r="B122" s="877" t="s">
        <v>716</v>
      </c>
      <c r="C122" s="877"/>
      <c r="D122" s="406"/>
      <c r="E122" s="407" t="s">
        <v>66</v>
      </c>
    </row>
    <row r="123" spans="1:5" x14ac:dyDescent="0.2">
      <c r="A123" s="405"/>
      <c r="B123" s="408"/>
      <c r="C123" s="409"/>
      <c r="D123" s="409"/>
      <c r="E123" s="407"/>
    </row>
    <row r="124" spans="1:5" x14ac:dyDescent="0.2">
      <c r="A124" s="405"/>
      <c r="B124" s="408"/>
      <c r="C124" s="409"/>
      <c r="D124" s="409"/>
      <c r="E124" s="407"/>
    </row>
    <row r="125" spans="1:5" x14ac:dyDescent="0.2">
      <c r="A125" s="410"/>
      <c r="B125" s="414"/>
      <c r="C125" s="414"/>
      <c r="D125" s="414"/>
      <c r="E125" s="413"/>
    </row>
    <row r="126" spans="1:5" x14ac:dyDescent="0.2">
      <c r="A126" s="405" t="s">
        <v>703</v>
      </c>
      <c r="B126" s="877" t="s">
        <v>717</v>
      </c>
      <c r="C126" s="877"/>
      <c r="D126" s="406"/>
      <c r="E126" s="407" t="s">
        <v>66</v>
      </c>
    </row>
    <row r="127" spans="1:5" x14ac:dyDescent="0.2">
      <c r="A127" s="405"/>
      <c r="B127" s="415"/>
      <c r="C127" s="415"/>
      <c r="D127" s="415"/>
      <c r="E127" s="407"/>
    </row>
    <row r="128" spans="1:5" x14ac:dyDescent="0.2">
      <c r="A128" s="405"/>
      <c r="B128" s="415"/>
      <c r="C128" s="415"/>
      <c r="D128" s="415"/>
      <c r="E128" s="407"/>
    </row>
    <row r="129" spans="1:5" ht="9.75" customHeight="1" x14ac:dyDescent="0.2">
      <c r="A129" s="411"/>
      <c r="B129" s="411"/>
      <c r="C129" s="414"/>
      <c r="D129" s="414"/>
      <c r="E129" s="413"/>
    </row>
    <row r="130" spans="1:5" ht="11.25" customHeight="1" x14ac:dyDescent="0.2">
      <c r="A130" s="411"/>
      <c r="B130" s="411"/>
      <c r="C130" s="414"/>
      <c r="D130" s="414"/>
      <c r="E130" s="413"/>
    </row>
    <row r="131" spans="1:5" ht="13.5" customHeight="1" x14ac:dyDescent="0.2">
      <c r="A131" s="405" t="s">
        <v>705</v>
      </c>
      <c r="B131" s="878" t="s">
        <v>718</v>
      </c>
      <c r="C131" s="878"/>
      <c r="D131" s="372"/>
      <c r="E131" s="407" t="s">
        <v>66</v>
      </c>
    </row>
    <row r="132" spans="1:5" x14ac:dyDescent="0.2">
      <c r="A132" s="405"/>
      <c r="B132" s="405"/>
      <c r="C132" s="416"/>
      <c r="D132" s="416"/>
      <c r="E132" s="407"/>
    </row>
    <row r="133" spans="1:5" x14ac:dyDescent="0.2">
      <c r="A133" s="405"/>
      <c r="B133" s="405"/>
      <c r="C133" s="408"/>
      <c r="D133" s="408"/>
      <c r="E133" s="407"/>
    </row>
    <row r="134" spans="1:5" ht="15.75" x14ac:dyDescent="0.2">
      <c r="A134" s="402"/>
    </row>
    <row r="135" spans="1:5" ht="15.75" x14ac:dyDescent="0.2">
      <c r="A135" s="402"/>
    </row>
  </sheetData>
  <mergeCells count="22">
    <mergeCell ref="B111:C111"/>
    <mergeCell ref="B109:C109"/>
    <mergeCell ref="A5:C5"/>
    <mergeCell ref="B7:C7"/>
    <mergeCell ref="F91:K91"/>
    <mergeCell ref="B110:C110"/>
    <mergeCell ref="B118:C118"/>
    <mergeCell ref="B122:C122"/>
    <mergeCell ref="B126:C126"/>
    <mergeCell ref="B131:C131"/>
    <mergeCell ref="A2:E2"/>
    <mergeCell ref="A3:E3"/>
    <mergeCell ref="D5:E5"/>
    <mergeCell ref="A104:E104"/>
    <mergeCell ref="A114:E114"/>
    <mergeCell ref="A115:E115"/>
    <mergeCell ref="A112:C112"/>
    <mergeCell ref="A116:E116"/>
    <mergeCell ref="A102:C102"/>
    <mergeCell ref="A106:D106"/>
    <mergeCell ref="B107:C107"/>
    <mergeCell ref="B108:C108"/>
  </mergeCells>
  <pageMargins left="0.7" right="0.7" top="0.75" bottom="0.75" header="0.3" footer="0.3"/>
  <pageSetup paperSize="9" scale="85" orientation="portrait" r:id="rId1"/>
  <colBreaks count="1" manualBreakCount="1">
    <brk id="5" max="13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5"/>
  <sheetViews>
    <sheetView zoomScaleNormal="100" workbookViewId="0">
      <selection activeCell="B10" sqref="B10"/>
    </sheetView>
  </sheetViews>
  <sheetFormatPr defaultRowHeight="12.75" x14ac:dyDescent="0.2"/>
  <cols>
    <col min="1" max="1" width="63.28515625" customWidth="1"/>
    <col min="2" max="2" width="17.28515625" customWidth="1"/>
    <col min="3" max="3" width="10.42578125" style="9" hidden="1" customWidth="1"/>
    <col min="4" max="4" width="9.42578125" style="9" hidden="1" customWidth="1"/>
  </cols>
  <sheetData>
    <row r="1" spans="1:4" x14ac:dyDescent="0.2">
      <c r="A1" s="3"/>
      <c r="B1" s="85" t="s">
        <v>614</v>
      </c>
    </row>
    <row r="2" spans="1:4" ht="50.25" customHeight="1" x14ac:dyDescent="0.25">
      <c r="A2" s="895" t="s">
        <v>733</v>
      </c>
      <c r="B2" s="896"/>
    </row>
    <row r="3" spans="1:4" x14ac:dyDescent="0.2">
      <c r="A3" s="3"/>
      <c r="B3" s="85"/>
    </row>
    <row r="4" spans="1:4" ht="13.5" thickBot="1" x14ac:dyDescent="0.25">
      <c r="A4" s="3"/>
      <c r="B4" s="85" t="s">
        <v>0</v>
      </c>
    </row>
    <row r="5" spans="1:4" ht="34.5" customHeight="1" thickBot="1" x14ac:dyDescent="0.25">
      <c r="A5" s="98" t="s">
        <v>71</v>
      </c>
      <c r="B5" s="220" t="s">
        <v>47</v>
      </c>
    </row>
    <row r="6" spans="1:4" ht="15.95" customHeight="1" x14ac:dyDescent="0.2">
      <c r="A6" s="100" t="s">
        <v>735</v>
      </c>
      <c r="B6" s="417">
        <f>'13.Mérleg'!D29</f>
        <v>158357</v>
      </c>
    </row>
    <row r="7" spans="1:4" ht="15.95" customHeight="1" x14ac:dyDescent="0.2">
      <c r="A7" s="104" t="s">
        <v>719</v>
      </c>
      <c r="B7" s="103">
        <f>SUM(D7-B6)</f>
        <v>2803214</v>
      </c>
      <c r="D7" s="37">
        <f>'1.Bev-kiad.'!G63</f>
        <v>2961571</v>
      </c>
    </row>
    <row r="8" spans="1:4" ht="15.95" customHeight="1" x14ac:dyDescent="0.2">
      <c r="A8" s="104" t="s">
        <v>720</v>
      </c>
      <c r="B8" s="103">
        <f>SUM(B6:B7)</f>
        <v>2961571</v>
      </c>
      <c r="D8" s="37"/>
    </row>
    <row r="9" spans="1:4" ht="16.5" customHeight="1" x14ac:dyDescent="0.2">
      <c r="A9" s="104" t="s">
        <v>721</v>
      </c>
      <c r="B9" s="103">
        <f>'1.Bev-kiad.'!G84</f>
        <v>2638175</v>
      </c>
      <c r="D9" s="37">
        <f>'1.Bev-kiad.'!G84</f>
        <v>2638175</v>
      </c>
    </row>
    <row r="10" spans="1:4" ht="16.5" customHeight="1" x14ac:dyDescent="0.2">
      <c r="A10" s="104" t="s">
        <v>722</v>
      </c>
      <c r="B10" s="103">
        <f>SUM(B8-B9)</f>
        <v>323396</v>
      </c>
      <c r="C10" s="37"/>
      <c r="D10" s="37">
        <f>SUM(D7-D9)</f>
        <v>323396</v>
      </c>
    </row>
    <row r="11" spans="1:4" ht="16.5" customHeight="1" x14ac:dyDescent="0.2">
      <c r="A11" s="104" t="s">
        <v>723</v>
      </c>
      <c r="B11" s="103">
        <v>0</v>
      </c>
      <c r="D11" s="37"/>
    </row>
    <row r="12" spans="1:4" ht="15.95" customHeight="1" x14ac:dyDescent="0.2">
      <c r="A12" s="418" t="s">
        <v>734</v>
      </c>
      <c r="B12" s="419">
        <f>'13.Mérleg'!F29</f>
        <v>1349970</v>
      </c>
      <c r="C12" s="221">
        <v>158357</v>
      </c>
    </row>
    <row r="13" spans="1:4" ht="15.95" customHeight="1" thickBot="1" x14ac:dyDescent="0.25">
      <c r="A13" s="420" t="s">
        <v>724</v>
      </c>
      <c r="B13" s="421">
        <f>SUM(B12-B6)</f>
        <v>1191613</v>
      </c>
    </row>
    <row r="14" spans="1:4" ht="18" customHeight="1" x14ac:dyDescent="0.2">
      <c r="C14" s="37">
        <f>SUM(C12-B12)</f>
        <v>-1191613</v>
      </c>
      <c r="D14" s="37">
        <f>SUM(D10-C12)</f>
        <v>165039</v>
      </c>
    </row>
    <row r="15" spans="1:4" ht="18" customHeight="1" x14ac:dyDescent="0.2">
      <c r="C15"/>
      <c r="D15"/>
    </row>
    <row r="16" spans="1:4" ht="15.95" customHeight="1" x14ac:dyDescent="0.2"/>
    <row r="17" ht="15.95" customHeight="1" x14ac:dyDescent="0.2"/>
    <row r="18" ht="15.95" customHeight="1" x14ac:dyDescent="0.2"/>
    <row r="19" ht="15.95" customHeight="1" x14ac:dyDescent="0.2"/>
    <row r="20" ht="15.95" customHeight="1" x14ac:dyDescent="0.2"/>
    <row r="21" ht="15" customHeight="1" x14ac:dyDescent="0.2"/>
    <row r="22" ht="14.1" customHeight="1" x14ac:dyDescent="0.2"/>
    <row r="23" ht="14.1" customHeight="1" x14ac:dyDescent="0.2"/>
    <row r="24" ht="14.1" customHeight="1" x14ac:dyDescent="0.2"/>
    <row r="25" ht="14.1" customHeight="1" x14ac:dyDescent="0.2"/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1"/>
  <sheetViews>
    <sheetView zoomScaleNormal="100" workbookViewId="0">
      <selection activeCell="H9" sqref="H9"/>
    </sheetView>
  </sheetViews>
  <sheetFormatPr defaultRowHeight="12.75" x14ac:dyDescent="0.2"/>
  <cols>
    <col min="1" max="1" width="69" customWidth="1"/>
    <col min="2" max="2" width="16" customWidth="1"/>
    <col min="3" max="3" width="12.28515625" customWidth="1"/>
    <col min="4" max="4" width="9.42578125" style="9" customWidth="1"/>
  </cols>
  <sheetData>
    <row r="1" spans="1:4" x14ac:dyDescent="0.2">
      <c r="A1" s="3"/>
      <c r="B1" s="85" t="s">
        <v>644</v>
      </c>
    </row>
    <row r="2" spans="1:4" ht="50.25" customHeight="1" x14ac:dyDescent="0.25">
      <c r="A2" s="895" t="s">
        <v>736</v>
      </c>
      <c r="B2" s="896"/>
    </row>
    <row r="3" spans="1:4" x14ac:dyDescent="0.2">
      <c r="A3" s="3"/>
      <c r="B3" s="85"/>
    </row>
    <row r="4" spans="1:4" ht="13.5" thickBot="1" x14ac:dyDescent="0.25">
      <c r="A4" s="3"/>
      <c r="B4" s="85" t="s">
        <v>0</v>
      </c>
    </row>
    <row r="5" spans="1:4" ht="34.5" customHeight="1" thickBot="1" x14ac:dyDescent="0.25">
      <c r="A5" s="98" t="s">
        <v>71</v>
      </c>
      <c r="B5" s="220" t="s">
        <v>47</v>
      </c>
    </row>
    <row r="6" spans="1:4" ht="31.5" customHeight="1" x14ac:dyDescent="0.2">
      <c r="A6" s="422" t="s">
        <v>725</v>
      </c>
      <c r="B6" s="417">
        <f>SUM(B7)</f>
        <v>0</v>
      </c>
    </row>
    <row r="7" spans="1:4" ht="15.95" customHeight="1" x14ac:dyDescent="0.2">
      <c r="A7" s="102" t="s">
        <v>726</v>
      </c>
      <c r="B7" s="423">
        <v>0</v>
      </c>
      <c r="D7" s="37"/>
    </row>
    <row r="8" spans="1:4" ht="25.5" customHeight="1" x14ac:dyDescent="0.2">
      <c r="A8" s="424" t="s">
        <v>727</v>
      </c>
      <c r="B8" s="103">
        <f>SUM(B9)</f>
        <v>3000</v>
      </c>
      <c r="D8" s="37"/>
    </row>
    <row r="9" spans="1:4" ht="16.5" customHeight="1" x14ac:dyDescent="0.2">
      <c r="A9" s="102" t="s">
        <v>726</v>
      </c>
      <c r="B9" s="423">
        <v>3000</v>
      </c>
      <c r="D9" s="37"/>
    </row>
    <row r="10" spans="1:4" s="9" customFormat="1" ht="18" customHeight="1" x14ac:dyDescent="0.2">
      <c r="A10" s="431" t="s">
        <v>738</v>
      </c>
      <c r="B10" s="430">
        <v>100</v>
      </c>
      <c r="C10" s="37"/>
      <c r="D10" s="37"/>
    </row>
    <row r="11" spans="1:4" s="425" customFormat="1" ht="19.5" customHeight="1" x14ac:dyDescent="0.2">
      <c r="A11" s="428" t="s">
        <v>737</v>
      </c>
      <c r="B11" s="429">
        <f>SUM(B12)</f>
        <v>10</v>
      </c>
      <c r="D11" s="426"/>
    </row>
    <row r="12" spans="1:4" ht="16.5" customHeight="1" thickBot="1" x14ac:dyDescent="0.25">
      <c r="A12" s="427" t="s">
        <v>750</v>
      </c>
      <c r="B12" s="432">
        <v>10</v>
      </c>
      <c r="D12" s="37"/>
    </row>
    <row r="13" spans="1:4" ht="15.95" customHeight="1" x14ac:dyDescent="0.2">
      <c r="A13" s="54"/>
      <c r="B13" s="109"/>
    </row>
    <row r="14" spans="1:4" ht="15.95" customHeight="1" x14ac:dyDescent="0.2">
      <c r="A14" s="54"/>
      <c r="B14" s="109"/>
    </row>
    <row r="15" spans="1:4" ht="15.95" customHeight="1" x14ac:dyDescent="0.2">
      <c r="A15" s="54"/>
      <c r="B15" s="109"/>
    </row>
    <row r="16" spans="1:4" ht="15.95" customHeight="1" x14ac:dyDescent="0.2">
      <c r="A16" s="54"/>
      <c r="B16" s="109"/>
    </row>
    <row r="17" spans="1:2" ht="15" customHeight="1" x14ac:dyDescent="0.2">
      <c r="A17" s="54"/>
      <c r="B17" s="54"/>
    </row>
    <row r="18" spans="1:2" ht="14.1" customHeight="1" x14ac:dyDescent="0.2">
      <c r="A18" s="54"/>
      <c r="B18" s="54"/>
    </row>
    <row r="19" spans="1:2" ht="14.1" customHeight="1" x14ac:dyDescent="0.2">
      <c r="A19" s="54"/>
      <c r="B19" s="54"/>
    </row>
    <row r="20" spans="1:2" ht="14.1" customHeight="1" x14ac:dyDescent="0.2"/>
    <row r="21" spans="1:2" ht="14.1" customHeight="1" x14ac:dyDescent="0.2"/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40"/>
  <sheetViews>
    <sheetView zoomScaleNormal="100" workbookViewId="0">
      <selection activeCell="M26" sqref="M26"/>
    </sheetView>
  </sheetViews>
  <sheetFormatPr defaultRowHeight="12.75" x14ac:dyDescent="0.2"/>
  <cols>
    <col min="1" max="1" width="35.28515625" customWidth="1"/>
    <col min="2" max="2" width="9.28515625" customWidth="1"/>
    <col min="3" max="4" width="8.85546875" customWidth="1"/>
    <col min="5" max="5" width="9.42578125" customWidth="1"/>
    <col min="6" max="8" width="9.140625" customWidth="1"/>
    <col min="9" max="9" width="9" customWidth="1"/>
    <col min="10" max="11" width="9.140625" customWidth="1"/>
    <col min="12" max="12" width="9.140625" bestFit="1" customWidth="1"/>
    <col min="13" max="13" width="9.28515625" bestFit="1" customWidth="1"/>
    <col min="14" max="14" width="10.85546875" customWidth="1"/>
    <col min="15" max="15" width="10.85546875" hidden="1" customWidth="1"/>
    <col min="16" max="16" width="12.42578125" style="565" customWidth="1"/>
  </cols>
  <sheetData>
    <row r="1" spans="1:16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M1" s="3"/>
      <c r="N1" s="179" t="s">
        <v>1133</v>
      </c>
      <c r="O1" s="91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M2" s="3"/>
      <c r="N2" s="183" t="str">
        <f>'1.Bev-kiad.'!F2</f>
        <v>a 11/2023.(V.26.) önkormányzati rendelethez</v>
      </c>
      <c r="O2" s="91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3"/>
      <c r="N3" s="183" t="s">
        <v>1306</v>
      </c>
      <c r="O3" s="91"/>
    </row>
    <row r="4" spans="1:16" ht="15.75" x14ac:dyDescent="0.25">
      <c r="A4" s="97" t="s">
        <v>1189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85"/>
      <c r="O4" s="91"/>
    </row>
    <row r="5" spans="1:16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5"/>
      <c r="O5" s="91"/>
    </row>
    <row r="6" spans="1:16" ht="13.5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85" t="s">
        <v>0</v>
      </c>
      <c r="O6" s="91"/>
    </row>
    <row r="7" spans="1:16" ht="21.75" customHeight="1" thickBot="1" x14ac:dyDescent="0.25">
      <c r="A7" s="98" t="s">
        <v>71</v>
      </c>
      <c r="B7" s="99" t="s">
        <v>72</v>
      </c>
      <c r="C7" s="99" t="s">
        <v>73</v>
      </c>
      <c r="D7" s="99" t="s">
        <v>74</v>
      </c>
      <c r="E7" s="99" t="s">
        <v>75</v>
      </c>
      <c r="F7" s="99" t="s">
        <v>76</v>
      </c>
      <c r="G7" s="99" t="s">
        <v>77</v>
      </c>
      <c r="H7" s="99" t="s">
        <v>78</v>
      </c>
      <c r="I7" s="99" t="s">
        <v>79</v>
      </c>
      <c r="J7" s="99" t="s">
        <v>80</v>
      </c>
      <c r="K7" s="99" t="s">
        <v>81</v>
      </c>
      <c r="L7" s="99" t="s">
        <v>82</v>
      </c>
      <c r="M7" s="99" t="s">
        <v>83</v>
      </c>
      <c r="N7" s="220" t="s">
        <v>47</v>
      </c>
      <c r="O7" s="567"/>
    </row>
    <row r="8" spans="1:16" ht="15.95" customHeight="1" x14ac:dyDescent="0.2">
      <c r="A8" s="100" t="s">
        <v>84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101"/>
      <c r="O8" s="568"/>
    </row>
    <row r="9" spans="1:16" ht="15.95" customHeight="1" x14ac:dyDescent="0.2">
      <c r="A9" s="281" t="s">
        <v>501</v>
      </c>
      <c r="B9" s="33">
        <v>57964</v>
      </c>
      <c r="C9" s="33">
        <v>43095</v>
      </c>
      <c r="D9" s="33">
        <v>42570</v>
      </c>
      <c r="E9" s="33">
        <v>39192</v>
      </c>
      <c r="F9" s="33">
        <v>55031</v>
      </c>
      <c r="G9" s="33">
        <v>66656</v>
      </c>
      <c r="H9" s="33">
        <v>41256</v>
      </c>
      <c r="I9" s="33">
        <v>41882</v>
      </c>
      <c r="J9" s="33">
        <v>43057</v>
      </c>
      <c r="K9" s="33">
        <v>52470</v>
      </c>
      <c r="L9" s="33">
        <v>52372</v>
      </c>
      <c r="M9" s="33">
        <v>71302</v>
      </c>
      <c r="N9" s="103">
        <f t="shared" ref="N9:N18" si="0">SUM(B9:M9)</f>
        <v>606847</v>
      </c>
      <c r="O9" s="221">
        <f>SUM('1.Bev-kiad.'!C9)</f>
        <v>559478</v>
      </c>
      <c r="P9" s="566"/>
    </row>
    <row r="10" spans="1:16" ht="15.95" customHeight="1" x14ac:dyDescent="0.2">
      <c r="A10" s="281" t="s">
        <v>499</v>
      </c>
      <c r="B10" s="33"/>
      <c r="C10" s="33"/>
      <c r="D10" s="33">
        <v>227589</v>
      </c>
      <c r="E10" s="33">
        <v>78483</v>
      </c>
      <c r="F10" s="33">
        <v>301928</v>
      </c>
      <c r="G10" s="33">
        <v>0</v>
      </c>
      <c r="H10" s="33"/>
      <c r="I10" s="33"/>
      <c r="J10" s="33"/>
      <c r="K10" s="33">
        <v>34531</v>
      </c>
      <c r="L10" s="33"/>
      <c r="M10" s="33"/>
      <c r="N10" s="103">
        <f t="shared" si="0"/>
        <v>642531</v>
      </c>
      <c r="O10" s="37">
        <f>SUM('1.Bev-kiad.'!C16)</f>
        <v>305226</v>
      </c>
    </row>
    <row r="11" spans="1:16" ht="15.75" customHeight="1" x14ac:dyDescent="0.2">
      <c r="A11" s="123" t="s">
        <v>376</v>
      </c>
      <c r="B11" s="33">
        <v>5074</v>
      </c>
      <c r="C11" s="33">
        <v>10228</v>
      </c>
      <c r="D11" s="33">
        <v>133635</v>
      </c>
      <c r="E11" s="33">
        <v>9962</v>
      </c>
      <c r="F11" s="33">
        <v>13318</v>
      </c>
      <c r="G11" s="33">
        <v>7703</v>
      </c>
      <c r="H11" s="33">
        <v>16323</v>
      </c>
      <c r="I11" s="33">
        <v>31866</v>
      </c>
      <c r="J11" s="33">
        <v>132526</v>
      </c>
      <c r="K11" s="33">
        <v>21769</v>
      </c>
      <c r="L11" s="33">
        <v>8217</v>
      </c>
      <c r="M11" s="33">
        <v>7179</v>
      </c>
      <c r="N11" s="103">
        <f t="shared" si="0"/>
        <v>397800</v>
      </c>
      <c r="O11" s="37">
        <f>SUM('1.Bev-kiad.'!C22)</f>
        <v>373000</v>
      </c>
    </row>
    <row r="12" spans="1:16" ht="15.95" customHeight="1" x14ac:dyDescent="0.2">
      <c r="A12" s="102" t="s">
        <v>377</v>
      </c>
      <c r="B12" s="33">
        <v>4389</v>
      </c>
      <c r="C12" s="33">
        <v>1261</v>
      </c>
      <c r="D12" s="33">
        <v>2064</v>
      </c>
      <c r="E12" s="33">
        <v>9608</v>
      </c>
      <c r="F12" s="33">
        <v>8284</v>
      </c>
      <c r="G12" s="33">
        <v>10889</v>
      </c>
      <c r="H12" s="33">
        <v>39618</v>
      </c>
      <c r="I12" s="33">
        <v>16182</v>
      </c>
      <c r="J12" s="33">
        <v>5172</v>
      </c>
      <c r="K12" s="33">
        <v>12869</v>
      </c>
      <c r="L12" s="33">
        <v>30605</v>
      </c>
      <c r="M12" s="33">
        <v>10598</v>
      </c>
      <c r="N12" s="103">
        <f t="shared" si="0"/>
        <v>151539</v>
      </c>
      <c r="O12" s="37">
        <f>SUM('1.Bev-kiad.'!C29)</f>
        <v>51770</v>
      </c>
    </row>
    <row r="13" spans="1:16" ht="15.95" customHeight="1" x14ac:dyDescent="0.2">
      <c r="A13" s="102" t="s">
        <v>379</v>
      </c>
      <c r="B13" s="33">
        <v>171</v>
      </c>
      <c r="C13" s="33">
        <v>1002</v>
      </c>
      <c r="D13" s="33">
        <v>38</v>
      </c>
      <c r="E13" s="33">
        <v>19907</v>
      </c>
      <c r="F13" s="33">
        <v>103</v>
      </c>
      <c r="G13" s="33">
        <v>153</v>
      </c>
      <c r="H13" s="33">
        <v>48</v>
      </c>
      <c r="I13" s="33">
        <v>18</v>
      </c>
      <c r="J13" s="33">
        <v>23</v>
      </c>
      <c r="K13" s="33">
        <v>3062</v>
      </c>
      <c r="L13" s="33">
        <v>21</v>
      </c>
      <c r="M13" s="33">
        <v>5415</v>
      </c>
      <c r="N13" s="103">
        <f t="shared" si="0"/>
        <v>29961</v>
      </c>
      <c r="O13" s="37">
        <f>SUM('1.Bev-kiad.'!C40)</f>
        <v>26950</v>
      </c>
    </row>
    <row r="14" spans="1:16" ht="15.95" customHeight="1" x14ac:dyDescent="0.2">
      <c r="A14" s="102" t="s">
        <v>378</v>
      </c>
      <c r="B14" s="33"/>
      <c r="C14" s="33">
        <v>516</v>
      </c>
      <c r="D14" s="33"/>
      <c r="E14" s="33"/>
      <c r="F14" s="33"/>
      <c r="G14" s="33"/>
      <c r="H14" s="33"/>
      <c r="I14" s="33"/>
      <c r="J14" s="33">
        <v>1000</v>
      </c>
      <c r="K14" s="33"/>
      <c r="L14" s="33">
        <v>22668</v>
      </c>
      <c r="M14" s="33"/>
      <c r="N14" s="103">
        <f t="shared" si="0"/>
        <v>24184</v>
      </c>
      <c r="O14" s="37">
        <f>SUM('1.Bev-kiad.'!C46)</f>
        <v>20000</v>
      </c>
    </row>
    <row r="15" spans="1:16" ht="15.95" customHeight="1" x14ac:dyDescent="0.2">
      <c r="A15" s="102" t="s">
        <v>500</v>
      </c>
      <c r="B15" s="33"/>
      <c r="C15" s="33"/>
      <c r="D15" s="33"/>
      <c r="E15" s="33"/>
      <c r="F15" s="33"/>
      <c r="G15" s="33"/>
      <c r="H15" s="33"/>
      <c r="I15" s="33"/>
      <c r="J15" s="33">
        <v>10294</v>
      </c>
      <c r="K15" s="33">
        <v>0</v>
      </c>
      <c r="L15" s="33"/>
      <c r="M15" s="33">
        <v>6</v>
      </c>
      <c r="N15" s="103">
        <f t="shared" si="0"/>
        <v>10300</v>
      </c>
      <c r="O15" s="37">
        <f>SUM('1.Bev-kiad.'!C50)</f>
        <v>10300</v>
      </c>
    </row>
    <row r="16" spans="1:16" ht="15.95" customHeight="1" x14ac:dyDescent="0.2">
      <c r="A16" s="102" t="s">
        <v>446</v>
      </c>
      <c r="B16" s="33">
        <f>SUM('1.Bev-kiad.'!C55)</f>
        <v>795576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103">
        <f t="shared" ref="N16:N17" si="1">SUM(B16:M16)</f>
        <v>795576</v>
      </c>
      <c r="O16" s="37">
        <f>SUM('1.Bev-kiad.'!C55)</f>
        <v>795576</v>
      </c>
    </row>
    <row r="17" spans="1:17" ht="15.95" customHeight="1" x14ac:dyDescent="0.2">
      <c r="A17" s="102" t="s">
        <v>1472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>
        <v>19840</v>
      </c>
      <c r="N17" s="103">
        <f t="shared" si="1"/>
        <v>19840</v>
      </c>
      <c r="O17" s="37"/>
    </row>
    <row r="18" spans="1:17" ht="15.95" customHeight="1" x14ac:dyDescent="0.2">
      <c r="A18" s="102" t="s">
        <v>1132</v>
      </c>
      <c r="B18" s="33"/>
      <c r="C18" s="33">
        <v>342000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103">
        <f t="shared" si="0"/>
        <v>342000</v>
      </c>
      <c r="O18" s="37">
        <f>SUM('1.Bev-kiad.'!C60)</f>
        <v>342000</v>
      </c>
    </row>
    <row r="19" spans="1:17" ht="15.95" customHeight="1" x14ac:dyDescent="0.2">
      <c r="A19" s="104" t="s">
        <v>85</v>
      </c>
      <c r="B19" s="35">
        <f t="shared" ref="B19:N19" si="2">SUM(B9:B18)</f>
        <v>863174</v>
      </c>
      <c r="C19" s="35">
        <f t="shared" si="2"/>
        <v>398102</v>
      </c>
      <c r="D19" s="35">
        <f t="shared" si="2"/>
        <v>405896</v>
      </c>
      <c r="E19" s="35">
        <f t="shared" si="2"/>
        <v>157152</v>
      </c>
      <c r="F19" s="35">
        <f t="shared" si="2"/>
        <v>378664</v>
      </c>
      <c r="G19" s="35">
        <f t="shared" si="2"/>
        <v>85401</v>
      </c>
      <c r="H19" s="35">
        <f t="shared" si="2"/>
        <v>97245</v>
      </c>
      <c r="I19" s="35">
        <f t="shared" si="2"/>
        <v>89948</v>
      </c>
      <c r="J19" s="35">
        <f t="shared" si="2"/>
        <v>192072</v>
      </c>
      <c r="K19" s="35">
        <f t="shared" si="2"/>
        <v>124701</v>
      </c>
      <c r="L19" s="35">
        <f t="shared" si="2"/>
        <v>113883</v>
      </c>
      <c r="M19" s="35">
        <f t="shared" si="2"/>
        <v>114340</v>
      </c>
      <c r="N19" s="103">
        <f t="shared" si="2"/>
        <v>3020578</v>
      </c>
      <c r="O19" s="37">
        <f>SUM(O9:O18)</f>
        <v>2484300</v>
      </c>
      <c r="P19" s="566"/>
      <c r="Q19" s="76"/>
    </row>
    <row r="20" spans="1:17" ht="16.5" customHeight="1" x14ac:dyDescent="0.2">
      <c r="A20" s="104" t="s">
        <v>86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103"/>
      <c r="O20" s="93"/>
    </row>
    <row r="21" spans="1:17" ht="15.95" customHeight="1" x14ac:dyDescent="0.2">
      <c r="A21" s="102" t="s">
        <v>87</v>
      </c>
      <c r="B21" s="33">
        <v>41088</v>
      </c>
      <c r="C21" s="33">
        <v>78602</v>
      </c>
      <c r="D21" s="33">
        <v>74672</v>
      </c>
      <c r="E21" s="33">
        <v>147071</v>
      </c>
      <c r="F21" s="33">
        <v>105073</v>
      </c>
      <c r="G21" s="33">
        <v>97517</v>
      </c>
      <c r="H21" s="33">
        <v>82420</v>
      </c>
      <c r="I21" s="33">
        <v>110114</v>
      </c>
      <c r="J21" s="33">
        <v>81709</v>
      </c>
      <c r="K21" s="33">
        <v>71017</v>
      </c>
      <c r="L21" s="33">
        <v>89899</v>
      </c>
      <c r="M21" s="33">
        <v>271077</v>
      </c>
      <c r="N21" s="103">
        <f t="shared" ref="N21:N26" si="3">SUM(B21:M21)</f>
        <v>1250259</v>
      </c>
      <c r="O21" s="221">
        <f>SUM('1.Bev-kiad.'!C65)-'1.Bev-kiad.'!C68</f>
        <v>1118003</v>
      </c>
      <c r="P21" s="566"/>
      <c r="Q21" s="76"/>
    </row>
    <row r="22" spans="1:17" ht="15.95" customHeight="1" x14ac:dyDescent="0.2">
      <c r="A22" s="102" t="s">
        <v>88</v>
      </c>
      <c r="B22" s="33">
        <v>178</v>
      </c>
      <c r="C22" s="33">
        <v>342072</v>
      </c>
      <c r="D22" s="33">
        <v>167</v>
      </c>
      <c r="E22" s="33">
        <v>191861</v>
      </c>
      <c r="F22" s="33">
        <v>49683</v>
      </c>
      <c r="G22" s="33">
        <v>85387</v>
      </c>
      <c r="H22" s="33">
        <v>37885</v>
      </c>
      <c r="I22" s="33">
        <v>173753</v>
      </c>
      <c r="J22" s="33">
        <v>0</v>
      </c>
      <c r="K22" s="33">
        <v>68307</v>
      </c>
      <c r="L22" s="33">
        <v>113797</v>
      </c>
      <c r="M22" s="33">
        <v>255206</v>
      </c>
      <c r="N22" s="103">
        <f t="shared" si="3"/>
        <v>1318296</v>
      </c>
      <c r="O22" s="221">
        <f>SUM('1.Bev-kiad.'!C71+'1.Bev-kiad.'!C72)</f>
        <v>1098644</v>
      </c>
      <c r="P22" s="566"/>
      <c r="Q22" s="76"/>
    </row>
    <row r="23" spans="1:17" ht="15.95" customHeight="1" x14ac:dyDescent="0.2">
      <c r="A23" s="102" t="s">
        <v>754</v>
      </c>
      <c r="B23" s="33"/>
      <c r="C23" s="33"/>
      <c r="D23" s="33"/>
      <c r="E23" s="33"/>
      <c r="F23" s="33"/>
      <c r="G23" s="33"/>
      <c r="H23" s="33">
        <v>121</v>
      </c>
      <c r="I23" s="33">
        <v>241</v>
      </c>
      <c r="J23" s="33"/>
      <c r="K23" s="33"/>
      <c r="L23" s="33"/>
      <c r="M23" s="33"/>
      <c r="N23" s="103"/>
      <c r="O23" s="37"/>
      <c r="P23" s="566"/>
    </row>
    <row r="24" spans="1:17" ht="15.95" customHeight="1" x14ac:dyDescent="0.2">
      <c r="A24" s="102" t="s">
        <v>463</v>
      </c>
      <c r="B24" s="33">
        <v>15915</v>
      </c>
      <c r="C24" s="33"/>
      <c r="D24" s="33">
        <v>14539</v>
      </c>
      <c r="E24" s="33"/>
      <c r="F24" s="33"/>
      <c r="G24" s="33">
        <v>14539</v>
      </c>
      <c r="H24" s="33"/>
      <c r="I24" s="33"/>
      <c r="J24" s="33">
        <v>14539</v>
      </c>
      <c r="K24" s="33">
        <v>0</v>
      </c>
      <c r="L24" s="33"/>
      <c r="M24" s="33">
        <v>14539</v>
      </c>
      <c r="N24" s="103">
        <f t="shared" si="3"/>
        <v>74071</v>
      </c>
      <c r="O24" s="37">
        <f>SUM('1.Bev-kiad.'!C77)</f>
        <v>74071</v>
      </c>
      <c r="P24" s="566"/>
      <c r="Q24" s="76"/>
    </row>
    <row r="25" spans="1:17" ht="16.5" customHeight="1" x14ac:dyDescent="0.2">
      <c r="A25" s="123" t="s">
        <v>1323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>
        <v>377590</v>
      </c>
      <c r="N25" s="103">
        <f t="shared" si="3"/>
        <v>377590</v>
      </c>
      <c r="O25" s="37">
        <f>SUM('1.Bev-kiad.'!C76+'1.Bev-kiad.'!C68)</f>
        <v>193582</v>
      </c>
    </row>
    <row r="26" spans="1:17" ht="15.95" customHeight="1" x14ac:dyDescent="0.2">
      <c r="A26" s="104" t="s">
        <v>89</v>
      </c>
      <c r="B26" s="35">
        <f t="shared" ref="B26:M26" si="4">SUM(B21:B25)</f>
        <v>57181</v>
      </c>
      <c r="C26" s="35">
        <f t="shared" si="4"/>
        <v>420674</v>
      </c>
      <c r="D26" s="35">
        <f t="shared" si="4"/>
        <v>89378</v>
      </c>
      <c r="E26" s="35">
        <f t="shared" si="4"/>
        <v>338932</v>
      </c>
      <c r="F26" s="35">
        <f t="shared" si="4"/>
        <v>154756</v>
      </c>
      <c r="G26" s="35">
        <f t="shared" si="4"/>
        <v>197443</v>
      </c>
      <c r="H26" s="35">
        <f t="shared" si="4"/>
        <v>120426</v>
      </c>
      <c r="I26" s="35">
        <f t="shared" si="4"/>
        <v>284108</v>
      </c>
      <c r="J26" s="35">
        <f t="shared" si="4"/>
        <v>96248</v>
      </c>
      <c r="K26" s="35">
        <f t="shared" si="4"/>
        <v>139324</v>
      </c>
      <c r="L26" s="35">
        <f t="shared" si="4"/>
        <v>203696</v>
      </c>
      <c r="M26" s="35">
        <f t="shared" si="4"/>
        <v>918412</v>
      </c>
      <c r="N26" s="103">
        <f t="shared" si="3"/>
        <v>3020578</v>
      </c>
      <c r="O26" s="37"/>
      <c r="P26" s="566"/>
      <c r="Q26" s="76"/>
    </row>
    <row r="27" spans="1:17" ht="15.95" customHeight="1" x14ac:dyDescent="0.2">
      <c r="A27" s="104" t="s">
        <v>90</v>
      </c>
      <c r="B27" s="105">
        <f t="shared" ref="B27:N27" si="5">SUM(B19-B26)</f>
        <v>805993</v>
      </c>
      <c r="C27" s="105">
        <f t="shared" si="5"/>
        <v>-22572</v>
      </c>
      <c r="D27" s="105">
        <f t="shared" si="5"/>
        <v>316518</v>
      </c>
      <c r="E27" s="105">
        <f t="shared" si="5"/>
        <v>-181780</v>
      </c>
      <c r="F27" s="105">
        <f t="shared" si="5"/>
        <v>223908</v>
      </c>
      <c r="G27" s="105">
        <f t="shared" si="5"/>
        <v>-112042</v>
      </c>
      <c r="H27" s="105">
        <f t="shared" si="5"/>
        <v>-23181</v>
      </c>
      <c r="I27" s="105">
        <f t="shared" si="5"/>
        <v>-194160</v>
      </c>
      <c r="J27" s="105">
        <f t="shared" si="5"/>
        <v>95824</v>
      </c>
      <c r="K27" s="105">
        <f t="shared" si="5"/>
        <v>-14623</v>
      </c>
      <c r="L27" s="105">
        <f t="shared" si="5"/>
        <v>-89813</v>
      </c>
      <c r="M27" s="105">
        <f t="shared" si="5"/>
        <v>-804072</v>
      </c>
      <c r="N27" s="103">
        <f t="shared" si="5"/>
        <v>0</v>
      </c>
      <c r="O27" s="37"/>
      <c r="P27" s="566"/>
    </row>
    <row r="28" spans="1:17" ht="15.95" customHeight="1" thickBot="1" x14ac:dyDescent="0.25">
      <c r="A28" s="106" t="s">
        <v>91</v>
      </c>
      <c r="B28" s="107">
        <f>SUM(B27)</f>
        <v>805993</v>
      </c>
      <c r="C28" s="107">
        <f t="shared" ref="C28:M28" si="6">B28+C19-C26</f>
        <v>783421</v>
      </c>
      <c r="D28" s="107">
        <f t="shared" si="6"/>
        <v>1099939</v>
      </c>
      <c r="E28" s="107">
        <f t="shared" si="6"/>
        <v>918159</v>
      </c>
      <c r="F28" s="107">
        <f t="shared" si="6"/>
        <v>1142067</v>
      </c>
      <c r="G28" s="107">
        <f t="shared" si="6"/>
        <v>1030025</v>
      </c>
      <c r="H28" s="107">
        <f t="shared" si="6"/>
        <v>1006844</v>
      </c>
      <c r="I28" s="107">
        <f t="shared" si="6"/>
        <v>812684</v>
      </c>
      <c r="J28" s="107">
        <f t="shared" si="6"/>
        <v>908508</v>
      </c>
      <c r="K28" s="107">
        <f t="shared" si="6"/>
        <v>893885</v>
      </c>
      <c r="L28" s="107">
        <f t="shared" si="6"/>
        <v>804072</v>
      </c>
      <c r="M28" s="107">
        <f t="shared" si="6"/>
        <v>0</v>
      </c>
      <c r="N28" s="108">
        <f>SUM(N27)</f>
        <v>0</v>
      </c>
      <c r="O28" s="37">
        <f>SUM(O21:O27)</f>
        <v>2484300</v>
      </c>
      <c r="P28" s="566"/>
    </row>
    <row r="29" spans="1:17" ht="18" customHeight="1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109"/>
      <c r="O29" s="37">
        <f>SUM(O28-O19)</f>
        <v>0</v>
      </c>
      <c r="P29" s="566"/>
    </row>
    <row r="30" spans="1:17" ht="18" customHeight="1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109"/>
      <c r="O30" s="9"/>
    </row>
    <row r="31" spans="1:17" ht="15.95" customHeight="1" x14ac:dyDescent="0.2">
      <c r="A31" s="54"/>
      <c r="B31" s="54"/>
      <c r="C31" s="54"/>
      <c r="D31" s="54"/>
      <c r="E31" s="54"/>
      <c r="F31" s="54"/>
      <c r="G31" s="110"/>
      <c r="H31" s="54"/>
      <c r="I31" s="54"/>
      <c r="J31" s="54"/>
      <c r="K31" s="54"/>
      <c r="L31" s="54"/>
      <c r="M31" s="54"/>
      <c r="N31" s="109"/>
      <c r="O31" s="568"/>
    </row>
    <row r="32" spans="1:17" ht="15.95" customHeight="1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109"/>
      <c r="O32" s="568"/>
    </row>
    <row r="33" spans="1:15" ht="15.95" customHeight="1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109"/>
      <c r="O33" s="568"/>
    </row>
    <row r="34" spans="1:15" ht="15.95" customHeight="1" x14ac:dyDescent="0.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109"/>
      <c r="O34" s="568"/>
    </row>
    <row r="35" spans="1:15" ht="15.95" customHeight="1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109"/>
      <c r="O35" s="568"/>
    </row>
    <row r="36" spans="1:15" ht="15" customHeight="1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</row>
    <row r="37" spans="1:15" ht="14.1" customHeight="1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</row>
    <row r="38" spans="1:15" ht="14.1" customHeight="1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</row>
    <row r="39" spans="1:15" ht="14.1" customHeight="1" x14ac:dyDescent="0.2"/>
    <row r="40" spans="1:15" ht="14.1" customHeight="1" x14ac:dyDescent="0.2"/>
  </sheetData>
  <pageMargins left="0.42" right="0.19685039370078741" top="0.74803149606299213" bottom="0.98425196850393704" header="0.51181102362204722" footer="0.51181102362204722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746"/>
  <sheetViews>
    <sheetView zoomScale="90" zoomScaleNormal="90" workbookViewId="0">
      <selection activeCell="B76" sqref="B76"/>
    </sheetView>
  </sheetViews>
  <sheetFormatPr defaultRowHeight="12.75" x14ac:dyDescent="0.2"/>
  <cols>
    <col min="1" max="1" width="6.28515625" style="2" customWidth="1"/>
    <col min="2" max="2" width="59.5703125" customWidth="1"/>
    <col min="3" max="3" width="15.7109375" style="37" customWidth="1"/>
    <col min="4" max="4" width="16.5703125" style="37" hidden="1" customWidth="1"/>
    <col min="5" max="5" width="15.5703125" style="170" customWidth="1"/>
    <col min="6" max="6" width="14.7109375" style="37" customWidth="1"/>
    <col min="7" max="7" width="13.85546875" style="37" hidden="1" customWidth="1"/>
    <col min="8" max="8" width="12.140625" hidden="1" customWidth="1"/>
    <col min="9" max="9" width="10.85546875" hidden="1" customWidth="1"/>
    <col min="10" max="10" width="9.140625" hidden="1" customWidth="1"/>
    <col min="11" max="14" width="0" hidden="1" customWidth="1"/>
  </cols>
  <sheetData>
    <row r="1" spans="1:42" ht="15" customHeight="1" x14ac:dyDescent="0.3">
      <c r="A1" s="56"/>
      <c r="B1" s="182"/>
      <c r="F1" s="183" t="s">
        <v>948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" customHeight="1" x14ac:dyDescent="0.3">
      <c r="A2" s="56"/>
      <c r="B2" s="182"/>
      <c r="F2" s="183" t="s">
        <v>1474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customHeight="1" x14ac:dyDescent="0.3">
      <c r="A3" s="56"/>
      <c r="B3" s="182"/>
      <c r="F3" s="183" t="s">
        <v>1295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35">
      <c r="A4" s="779" t="s">
        <v>27</v>
      </c>
      <c r="B4" s="779"/>
      <c r="C4" s="787"/>
      <c r="D4" s="787"/>
      <c r="E4" s="787"/>
      <c r="F4" s="787"/>
      <c r="G4" s="78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9.5" x14ac:dyDescent="0.35">
      <c r="A5" s="779" t="s">
        <v>1135</v>
      </c>
      <c r="B5" s="779"/>
      <c r="C5" s="787"/>
      <c r="D5" s="787"/>
      <c r="E5" s="787"/>
      <c r="F5" s="787"/>
      <c r="G5" s="78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3.5" thickBot="1" x14ac:dyDescent="0.25">
      <c r="A6" s="56"/>
      <c r="B6" s="56"/>
      <c r="F6" s="183" t="s"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53.25" customHeight="1" thickBot="1" x14ac:dyDescent="0.25">
      <c r="A7" s="219" t="s">
        <v>120</v>
      </c>
      <c r="B7" s="45" t="s">
        <v>390</v>
      </c>
      <c r="C7" s="45" t="s">
        <v>904</v>
      </c>
      <c r="D7" s="45" t="s">
        <v>1228</v>
      </c>
      <c r="E7" s="45" t="s">
        <v>1326</v>
      </c>
      <c r="F7" s="45" t="s">
        <v>1399</v>
      </c>
      <c r="G7" s="46" t="s">
        <v>1398</v>
      </c>
      <c r="H7" s="2"/>
      <c r="I7" s="318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22.5" customHeight="1" x14ac:dyDescent="0.2">
      <c r="A8" s="148" t="s">
        <v>368</v>
      </c>
      <c r="B8" s="228" t="s">
        <v>353</v>
      </c>
      <c r="C8" s="175">
        <f>SUM(C9:C50)</f>
        <v>1346724</v>
      </c>
      <c r="D8" s="175">
        <f>SUM(D9:D50)</f>
        <v>1713844</v>
      </c>
      <c r="E8" s="175">
        <f>SUM(E9:E50)</f>
        <v>1823995</v>
      </c>
      <c r="F8" s="175">
        <f>SUM(F9:F50)</f>
        <v>1863162</v>
      </c>
      <c r="G8" s="175">
        <f>SUM(G9:G50)</f>
        <v>1823995</v>
      </c>
      <c r="H8" s="2"/>
      <c r="I8" s="319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8" customHeight="1" x14ac:dyDescent="0.25">
      <c r="A9" s="14" t="s">
        <v>122</v>
      </c>
      <c r="B9" s="23" t="s">
        <v>223</v>
      </c>
      <c r="C9" s="38">
        <f>SUM('2.működés'!C9)</f>
        <v>559478</v>
      </c>
      <c r="D9" s="38">
        <f>SUM('2.működés'!D9)</f>
        <v>558658</v>
      </c>
      <c r="E9" s="38">
        <f>SUM('2.működés'!E9)</f>
        <v>591569</v>
      </c>
      <c r="F9" s="38">
        <f>SUM('2.működés'!F9)</f>
        <v>606847</v>
      </c>
      <c r="G9" s="38">
        <f>SUM('2.működés'!G9)</f>
        <v>591569</v>
      </c>
      <c r="H9" s="7">
        <f>F9-E9</f>
        <v>15278</v>
      </c>
      <c r="I9" s="319">
        <f>362+346+419+2534+10989+22+464</f>
        <v>15136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3.5" hidden="1" customHeight="1" x14ac:dyDescent="0.2">
      <c r="A10" s="8" t="s">
        <v>123</v>
      </c>
      <c r="B10" s="8" t="s">
        <v>131</v>
      </c>
      <c r="C10" s="5"/>
      <c r="D10" s="5"/>
      <c r="E10" s="5"/>
      <c r="F10" s="5"/>
      <c r="G10" s="5"/>
      <c r="H10" s="7">
        <f t="shared" ref="H10:H62" si="0">F10-E10</f>
        <v>0</v>
      </c>
      <c r="I10" s="319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3.5" hidden="1" customHeight="1" x14ac:dyDescent="0.2">
      <c r="A11" s="8" t="s">
        <v>172</v>
      </c>
      <c r="B11" s="8" t="s">
        <v>173</v>
      </c>
      <c r="C11" s="5"/>
      <c r="D11" s="5"/>
      <c r="E11" s="5"/>
      <c r="F11" s="5"/>
      <c r="G11" s="5"/>
      <c r="H11" s="7">
        <f t="shared" si="0"/>
        <v>0</v>
      </c>
      <c r="I11" s="31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3.5" hidden="1" customHeight="1" x14ac:dyDescent="0.2">
      <c r="A12" s="8" t="s">
        <v>124</v>
      </c>
      <c r="B12" s="8" t="s">
        <v>128</v>
      </c>
      <c r="C12" s="6"/>
      <c r="D12" s="6"/>
      <c r="E12" s="6"/>
      <c r="F12" s="6"/>
      <c r="G12" s="6"/>
      <c r="H12" s="7">
        <f t="shared" si="0"/>
        <v>0</v>
      </c>
      <c r="I12" s="31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3.5" hidden="1" customHeight="1" x14ac:dyDescent="0.2">
      <c r="A13" s="8" t="s">
        <v>125</v>
      </c>
      <c r="B13" s="8" t="s">
        <v>129</v>
      </c>
      <c r="C13" s="11"/>
      <c r="D13" s="11"/>
      <c r="E13" s="11"/>
      <c r="F13" s="11"/>
      <c r="G13" s="11"/>
      <c r="H13" s="7">
        <f t="shared" si="0"/>
        <v>0</v>
      </c>
      <c r="I13" s="31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ht="13.5" hidden="1" customHeight="1" x14ac:dyDescent="0.2">
      <c r="A14" s="8" t="s">
        <v>126</v>
      </c>
      <c r="B14" s="8" t="s">
        <v>130</v>
      </c>
      <c r="C14" s="13"/>
      <c r="D14" s="13"/>
      <c r="E14" s="13"/>
      <c r="F14" s="13"/>
      <c r="G14" s="13"/>
      <c r="H14" s="7">
        <f t="shared" si="0"/>
        <v>0</v>
      </c>
      <c r="I14" s="31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ht="12.75" hidden="1" customHeight="1" x14ac:dyDescent="0.2">
      <c r="A15" s="8" t="s">
        <v>127</v>
      </c>
      <c r="B15" s="8" t="s">
        <v>132</v>
      </c>
      <c r="C15" s="13"/>
      <c r="D15" s="13"/>
      <c r="E15" s="13"/>
      <c r="F15" s="13"/>
      <c r="G15" s="13"/>
      <c r="H15" s="7">
        <f t="shared" si="0"/>
        <v>0</v>
      </c>
      <c r="I15" s="31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t="18" customHeight="1" x14ac:dyDescent="0.25">
      <c r="A16" s="14" t="s">
        <v>133</v>
      </c>
      <c r="B16" s="23" t="s">
        <v>224</v>
      </c>
      <c r="C16" s="42">
        <f>SUM('3.felh'!C13)</f>
        <v>305226</v>
      </c>
      <c r="D16" s="42">
        <f>SUM('3.felh'!D13)</f>
        <v>611298</v>
      </c>
      <c r="E16" s="42">
        <f>SUM('3.felh'!E13)</f>
        <v>642531</v>
      </c>
      <c r="F16" s="42">
        <f>SUM('3.felh'!F13)</f>
        <v>642531</v>
      </c>
      <c r="G16" s="42">
        <f>SUM('3.felh'!G13)</f>
        <v>642531</v>
      </c>
      <c r="H16" s="7">
        <f t="shared" si="0"/>
        <v>0</v>
      </c>
      <c r="I16" s="31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ht="12.75" hidden="1" customHeight="1" x14ac:dyDescent="0.2">
      <c r="A17" s="8" t="s">
        <v>134</v>
      </c>
      <c r="B17" s="8" t="s">
        <v>141</v>
      </c>
      <c r="C17" s="5"/>
      <c r="D17" s="5"/>
      <c r="E17" s="5"/>
      <c r="F17" s="5"/>
      <c r="G17" s="5"/>
      <c r="H17" s="7">
        <f t="shared" si="0"/>
        <v>0</v>
      </c>
      <c r="I17" s="31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12.75" hidden="1" customHeight="1" x14ac:dyDescent="0.2">
      <c r="A18" s="8" t="s">
        <v>174</v>
      </c>
      <c r="B18" s="8" t="s">
        <v>175</v>
      </c>
      <c r="C18" s="13"/>
      <c r="D18" s="13"/>
      <c r="E18" s="13"/>
      <c r="F18" s="13"/>
      <c r="G18" s="13"/>
      <c r="H18" s="7">
        <f t="shared" si="0"/>
        <v>0</v>
      </c>
      <c r="I18" s="31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12.75" hidden="1" customHeight="1" x14ac:dyDescent="0.2">
      <c r="A19" s="8" t="s">
        <v>135</v>
      </c>
      <c r="B19" s="8" t="s">
        <v>138</v>
      </c>
      <c r="C19" s="13"/>
      <c r="D19" s="13"/>
      <c r="E19" s="13"/>
      <c r="F19" s="13"/>
      <c r="G19" s="13"/>
      <c r="H19" s="7">
        <f t="shared" si="0"/>
        <v>0</v>
      </c>
      <c r="I19" s="319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12.75" hidden="1" customHeight="1" x14ac:dyDescent="0.2">
      <c r="A20" s="8" t="s">
        <v>136</v>
      </c>
      <c r="B20" s="8" t="s">
        <v>139</v>
      </c>
      <c r="C20" s="13"/>
      <c r="D20" s="13"/>
      <c r="E20" s="13"/>
      <c r="F20" s="13"/>
      <c r="G20" s="13"/>
      <c r="H20" s="7">
        <f t="shared" si="0"/>
        <v>0</v>
      </c>
      <c r="I20" s="319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12.75" hidden="1" customHeight="1" x14ac:dyDescent="0.2">
      <c r="A21" s="8" t="s">
        <v>137</v>
      </c>
      <c r="B21" s="8" t="s">
        <v>140</v>
      </c>
      <c r="C21" s="13"/>
      <c r="D21" s="13"/>
      <c r="E21" s="13"/>
      <c r="F21" s="13"/>
      <c r="G21" s="13"/>
      <c r="H21" s="7">
        <f t="shared" si="0"/>
        <v>0</v>
      </c>
      <c r="I21" s="319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18" customHeight="1" x14ac:dyDescent="0.25">
      <c r="A22" s="14" t="s">
        <v>142</v>
      </c>
      <c r="B22" s="23" t="s">
        <v>104</v>
      </c>
      <c r="C22" s="42">
        <f>SUM('2.működés'!C69)</f>
        <v>373000</v>
      </c>
      <c r="D22" s="42">
        <f>SUM('2.működés'!D69)</f>
        <v>373000</v>
      </c>
      <c r="E22" s="42">
        <f>SUM('2.működés'!E69)</f>
        <v>394000</v>
      </c>
      <c r="F22" s="42">
        <f>SUM('2.működés'!F69)</f>
        <v>397800</v>
      </c>
      <c r="G22" s="42">
        <f>SUM('2.működés'!G69)</f>
        <v>394000</v>
      </c>
      <c r="H22" s="7">
        <f t="shared" si="0"/>
        <v>3800</v>
      </c>
      <c r="I22" s="31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12.75" hidden="1" customHeight="1" x14ac:dyDescent="0.2">
      <c r="A23" s="8" t="s">
        <v>143</v>
      </c>
      <c r="B23" s="8" t="s">
        <v>149</v>
      </c>
      <c r="C23" s="13"/>
      <c r="D23" s="13"/>
      <c r="E23" s="13"/>
      <c r="F23" s="13"/>
      <c r="G23" s="13"/>
      <c r="H23" s="7">
        <f t="shared" si="0"/>
        <v>0</v>
      </c>
      <c r="I23" s="31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12.75" hidden="1" customHeight="1" x14ac:dyDescent="0.2">
      <c r="A24" s="8" t="s">
        <v>144</v>
      </c>
      <c r="B24" s="8" t="s">
        <v>150</v>
      </c>
      <c r="C24" s="13"/>
      <c r="D24" s="13"/>
      <c r="E24" s="13"/>
      <c r="F24" s="13"/>
      <c r="G24" s="13"/>
      <c r="H24" s="7">
        <f t="shared" si="0"/>
        <v>0</v>
      </c>
      <c r="I24" s="31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2.75" hidden="1" customHeight="1" x14ac:dyDescent="0.2">
      <c r="A25" s="8" t="s">
        <v>145</v>
      </c>
      <c r="B25" s="20" t="s">
        <v>151</v>
      </c>
      <c r="C25" s="49"/>
      <c r="D25" s="49"/>
      <c r="E25" s="49"/>
      <c r="F25" s="49"/>
      <c r="G25" s="49"/>
      <c r="H25" s="7">
        <f t="shared" si="0"/>
        <v>0</v>
      </c>
      <c r="I25" s="31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2.75" hidden="1" customHeight="1" x14ac:dyDescent="0.2">
      <c r="A26" s="8" t="s">
        <v>146</v>
      </c>
      <c r="B26" s="8" t="s">
        <v>178</v>
      </c>
      <c r="C26" s="39"/>
      <c r="D26" s="39"/>
      <c r="E26" s="39"/>
      <c r="F26" s="39"/>
      <c r="G26" s="39"/>
      <c r="H26" s="7">
        <f t="shared" si="0"/>
        <v>0</v>
      </c>
      <c r="I26" s="31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s="50" customFormat="1" ht="12.75" hidden="1" customHeight="1" x14ac:dyDescent="0.2">
      <c r="A27" s="8" t="s">
        <v>147</v>
      </c>
      <c r="B27" s="8" t="s">
        <v>179</v>
      </c>
      <c r="C27" s="13"/>
      <c r="D27" s="13"/>
      <c r="E27" s="13"/>
      <c r="F27" s="13"/>
      <c r="G27" s="13"/>
      <c r="H27" s="7">
        <f t="shared" si="0"/>
        <v>0</v>
      </c>
      <c r="I27" s="31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s="50" customFormat="1" ht="12.75" hidden="1" customHeight="1" x14ac:dyDescent="0.2">
      <c r="A28" s="8" t="s">
        <v>148</v>
      </c>
      <c r="B28" s="8" t="s">
        <v>152</v>
      </c>
      <c r="C28" s="13"/>
      <c r="D28" s="13"/>
      <c r="E28" s="13"/>
      <c r="F28" s="13"/>
      <c r="G28" s="13"/>
      <c r="H28" s="7">
        <f t="shared" si="0"/>
        <v>0</v>
      </c>
      <c r="I28" s="31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s="50" customFormat="1" ht="18" customHeight="1" x14ac:dyDescent="0.25">
      <c r="A29" s="14" t="s">
        <v>153</v>
      </c>
      <c r="B29" s="23" t="s">
        <v>225</v>
      </c>
      <c r="C29" s="42">
        <f>SUM('2.működés'!C82)</f>
        <v>51770</v>
      </c>
      <c r="D29" s="42">
        <f>SUM('2.működés'!D82)</f>
        <v>113122</v>
      </c>
      <c r="E29" s="42">
        <f>SUM('2.működés'!E82)</f>
        <v>134118</v>
      </c>
      <c r="F29" s="42">
        <f>SUM('2.működés'!F82)</f>
        <v>151539</v>
      </c>
      <c r="G29" s="42">
        <f>SUM('2.működés'!G82)</f>
        <v>134118</v>
      </c>
      <c r="H29" s="7">
        <f t="shared" si="0"/>
        <v>17421</v>
      </c>
      <c r="I29" s="31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3.5" hidden="1" customHeight="1" x14ac:dyDescent="0.2">
      <c r="A30" s="8" t="s">
        <v>156</v>
      </c>
      <c r="B30" s="8" t="s">
        <v>154</v>
      </c>
      <c r="C30" s="13"/>
      <c r="D30" s="13"/>
      <c r="E30" s="13"/>
      <c r="F30" s="13"/>
      <c r="G30" s="13"/>
      <c r="H30" s="7">
        <f t="shared" si="0"/>
        <v>0</v>
      </c>
      <c r="I30" s="31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s="50" customFormat="1" ht="13.5" hidden="1" customHeight="1" x14ac:dyDescent="0.2">
      <c r="A31" s="8" t="s">
        <v>157</v>
      </c>
      <c r="B31" s="8" t="s">
        <v>155</v>
      </c>
      <c r="C31" s="13"/>
      <c r="D31" s="13"/>
      <c r="E31" s="13"/>
      <c r="F31" s="13"/>
      <c r="G31" s="13"/>
      <c r="H31" s="7">
        <f t="shared" si="0"/>
        <v>0</v>
      </c>
      <c r="I31" s="31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s="50" customFormat="1" ht="13.5" hidden="1" customHeight="1" x14ac:dyDescent="0.2">
      <c r="A32" s="8" t="s">
        <v>158</v>
      </c>
      <c r="B32" s="8" t="s">
        <v>161</v>
      </c>
      <c r="C32" s="11"/>
      <c r="D32" s="11"/>
      <c r="E32" s="11"/>
      <c r="F32" s="11"/>
      <c r="G32" s="11"/>
      <c r="H32" s="7">
        <f t="shared" si="0"/>
        <v>0</v>
      </c>
      <c r="I32" s="31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3.5" hidden="1" customHeight="1" x14ac:dyDescent="0.2">
      <c r="A33" s="8" t="s">
        <v>159</v>
      </c>
      <c r="B33" s="20" t="s">
        <v>162</v>
      </c>
      <c r="C33" s="8"/>
      <c r="D33" s="8"/>
      <c r="E33" s="8"/>
      <c r="F33" s="8"/>
      <c r="G33" s="8"/>
      <c r="H33" s="7">
        <f t="shared" si="0"/>
        <v>0</v>
      </c>
      <c r="I33" s="319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2.75" hidden="1" customHeight="1" x14ac:dyDescent="0.2">
      <c r="A34" s="8" t="s">
        <v>160</v>
      </c>
      <c r="B34" s="20" t="s">
        <v>163</v>
      </c>
      <c r="C34" s="8"/>
      <c r="D34" s="8"/>
      <c r="E34" s="8"/>
      <c r="F34" s="8"/>
      <c r="G34" s="8"/>
      <c r="H34" s="7">
        <f t="shared" si="0"/>
        <v>0</v>
      </c>
      <c r="I34" s="319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2.75" hidden="1" customHeight="1" x14ac:dyDescent="0.2">
      <c r="A35" s="8" t="s">
        <v>164</v>
      </c>
      <c r="B35" s="20" t="s">
        <v>165</v>
      </c>
      <c r="C35" s="8"/>
      <c r="D35" s="8"/>
      <c r="E35" s="8"/>
      <c r="F35" s="8"/>
      <c r="G35" s="8"/>
      <c r="H35" s="7">
        <f t="shared" si="0"/>
        <v>0</v>
      </c>
      <c r="I35" s="319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2.75" hidden="1" customHeight="1" x14ac:dyDescent="0.2">
      <c r="A36" s="8" t="s">
        <v>166</v>
      </c>
      <c r="B36" s="20" t="s">
        <v>167</v>
      </c>
      <c r="C36" s="8"/>
      <c r="D36" s="8"/>
      <c r="E36" s="8"/>
      <c r="F36" s="8"/>
      <c r="G36" s="8"/>
      <c r="H36" s="7">
        <f t="shared" si="0"/>
        <v>0</v>
      </c>
      <c r="I36" s="319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2.75" hidden="1" customHeight="1" x14ac:dyDescent="0.2">
      <c r="A37" s="8" t="s">
        <v>168</v>
      </c>
      <c r="B37" s="20" t="s">
        <v>169</v>
      </c>
      <c r="C37" s="8"/>
      <c r="D37" s="8"/>
      <c r="E37" s="8"/>
      <c r="F37" s="8"/>
      <c r="G37" s="8"/>
      <c r="H37" s="7">
        <f t="shared" si="0"/>
        <v>0</v>
      </c>
      <c r="I37" s="319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12.75" hidden="1" customHeight="1" x14ac:dyDescent="0.2">
      <c r="A38" s="8" t="s">
        <v>170</v>
      </c>
      <c r="B38" s="20" t="s">
        <v>171</v>
      </c>
      <c r="C38" s="8"/>
      <c r="D38" s="8"/>
      <c r="E38" s="8"/>
      <c r="F38" s="8"/>
      <c r="G38" s="8"/>
      <c r="H38" s="7">
        <f t="shared" si="0"/>
        <v>0</v>
      </c>
      <c r="I38" s="319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12.75" hidden="1" customHeight="1" x14ac:dyDescent="0.2">
      <c r="A39" s="8" t="s">
        <v>176</v>
      </c>
      <c r="B39" s="20" t="s">
        <v>177</v>
      </c>
      <c r="C39" s="8"/>
      <c r="D39" s="8"/>
      <c r="E39" s="8"/>
      <c r="F39" s="8"/>
      <c r="G39" s="8"/>
      <c r="H39" s="7">
        <f t="shared" si="0"/>
        <v>0</v>
      </c>
      <c r="I39" s="319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7.25" customHeight="1" x14ac:dyDescent="0.25">
      <c r="A40" s="14" t="s">
        <v>180</v>
      </c>
      <c r="B40" s="23" t="s">
        <v>226</v>
      </c>
      <c r="C40" s="42">
        <f>SUM('3.felh'!C25)</f>
        <v>26950</v>
      </c>
      <c r="D40" s="42">
        <f>SUM('3.felh'!D25)</f>
        <v>26950</v>
      </c>
      <c r="E40" s="42">
        <f>SUM('3.felh'!E25)</f>
        <v>29961</v>
      </c>
      <c r="F40" s="42">
        <f>SUM('3.felh'!F25)</f>
        <v>29961</v>
      </c>
      <c r="G40" s="42">
        <f>SUM('3.felh'!G25)</f>
        <v>29961</v>
      </c>
      <c r="H40" s="7">
        <f t="shared" si="0"/>
        <v>0</v>
      </c>
      <c r="I40" s="31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2.75" hidden="1" customHeight="1" x14ac:dyDescent="0.2">
      <c r="A41" s="8" t="s">
        <v>181</v>
      </c>
      <c r="B41" s="20" t="s">
        <v>186</v>
      </c>
      <c r="C41" s="8"/>
      <c r="D41" s="8"/>
      <c r="E41" s="8"/>
      <c r="F41" s="8"/>
      <c r="G41" s="8"/>
      <c r="H41" s="7">
        <f t="shared" si="0"/>
        <v>0</v>
      </c>
      <c r="I41" s="319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2.75" hidden="1" customHeight="1" x14ac:dyDescent="0.2">
      <c r="A42" s="8" t="s">
        <v>182</v>
      </c>
      <c r="B42" s="20" t="s">
        <v>187</v>
      </c>
      <c r="C42" s="8"/>
      <c r="D42" s="8"/>
      <c r="E42" s="8"/>
      <c r="F42" s="8"/>
      <c r="G42" s="8"/>
      <c r="H42" s="7">
        <f t="shared" si="0"/>
        <v>0</v>
      </c>
      <c r="I42" s="319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2.75" hidden="1" customHeight="1" x14ac:dyDescent="0.2">
      <c r="A43" s="8" t="s">
        <v>183</v>
      </c>
      <c r="B43" s="20" t="s">
        <v>188</v>
      </c>
      <c r="C43" s="8"/>
      <c r="D43" s="8"/>
      <c r="E43" s="8"/>
      <c r="F43" s="8"/>
      <c r="G43" s="8"/>
      <c r="H43" s="7">
        <f t="shared" si="0"/>
        <v>0</v>
      </c>
      <c r="I43" s="319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2.75" hidden="1" customHeight="1" x14ac:dyDescent="0.2">
      <c r="A44" s="8" t="s">
        <v>184</v>
      </c>
      <c r="B44" s="20" t="s">
        <v>189</v>
      </c>
      <c r="C44" s="8"/>
      <c r="D44" s="8"/>
      <c r="E44" s="8"/>
      <c r="F44" s="8"/>
      <c r="G44" s="8"/>
      <c r="H44" s="7">
        <f t="shared" si="0"/>
        <v>0</v>
      </c>
      <c r="I44" s="319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2.75" hidden="1" customHeight="1" x14ac:dyDescent="0.2">
      <c r="A45" s="8" t="s">
        <v>185</v>
      </c>
      <c r="B45" s="20" t="s">
        <v>190</v>
      </c>
      <c r="C45" s="8"/>
      <c r="D45" s="8"/>
      <c r="E45" s="8"/>
      <c r="F45" s="8"/>
      <c r="G45" s="8"/>
      <c r="H45" s="7">
        <f t="shared" si="0"/>
        <v>0</v>
      </c>
      <c r="I45" s="319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8" customHeight="1" x14ac:dyDescent="0.25">
      <c r="A46" s="14" t="s">
        <v>191</v>
      </c>
      <c r="B46" s="23" t="s">
        <v>227</v>
      </c>
      <c r="C46" s="42">
        <f>SUM('2.működés'!C94)</f>
        <v>20000</v>
      </c>
      <c r="D46" s="42">
        <f>SUM('2.működés'!D94)</f>
        <v>20516</v>
      </c>
      <c r="E46" s="42">
        <f>SUM('2.működés'!E94)</f>
        <v>21516</v>
      </c>
      <c r="F46" s="42">
        <f>SUM('2.működés'!F94)</f>
        <v>24184</v>
      </c>
      <c r="G46" s="42">
        <f>SUM('2.működés'!G94)</f>
        <v>21516</v>
      </c>
      <c r="H46" s="7">
        <f t="shared" si="0"/>
        <v>2668</v>
      </c>
      <c r="I46" s="319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ht="12.75" hidden="1" customHeight="1" x14ac:dyDescent="0.2">
      <c r="A47" s="8" t="s">
        <v>197</v>
      </c>
      <c r="B47" s="20" t="s">
        <v>194</v>
      </c>
      <c r="C47" s="8"/>
      <c r="D47" s="8"/>
      <c r="E47" s="8"/>
      <c r="F47" s="8"/>
      <c r="G47" s="8"/>
      <c r="H47" s="7">
        <f t="shared" si="0"/>
        <v>0</v>
      </c>
      <c r="I47" s="319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ht="12.75" hidden="1" customHeight="1" x14ac:dyDescent="0.2">
      <c r="A48" s="8" t="s">
        <v>198</v>
      </c>
      <c r="B48" s="20" t="s">
        <v>195</v>
      </c>
      <c r="C48" s="8"/>
      <c r="D48" s="8"/>
      <c r="E48" s="8"/>
      <c r="F48" s="8"/>
      <c r="G48" s="8"/>
      <c r="H48" s="7">
        <f t="shared" si="0"/>
        <v>0</v>
      </c>
      <c r="I48" s="319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t="12.75" hidden="1" customHeight="1" x14ac:dyDescent="0.2">
      <c r="A49" s="8" t="s">
        <v>199</v>
      </c>
      <c r="B49" s="20" t="s">
        <v>196</v>
      </c>
      <c r="C49" s="8"/>
      <c r="D49" s="8"/>
      <c r="E49" s="8"/>
      <c r="F49" s="8"/>
      <c r="G49" s="8"/>
      <c r="H49" s="7">
        <f t="shared" si="0"/>
        <v>0</v>
      </c>
      <c r="I49" s="319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t="18" customHeight="1" x14ac:dyDescent="0.25">
      <c r="A50" s="14" t="s">
        <v>192</v>
      </c>
      <c r="B50" s="23" t="s">
        <v>228</v>
      </c>
      <c r="C50" s="42">
        <f>SUM('3.felh'!C31)</f>
        <v>10300</v>
      </c>
      <c r="D50" s="42">
        <f>SUM('3.felh'!D31)</f>
        <v>10300</v>
      </c>
      <c r="E50" s="42">
        <f>SUM('3.felh'!E31)</f>
        <v>10300</v>
      </c>
      <c r="F50" s="42">
        <f>SUM('3.felh'!F31)</f>
        <v>10300</v>
      </c>
      <c r="G50" s="42">
        <f>SUM('3.felh'!G31)</f>
        <v>10300</v>
      </c>
      <c r="H50" s="7">
        <f t="shared" si="0"/>
        <v>0</v>
      </c>
      <c r="I50" s="319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ht="13.5" hidden="1" customHeight="1" x14ac:dyDescent="0.25">
      <c r="A51" s="8" t="s">
        <v>200</v>
      </c>
      <c r="B51" s="20" t="s">
        <v>203</v>
      </c>
      <c r="C51" s="42"/>
      <c r="D51" s="42"/>
      <c r="E51" s="42"/>
      <c r="F51" s="42"/>
      <c r="G51" s="42"/>
      <c r="H51" s="7">
        <f t="shared" si="0"/>
        <v>0</v>
      </c>
      <c r="I51" s="319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t="13.5" hidden="1" customHeight="1" x14ac:dyDescent="0.25">
      <c r="A52" s="8" t="s">
        <v>201</v>
      </c>
      <c r="B52" s="20" t="s">
        <v>204</v>
      </c>
      <c r="C52" s="42"/>
      <c r="D52" s="42"/>
      <c r="E52" s="42"/>
      <c r="F52" s="42"/>
      <c r="G52" s="42"/>
      <c r="H52" s="7">
        <f t="shared" si="0"/>
        <v>0</v>
      </c>
      <c r="I52" s="31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t="13.5" hidden="1" customHeight="1" x14ac:dyDescent="0.25">
      <c r="A53" s="8" t="s">
        <v>202</v>
      </c>
      <c r="B53" s="20" t="s">
        <v>205</v>
      </c>
      <c r="C53" s="42"/>
      <c r="D53" s="42"/>
      <c r="E53" s="42"/>
      <c r="F53" s="42"/>
      <c r="G53" s="42"/>
      <c r="H53" s="7">
        <f t="shared" si="0"/>
        <v>0</v>
      </c>
      <c r="I53" s="319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ht="22.5" customHeight="1" x14ac:dyDescent="0.2">
      <c r="A54" s="25" t="s">
        <v>193</v>
      </c>
      <c r="B54" s="174" t="s">
        <v>365</v>
      </c>
      <c r="C54" s="195">
        <f>SUM(C55+C60)</f>
        <v>1137576</v>
      </c>
      <c r="D54" s="195">
        <f>SUM(D55+D60)</f>
        <v>1137576</v>
      </c>
      <c r="E54" s="195">
        <f>SUM(E55+E60)</f>
        <v>1137576</v>
      </c>
      <c r="F54" s="195">
        <f>SUM(F55+F60)</f>
        <v>1157416</v>
      </c>
      <c r="G54" s="195">
        <f>SUM(G55+G60)</f>
        <v>1137576</v>
      </c>
      <c r="H54" s="7">
        <f t="shared" si="0"/>
        <v>19840</v>
      </c>
      <c r="I54" s="319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ht="13.5" customHeight="1" x14ac:dyDescent="0.25">
      <c r="A55" s="25"/>
      <c r="B55" s="23" t="s">
        <v>449</v>
      </c>
      <c r="C55" s="42">
        <f>SUM(C56)+C59</f>
        <v>795576</v>
      </c>
      <c r="D55" s="42">
        <f>SUM(D56)+D59</f>
        <v>795576</v>
      </c>
      <c r="E55" s="42">
        <f>SUM(E56)+E59</f>
        <v>795576</v>
      </c>
      <c r="F55" s="42">
        <f>SUM(F56)+F59</f>
        <v>815416</v>
      </c>
      <c r="G55" s="42">
        <f>SUM(G56)+G59</f>
        <v>795576</v>
      </c>
      <c r="H55" s="7">
        <f t="shared" si="0"/>
        <v>19840</v>
      </c>
      <c r="I55" s="319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ht="13.5" customHeight="1" x14ac:dyDescent="0.2">
      <c r="A56" s="8"/>
      <c r="B56" s="31" t="s">
        <v>450</v>
      </c>
      <c r="C56" s="5">
        <f>SUM(C57:C58)</f>
        <v>795576</v>
      </c>
      <c r="D56" s="5">
        <f>SUM(D57:D58)</f>
        <v>795576</v>
      </c>
      <c r="E56" s="5">
        <f>SUM(E57:E58)</f>
        <v>795576</v>
      </c>
      <c r="F56" s="5">
        <f>SUM(F57:F58)</f>
        <v>795576</v>
      </c>
      <c r="G56" s="5">
        <f>SUM(G57:G58)</f>
        <v>795576</v>
      </c>
      <c r="H56" s="7">
        <f t="shared" si="0"/>
        <v>0</v>
      </c>
      <c r="I56" s="319"/>
      <c r="J56" s="7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x14ac:dyDescent="0.2">
      <c r="A57" s="8"/>
      <c r="B57" s="31" t="s">
        <v>438</v>
      </c>
      <c r="C57" s="13">
        <f>SUM('2.működés'!C103)</f>
        <v>220868</v>
      </c>
      <c r="D57" s="13">
        <f>SUM('2.működés'!D103)</f>
        <v>220868</v>
      </c>
      <c r="E57" s="13">
        <f>SUM('2.működés'!E103)</f>
        <v>220868</v>
      </c>
      <c r="F57" s="13">
        <f>SUM('2.működés'!F103)</f>
        <v>220868</v>
      </c>
      <c r="G57" s="13">
        <f>SUM('2.működés'!G103)</f>
        <v>220868</v>
      </c>
      <c r="H57" s="7">
        <f t="shared" si="0"/>
        <v>0</v>
      </c>
      <c r="I57" s="319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x14ac:dyDescent="0.2">
      <c r="A58" s="8"/>
      <c r="B58" s="31" t="s">
        <v>439</v>
      </c>
      <c r="C58" s="13">
        <f>'3.felh'!C37</f>
        <v>574708</v>
      </c>
      <c r="D58" s="13">
        <f>'3.felh'!D37</f>
        <v>574708</v>
      </c>
      <c r="E58" s="13">
        <f>'3.felh'!E37</f>
        <v>574708</v>
      </c>
      <c r="F58" s="13">
        <f>'3.felh'!F37</f>
        <v>574708</v>
      </c>
      <c r="G58" s="13">
        <f>'3.felh'!G37</f>
        <v>574708</v>
      </c>
      <c r="H58" s="7">
        <f t="shared" si="0"/>
        <v>0</v>
      </c>
      <c r="I58" s="319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ht="13.5" customHeight="1" x14ac:dyDescent="0.2">
      <c r="A59" s="8"/>
      <c r="B59" s="31" t="s">
        <v>518</v>
      </c>
      <c r="C59" s="13">
        <f>'2.működés'!C108</f>
        <v>0</v>
      </c>
      <c r="D59" s="13">
        <f>'2.működés'!D108</f>
        <v>0</v>
      </c>
      <c r="E59" s="13">
        <f>'2.működés'!E108</f>
        <v>0</v>
      </c>
      <c r="F59" s="13">
        <f>'2.működés'!F108</f>
        <v>19840</v>
      </c>
      <c r="G59" s="13">
        <f>'2.működés'!G108</f>
        <v>0</v>
      </c>
      <c r="H59" s="7">
        <f t="shared" si="0"/>
        <v>19840</v>
      </c>
      <c r="I59" s="319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ht="13.5" customHeight="1" x14ac:dyDescent="0.25">
      <c r="A60" s="8"/>
      <c r="B60" s="23" t="s">
        <v>447</v>
      </c>
      <c r="C60" s="42">
        <f>SUM(C61:C62)</f>
        <v>342000</v>
      </c>
      <c r="D60" s="42">
        <f>SUM(D61:D62)</f>
        <v>342000</v>
      </c>
      <c r="E60" s="42">
        <f>SUM(E61:E62)</f>
        <v>342000</v>
      </c>
      <c r="F60" s="42">
        <f>SUM(F61:F62)</f>
        <v>342000</v>
      </c>
      <c r="G60" s="42">
        <f>SUM(G61:G62)</f>
        <v>342000</v>
      </c>
      <c r="H60" s="7">
        <f t="shared" si="0"/>
        <v>0</v>
      </c>
      <c r="I60" s="319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ht="13.5" customHeight="1" x14ac:dyDescent="0.2">
      <c r="A61" s="8"/>
      <c r="B61" s="8" t="s">
        <v>250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7">
        <f t="shared" si="0"/>
        <v>0</v>
      </c>
      <c r="I61" s="319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ht="13.5" customHeight="1" thickBot="1" x14ac:dyDescent="0.25">
      <c r="A62" s="12"/>
      <c r="B62" s="12" t="s">
        <v>251</v>
      </c>
      <c r="C62" s="32">
        <f>'3.felh'!C40</f>
        <v>342000</v>
      </c>
      <c r="D62" s="32">
        <f>'3.felh'!D40</f>
        <v>342000</v>
      </c>
      <c r="E62" s="32">
        <f>'3.felh'!E40</f>
        <v>342000</v>
      </c>
      <c r="F62" s="32">
        <f>'3.felh'!F40</f>
        <v>342000</v>
      </c>
      <c r="G62" s="32">
        <f>'3.felh'!G40</f>
        <v>342000</v>
      </c>
      <c r="H62" s="7">
        <f t="shared" si="0"/>
        <v>0</v>
      </c>
      <c r="I62" s="319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ht="23.25" customHeight="1" thickBot="1" x14ac:dyDescent="0.4">
      <c r="A63" s="217"/>
      <c r="B63" s="218" t="s">
        <v>389</v>
      </c>
      <c r="C63" s="577">
        <f>SUM(C8+C54)</f>
        <v>2484300</v>
      </c>
      <c r="D63" s="577">
        <f>SUM(D8+D54)</f>
        <v>2851420</v>
      </c>
      <c r="E63" s="577">
        <f>SUM(E8+E54)</f>
        <v>2961571</v>
      </c>
      <c r="F63" s="181">
        <f>SUM(F8+F54)</f>
        <v>3020578</v>
      </c>
      <c r="G63" s="48">
        <f>SUM(G8+G54)</f>
        <v>2961571</v>
      </c>
      <c r="H63" s="602">
        <f>F63-E63</f>
        <v>59007</v>
      </c>
      <c r="I63" s="319"/>
      <c r="J63" s="7">
        <f>F63-68810</f>
        <v>2951768</v>
      </c>
      <c r="K63" s="7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ht="20.25" customHeight="1" x14ac:dyDescent="0.25">
      <c r="A64" s="148" t="s">
        <v>367</v>
      </c>
      <c r="B64" s="227" t="s">
        <v>355</v>
      </c>
      <c r="C64" s="176">
        <f>SUM(C65+C70)</f>
        <v>2410229</v>
      </c>
      <c r="D64" s="176">
        <f>SUM(D65+D70)</f>
        <v>2777349</v>
      </c>
      <c r="E64" s="176">
        <f>SUM(E65+E70)</f>
        <v>2887500</v>
      </c>
      <c r="F64" s="176">
        <f>SUM(F65+F70)</f>
        <v>2946507</v>
      </c>
      <c r="G64" s="176">
        <f>SUM(G65+G70)</f>
        <v>2564104</v>
      </c>
      <c r="H64" s="7"/>
      <c r="I64" s="319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ht="18" customHeight="1" x14ac:dyDescent="0.25">
      <c r="A65" s="14" t="s">
        <v>206</v>
      </c>
      <c r="B65" s="23" t="s">
        <v>8</v>
      </c>
      <c r="C65" s="149">
        <f>SUM(C66:C68)</f>
        <v>1168003</v>
      </c>
      <c r="D65" s="149">
        <f>SUM(D66:D68)</f>
        <v>1229959</v>
      </c>
      <c r="E65" s="149">
        <f>SUM(E66:E68)</f>
        <v>1310573</v>
      </c>
      <c r="F65" s="149">
        <f>SUM(F66:F68)</f>
        <v>1369580</v>
      </c>
      <c r="G65" s="149">
        <f>SUM(G66:G68)</f>
        <v>987177</v>
      </c>
      <c r="H65" s="7"/>
      <c r="I65" s="319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">
      <c r="A66" s="8"/>
      <c r="B66" s="14" t="s">
        <v>9</v>
      </c>
      <c r="C66" s="83">
        <f>SUM('8.Önk.'!BA99)</f>
        <v>876523</v>
      </c>
      <c r="D66" s="83">
        <f>SUM('8.Önk.'!BB99)</f>
        <v>916619</v>
      </c>
      <c r="E66" s="83">
        <f>SUM('8.Önk.'!BC99)</f>
        <v>965269</v>
      </c>
      <c r="F66" s="83">
        <f>SUM('8.Önk.'!BD99)</f>
        <v>975299</v>
      </c>
      <c r="G66" s="83">
        <f>SUM('8.Önk.'!BE99)</f>
        <v>700206</v>
      </c>
      <c r="H66" s="2"/>
      <c r="I66" s="319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ht="13.5" customHeight="1" thickBot="1" x14ac:dyDescent="0.25">
      <c r="A67" s="8"/>
      <c r="B67" s="8" t="s">
        <v>483</v>
      </c>
      <c r="C67" s="131">
        <f>SUM('9.Hivatal'!R85)</f>
        <v>241480</v>
      </c>
      <c r="D67" s="131">
        <f>SUM('9.Hivatal'!S85)</f>
        <v>244459</v>
      </c>
      <c r="E67" s="131">
        <f>SUM('9.Hivatal'!T85)</f>
        <v>255943</v>
      </c>
      <c r="F67" s="131">
        <f>SUM('9.Hivatal'!U85)</f>
        <v>274960</v>
      </c>
      <c r="G67" s="131">
        <f>SUM('9.Hivatal'!V85)</f>
        <v>236971</v>
      </c>
      <c r="H67" s="2"/>
      <c r="I67" s="319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13.5" customHeight="1" thickBot="1" x14ac:dyDescent="0.25">
      <c r="A68" s="8"/>
      <c r="B68" s="210" t="s">
        <v>209</v>
      </c>
      <c r="C68" s="770">
        <f>SUM('2.működés'!C125)</f>
        <v>50000</v>
      </c>
      <c r="D68" s="771">
        <f>SUM('2.működés'!D125)</f>
        <v>68881</v>
      </c>
      <c r="E68" s="771">
        <f>SUM('2.működés'!E125)</f>
        <v>89361</v>
      </c>
      <c r="F68" s="771">
        <f>SUM('2.működés'!F125)</f>
        <v>119321</v>
      </c>
      <c r="G68" s="291">
        <f>SUM('2.működés'!G125)</f>
        <v>50000</v>
      </c>
      <c r="H68" s="2"/>
      <c r="I68" s="7">
        <f>F68-E68</f>
        <v>29960</v>
      </c>
      <c r="J68" s="2"/>
      <c r="K68" s="2"/>
      <c r="L68" s="7">
        <f>F68+F76</f>
        <v>377590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2.75" hidden="1" customHeight="1" thickBot="1" x14ac:dyDescent="0.25">
      <c r="A69" s="8"/>
      <c r="B69" s="8" t="s">
        <v>448</v>
      </c>
      <c r="C69" s="271"/>
      <c r="D69" s="271"/>
      <c r="E69" s="271"/>
      <c r="F69" s="271"/>
      <c r="G69" s="271"/>
      <c r="H69" s="2"/>
      <c r="I69" s="319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t="18" customHeight="1" x14ac:dyDescent="0.25">
      <c r="A70" s="14" t="s">
        <v>207</v>
      </c>
      <c r="B70" s="23" t="s">
        <v>229</v>
      </c>
      <c r="C70" s="36">
        <f>SUM(C71:C73)</f>
        <v>1242226</v>
      </c>
      <c r="D70" s="36">
        <f>SUM(D71:D73)</f>
        <v>1547390</v>
      </c>
      <c r="E70" s="36">
        <f>SUM(E71:E73)</f>
        <v>1576927</v>
      </c>
      <c r="F70" s="36">
        <f>SUM(F71:F73)</f>
        <v>1576927</v>
      </c>
      <c r="G70" s="36">
        <f>SUM(G71:G73)</f>
        <v>1576927</v>
      </c>
      <c r="H70" s="7"/>
      <c r="I70" s="319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s="50" customFormat="1" ht="13.5" customHeight="1" x14ac:dyDescent="0.2">
      <c r="A71" s="8"/>
      <c r="B71" s="8" t="s">
        <v>348</v>
      </c>
      <c r="C71" s="13">
        <f>SUM('3.felh'!C44)</f>
        <v>456818</v>
      </c>
      <c r="D71" s="13">
        <f>SUM('3.felh'!D44)</f>
        <v>447741</v>
      </c>
      <c r="E71" s="13">
        <f>SUM('3.felh'!E44)</f>
        <v>446808</v>
      </c>
      <c r="F71" s="13">
        <f>SUM('3.felh'!F44)</f>
        <v>447485</v>
      </c>
      <c r="G71" s="13">
        <f>SUM('3.felh'!G44)</f>
        <v>446808</v>
      </c>
      <c r="H71" s="2"/>
      <c r="I71" s="319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s="50" customFormat="1" ht="13.5" customHeight="1" x14ac:dyDescent="0.2">
      <c r="A72" s="8"/>
      <c r="B72" s="8" t="s">
        <v>349</v>
      </c>
      <c r="C72" s="13">
        <f>SUM('3.felh'!C66)</f>
        <v>641826</v>
      </c>
      <c r="D72" s="13">
        <f>SUM('3.felh'!D66)</f>
        <v>729866</v>
      </c>
      <c r="E72" s="13">
        <f>SUM('3.felh'!E66)</f>
        <v>870811</v>
      </c>
      <c r="F72" s="13">
        <f>SUM('3.felh'!F66)</f>
        <v>870811</v>
      </c>
      <c r="G72" s="13">
        <f>SUM('3.felh'!G66)</f>
        <v>870811</v>
      </c>
      <c r="H72" s="2"/>
      <c r="I72" s="319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s="50" customFormat="1" ht="13.5" customHeight="1" x14ac:dyDescent="0.2">
      <c r="A73" s="8"/>
      <c r="B73" s="8" t="s">
        <v>350</v>
      </c>
      <c r="C73" s="13">
        <f>SUM(C74:C76)</f>
        <v>143582</v>
      </c>
      <c r="D73" s="13">
        <f t="shared" ref="D73:G73" si="1">SUM(D74:D76)</f>
        <v>369783</v>
      </c>
      <c r="E73" s="13">
        <f t="shared" ref="E73" si="2">SUM(E74:E76)</f>
        <v>259308</v>
      </c>
      <c r="F73" s="13">
        <f t="shared" si="1"/>
        <v>258631</v>
      </c>
      <c r="G73" s="13">
        <f t="shared" si="1"/>
        <v>259308</v>
      </c>
      <c r="H73" s="2"/>
      <c r="I73" s="319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s="50" customFormat="1" ht="13.5" customHeight="1" x14ac:dyDescent="0.2">
      <c r="A74" s="8"/>
      <c r="B74" s="8" t="s">
        <v>1103</v>
      </c>
      <c r="C74" s="13">
        <f>SUM('3.felh'!C79)</f>
        <v>0</v>
      </c>
      <c r="D74" s="13">
        <f>SUM('3.felh'!D79)</f>
        <v>0</v>
      </c>
      <c r="E74" s="13">
        <f>SUM('3.felh'!E79)</f>
        <v>362</v>
      </c>
      <c r="F74" s="13">
        <f>SUM('3.felh'!F79)</f>
        <v>362</v>
      </c>
      <c r="G74" s="13">
        <f>SUM('3.felh'!G79)</f>
        <v>362</v>
      </c>
      <c r="H74" s="2"/>
      <c r="I74" s="319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s="50" customFormat="1" ht="13.5" customHeight="1" thickBot="1" x14ac:dyDescent="0.25">
      <c r="A75" s="8"/>
      <c r="B75" s="8" t="s">
        <v>1117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2"/>
      <c r="I75" s="7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s="50" customFormat="1" ht="13.5" customHeight="1" thickBot="1" x14ac:dyDescent="0.25">
      <c r="A76" s="8"/>
      <c r="B76" s="8" t="s">
        <v>1391</v>
      </c>
      <c r="C76" s="770">
        <f>SUM('3.felh'!C81)</f>
        <v>143582</v>
      </c>
      <c r="D76" s="770">
        <f>SUM('3.felh'!D81)</f>
        <v>369783</v>
      </c>
      <c r="E76" s="770">
        <f>SUM('3.felh'!E81)</f>
        <v>258946</v>
      </c>
      <c r="F76" s="770">
        <f>SUM('3.felh'!F81)</f>
        <v>258269</v>
      </c>
      <c r="G76" s="770">
        <f>SUM('3.felh'!G81)</f>
        <v>258946</v>
      </c>
      <c r="H76" s="7">
        <f>F68+F76</f>
        <v>377590</v>
      </c>
      <c r="I76" s="7">
        <f>H76-227589-29537</f>
        <v>120464</v>
      </c>
      <c r="J76" s="2"/>
      <c r="K76" s="7">
        <f>F76-E76</f>
        <v>-677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s="50" customFormat="1" ht="22.5" customHeight="1" x14ac:dyDescent="0.25">
      <c r="A77" s="14" t="s">
        <v>208</v>
      </c>
      <c r="B77" s="174" t="s">
        <v>366</v>
      </c>
      <c r="C77" s="192">
        <f>SUM(C78+C82+C83)</f>
        <v>74071</v>
      </c>
      <c r="D77" s="192">
        <f t="shared" ref="D77:G77" si="3">SUM(D78+D82+D83)</f>
        <v>74071</v>
      </c>
      <c r="E77" s="192">
        <f t="shared" si="3"/>
        <v>74071</v>
      </c>
      <c r="F77" s="192">
        <f t="shared" si="3"/>
        <v>74071</v>
      </c>
      <c r="G77" s="192">
        <f t="shared" si="3"/>
        <v>74071</v>
      </c>
      <c r="H77" s="2"/>
      <c r="I77" s="7">
        <f>E76-D76-227589-29537</f>
        <v>-367963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s="50" customFormat="1" ht="15" customHeight="1" x14ac:dyDescent="0.25">
      <c r="A78" s="14"/>
      <c r="B78" s="191" t="s">
        <v>394</v>
      </c>
      <c r="C78" s="161">
        <f>SUM(C79:C81)</f>
        <v>74071</v>
      </c>
      <c r="D78" s="161">
        <f t="shared" ref="D78:G78" si="4">SUM(D79:D81)</f>
        <v>74071</v>
      </c>
      <c r="E78" s="161">
        <f t="shared" si="4"/>
        <v>74071</v>
      </c>
      <c r="F78" s="161">
        <f t="shared" si="4"/>
        <v>74071</v>
      </c>
      <c r="G78" s="161">
        <f t="shared" si="4"/>
        <v>74071</v>
      </c>
      <c r="H78" s="2"/>
      <c r="I78" s="319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s="50" customFormat="1" ht="12.75" customHeight="1" x14ac:dyDescent="0.2">
      <c r="A79" s="14" t="s">
        <v>401</v>
      </c>
      <c r="B79" s="8" t="s">
        <v>422</v>
      </c>
      <c r="C79" s="13">
        <f>SUM('2.működés'!C129)</f>
        <v>15915</v>
      </c>
      <c r="D79" s="13">
        <f>SUM('2.működés'!D129)</f>
        <v>15915</v>
      </c>
      <c r="E79" s="13">
        <f>SUM('2.működés'!E129)</f>
        <v>15915</v>
      </c>
      <c r="F79" s="13">
        <f>SUM('2.működés'!F129)</f>
        <v>15915</v>
      </c>
      <c r="G79" s="13">
        <f>SUM('2.működés'!G129)</f>
        <v>15915</v>
      </c>
      <c r="H79" s="2"/>
      <c r="I79" s="319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s="50" customFormat="1" ht="15.75" hidden="1" x14ac:dyDescent="0.25">
      <c r="A80" s="14"/>
      <c r="B80" s="226" t="s">
        <v>395</v>
      </c>
      <c r="C80" s="43"/>
      <c r="D80" s="43"/>
      <c r="E80" s="43"/>
      <c r="F80" s="43"/>
      <c r="G80" s="43"/>
      <c r="H80" s="2"/>
      <c r="I80" s="319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s="50" customFormat="1" ht="12.75" customHeight="1" x14ac:dyDescent="0.2">
      <c r="A81" s="14"/>
      <c r="B81" s="226" t="s">
        <v>1170</v>
      </c>
      <c r="C81" s="13">
        <f>SUM('3.felh'!C86)</f>
        <v>58156</v>
      </c>
      <c r="D81" s="13">
        <f>SUM('3.felh'!D86)</f>
        <v>58156</v>
      </c>
      <c r="E81" s="13">
        <f>SUM('3.felh'!E86)</f>
        <v>58156</v>
      </c>
      <c r="F81" s="13">
        <f>SUM('3.felh'!F86)</f>
        <v>58156</v>
      </c>
      <c r="G81" s="13">
        <f>SUM('3.felh'!G86)</f>
        <v>58156</v>
      </c>
      <c r="H81" s="2"/>
      <c r="I81" s="319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s="50" customFormat="1" ht="15" customHeight="1" x14ac:dyDescent="0.25">
      <c r="A82" s="14"/>
      <c r="B82" s="191" t="s">
        <v>396</v>
      </c>
      <c r="C82" s="43">
        <v>0</v>
      </c>
      <c r="D82" s="43">
        <v>0</v>
      </c>
      <c r="E82" s="43">
        <v>0</v>
      </c>
      <c r="F82" s="43">
        <v>0</v>
      </c>
      <c r="G82" s="43">
        <v>0</v>
      </c>
      <c r="H82" s="2"/>
      <c r="I82" s="319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s="50" customFormat="1" ht="15" customHeight="1" thickBot="1" x14ac:dyDescent="0.3">
      <c r="A83" s="22"/>
      <c r="B83" s="188" t="s">
        <v>397</v>
      </c>
      <c r="C83" s="173">
        <v>0</v>
      </c>
      <c r="D83" s="173">
        <v>0</v>
      </c>
      <c r="E83" s="173">
        <v>0</v>
      </c>
      <c r="F83" s="173">
        <v>0</v>
      </c>
      <c r="G83" s="173">
        <v>0</v>
      </c>
      <c r="H83" s="2"/>
      <c r="I83" s="319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21.75" customHeight="1" thickBot="1" x14ac:dyDescent="0.4">
      <c r="A84" s="268"/>
      <c r="B84" s="218" t="s">
        <v>55</v>
      </c>
      <c r="C84" s="577">
        <f>SUM(C64+C77)</f>
        <v>2484300</v>
      </c>
      <c r="D84" s="577">
        <f>SUM(D64+D77)</f>
        <v>2851420</v>
      </c>
      <c r="E84" s="577">
        <f>SUM(E64+E77)</f>
        <v>2961571</v>
      </c>
      <c r="F84" s="181">
        <f>SUM(F64+F77)</f>
        <v>3020578</v>
      </c>
      <c r="G84" s="48">
        <f>SUM(G64+G77)</f>
        <v>2638175</v>
      </c>
      <c r="H84" s="602">
        <f>F84-E84</f>
        <v>59007</v>
      </c>
      <c r="I84" s="319"/>
      <c r="J84" s="7">
        <f>H84-H63</f>
        <v>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4.25" hidden="1" customHeight="1" thickBot="1" x14ac:dyDescent="0.25">
      <c r="C85" s="7">
        <f>SUM(C63-C84)</f>
        <v>0</v>
      </c>
      <c r="D85" s="7"/>
      <c r="E85" s="7"/>
      <c r="F85" s="7"/>
      <c r="G85" s="7">
        <f>SUM(G63-G84)</f>
        <v>323396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5.75" hidden="1" customHeight="1" x14ac:dyDescent="0.2">
      <c r="B86" s="2" t="s">
        <v>494</v>
      </c>
      <c r="C86" s="7">
        <f>SUM(C68+C76)</f>
        <v>193582</v>
      </c>
      <c r="D86" s="7"/>
      <c r="E86" s="7"/>
      <c r="F86" s="7"/>
      <c r="G86" s="7">
        <f>SUM(G68+G76)</f>
        <v>308946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5.75" hidden="1" customHeight="1" x14ac:dyDescent="0.2">
      <c r="C87" s="7">
        <f>SUM(C63-C84)</f>
        <v>0</v>
      </c>
      <c r="D87" s="7">
        <f>SUM(D63-D84)</f>
        <v>0</v>
      </c>
      <c r="E87" s="7">
        <f>SUM(E63-E84)</f>
        <v>0</v>
      </c>
      <c r="F87" s="7">
        <f>SUM(F63-F84)</f>
        <v>0</v>
      </c>
      <c r="G87" s="7">
        <f>SUM(G63-G84)</f>
        <v>323396</v>
      </c>
      <c r="H87" s="7"/>
      <c r="I87" s="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27" hidden="1" customHeight="1" x14ac:dyDescent="0.2">
      <c r="B88" s="232" t="s">
        <v>923</v>
      </c>
      <c r="C88" s="7" t="e">
        <f>SUM(C8-C66-C67-C79-C81)+'8.Önk.'!C141+'8.Önk.'!#REF!</f>
        <v>#REF!</v>
      </c>
      <c r="D88" s="2"/>
      <c r="E88" s="9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5" hidden="1" customHeight="1" x14ac:dyDescent="0.2">
      <c r="B89" t="s">
        <v>346</v>
      </c>
      <c r="C89" s="7">
        <f>SUM(C63-C84)</f>
        <v>0</v>
      </c>
      <c r="D89" s="2"/>
      <c r="E89" s="9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5.75" hidden="1" customHeight="1" x14ac:dyDescent="0.2">
      <c r="C90" s="7">
        <f>C63-C84</f>
        <v>0</v>
      </c>
      <c r="D90" s="7">
        <f>D63-D84</f>
        <v>0</v>
      </c>
      <c r="E90" s="7">
        <f>E63-E84</f>
        <v>0</v>
      </c>
      <c r="F90" s="7">
        <f>F63-F84</f>
        <v>0</v>
      </c>
      <c r="G90" s="7">
        <f>G63-G84</f>
        <v>323396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5.75" customHeight="1" x14ac:dyDescent="0.2">
      <c r="B91" s="2"/>
      <c r="C91" s="2"/>
      <c r="D91" s="7"/>
      <c r="E91" s="9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5.75" customHeight="1" x14ac:dyDescent="0.2">
      <c r="B92" s="2"/>
      <c r="C92" s="2"/>
      <c r="D92" s="2"/>
      <c r="E92" s="9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5.75" customHeight="1" x14ac:dyDescent="0.2">
      <c r="B93" s="2"/>
      <c r="C93" s="2"/>
      <c r="D93" s="2"/>
      <c r="E93" s="9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5.75" customHeight="1" x14ac:dyDescent="0.2">
      <c r="B94" s="2"/>
      <c r="C94" s="2"/>
      <c r="D94" s="2"/>
      <c r="E94" s="9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5.75" customHeight="1" x14ac:dyDescent="0.2">
      <c r="B95" s="2"/>
      <c r="C95" s="2"/>
      <c r="D95" s="2"/>
      <c r="E95" s="9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5.75" customHeight="1" x14ac:dyDescent="0.2">
      <c r="B96" s="2"/>
      <c r="C96" s="2"/>
      <c r="D96" s="2"/>
      <c r="E96" s="9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2:42" ht="15.75" customHeight="1" x14ac:dyDescent="0.2">
      <c r="B97" s="2"/>
      <c r="C97" s="2"/>
      <c r="D97" s="2"/>
      <c r="E97" s="9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2:42" ht="15.75" customHeight="1" x14ac:dyDescent="0.2">
      <c r="B98" s="2"/>
      <c r="C98" s="2"/>
      <c r="D98" s="2"/>
      <c r="E98" s="90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2:42" ht="15.75" customHeight="1" x14ac:dyDescent="0.2">
      <c r="B99" s="2"/>
      <c r="C99" s="2"/>
      <c r="D99" s="2"/>
      <c r="E99" s="90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2:42" ht="15.75" customHeight="1" x14ac:dyDescent="0.2">
      <c r="B100" s="2"/>
      <c r="C100" s="2"/>
      <c r="D100" s="2"/>
      <c r="E100" s="9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2:42" ht="15.75" customHeight="1" x14ac:dyDescent="0.2">
      <c r="B101" s="2"/>
      <c r="C101" s="2"/>
      <c r="D101" s="2"/>
      <c r="E101" s="9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2:42" ht="15.75" customHeight="1" x14ac:dyDescent="0.2">
      <c r="B102" s="2"/>
      <c r="C102" s="2"/>
      <c r="D102" s="2"/>
      <c r="E102" s="9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2:42" ht="15.75" customHeight="1" x14ac:dyDescent="0.2">
      <c r="B103" s="2"/>
      <c r="C103" s="2"/>
      <c r="D103" s="2"/>
      <c r="E103" s="9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2:42" ht="15.75" customHeight="1" x14ac:dyDescent="0.2">
      <c r="B104" s="2"/>
      <c r="C104" s="2"/>
      <c r="D104" s="2"/>
      <c r="E104" s="90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2:42" ht="15.75" customHeight="1" x14ac:dyDescent="0.2">
      <c r="B105" s="2"/>
      <c r="C105" s="2"/>
      <c r="D105" s="2"/>
      <c r="E105" s="90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2:42" ht="15.75" customHeight="1" x14ac:dyDescent="0.2">
      <c r="B106" s="2"/>
      <c r="C106" s="2"/>
      <c r="D106" s="2"/>
      <c r="E106" s="9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2:42" ht="15.75" customHeight="1" x14ac:dyDescent="0.2">
      <c r="B107" s="2"/>
      <c r="C107" s="2"/>
      <c r="D107" s="2"/>
      <c r="E107" s="9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2:42" ht="15.75" customHeight="1" x14ac:dyDescent="0.2">
      <c r="B108" s="2"/>
      <c r="C108" s="2"/>
      <c r="D108" s="2"/>
      <c r="E108" s="90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2:42" ht="15.75" customHeight="1" x14ac:dyDescent="0.2">
      <c r="B109" s="2"/>
      <c r="C109" s="2"/>
      <c r="D109" s="2"/>
      <c r="E109" s="9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2:42" ht="15.75" customHeight="1" x14ac:dyDescent="0.2">
      <c r="B110" s="2"/>
      <c r="C110" s="2"/>
      <c r="D110" s="2"/>
      <c r="E110" s="9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2:42" ht="15.75" customHeight="1" x14ac:dyDescent="0.2">
      <c r="B111" s="2"/>
      <c r="C111" s="2"/>
      <c r="D111" s="2"/>
      <c r="E111" s="9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2:42" ht="15.75" customHeight="1" x14ac:dyDescent="0.2">
      <c r="B112" s="2"/>
      <c r="C112" s="2"/>
      <c r="D112" s="2"/>
      <c r="E112" s="90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2:42" ht="15.75" customHeight="1" x14ac:dyDescent="0.2">
      <c r="B113" s="2"/>
      <c r="C113" s="2"/>
      <c r="D113" s="2"/>
      <c r="E113" s="90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2:42" ht="15.75" customHeight="1" x14ac:dyDescent="0.2">
      <c r="B114" s="2"/>
      <c r="C114" s="2"/>
      <c r="D114" s="2"/>
      <c r="E114" s="9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2:42" ht="15.75" customHeight="1" x14ac:dyDescent="0.2">
      <c r="B115" s="2"/>
      <c r="C115" s="2"/>
      <c r="D115" s="2"/>
      <c r="E115" s="9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2:42" ht="15.75" customHeight="1" x14ac:dyDescent="0.2">
      <c r="B116" s="2"/>
      <c r="C116" s="2"/>
      <c r="D116" s="2"/>
      <c r="E116" s="9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2:42" ht="15.75" customHeight="1" x14ac:dyDescent="0.2">
      <c r="B117" s="2"/>
      <c r="C117" s="2"/>
      <c r="D117" s="2"/>
      <c r="E117" s="9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2:42" ht="15.75" customHeight="1" x14ac:dyDescent="0.2">
      <c r="B118" s="2"/>
      <c r="C118" s="2"/>
      <c r="D118" s="2"/>
      <c r="E118" s="9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2:42" ht="15.75" customHeight="1" x14ac:dyDescent="0.2">
      <c r="B119" s="2"/>
      <c r="C119" s="2"/>
      <c r="D119" s="2"/>
      <c r="E119" s="9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2:42" ht="15.75" customHeight="1" x14ac:dyDescent="0.2">
      <c r="B120" s="2"/>
      <c r="C120" s="2"/>
      <c r="D120" s="2"/>
      <c r="E120" s="9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2:42" ht="15.75" customHeight="1" x14ac:dyDescent="0.2">
      <c r="B121" s="2"/>
      <c r="C121" s="2"/>
      <c r="D121" s="2"/>
      <c r="E121" s="9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2:42" ht="15.75" customHeight="1" x14ac:dyDescent="0.2">
      <c r="B122" s="2"/>
      <c r="C122" s="2"/>
      <c r="D122" s="2"/>
      <c r="E122" s="9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2:42" ht="15.75" customHeight="1" x14ac:dyDescent="0.2">
      <c r="B123" s="2"/>
      <c r="C123" s="2"/>
      <c r="D123" s="2"/>
      <c r="E123" s="9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2:42" ht="15.75" customHeight="1" x14ac:dyDescent="0.2">
      <c r="B124" s="2"/>
      <c r="C124" s="2"/>
      <c r="D124" s="2"/>
      <c r="E124" s="9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2:42" ht="15.75" customHeight="1" x14ac:dyDescent="0.2">
      <c r="B125" s="2"/>
      <c r="C125" s="2"/>
      <c r="D125" s="2"/>
      <c r="E125" s="9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2:42" ht="15.75" customHeight="1" x14ac:dyDescent="0.2">
      <c r="B126" s="2"/>
      <c r="C126" s="2"/>
      <c r="D126" s="2"/>
      <c r="E126" s="90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2:42" ht="15.75" customHeight="1" x14ac:dyDescent="0.2">
      <c r="B127" s="2"/>
      <c r="C127" s="2"/>
      <c r="D127" s="2"/>
      <c r="E127" s="90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2:42" ht="15.75" customHeight="1" x14ac:dyDescent="0.2">
      <c r="B128" s="2"/>
      <c r="C128" s="2"/>
      <c r="D128" s="2"/>
      <c r="E128" s="9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2:42" ht="15.75" customHeight="1" x14ac:dyDescent="0.2">
      <c r="B129" s="2"/>
      <c r="C129" s="2"/>
      <c r="D129" s="2"/>
      <c r="E129" s="9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2:42" ht="15.75" customHeight="1" x14ac:dyDescent="0.2">
      <c r="B130" s="2"/>
      <c r="C130" s="2"/>
      <c r="D130" s="2"/>
      <c r="E130" s="9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2:42" ht="15.75" customHeight="1" x14ac:dyDescent="0.2">
      <c r="B131" s="2"/>
      <c r="C131" s="2"/>
      <c r="D131" s="2"/>
      <c r="E131" s="9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2:42" ht="15.75" customHeight="1" x14ac:dyDescent="0.2">
      <c r="B132" s="2"/>
      <c r="C132" s="2"/>
      <c r="D132" s="2"/>
      <c r="E132" s="9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2:42" ht="15.75" customHeight="1" x14ac:dyDescent="0.2">
      <c r="B133" s="2"/>
      <c r="C133" s="2"/>
      <c r="D133" s="2"/>
      <c r="E133" s="9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2:42" ht="15.75" customHeight="1" x14ac:dyDescent="0.2">
      <c r="B134" s="2"/>
      <c r="C134" s="2"/>
      <c r="D134" s="2"/>
      <c r="E134" s="9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2:42" ht="15.75" customHeight="1" x14ac:dyDescent="0.2">
      <c r="B135" s="2"/>
      <c r="C135" s="2"/>
      <c r="D135" s="2"/>
      <c r="E135" s="9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2:42" ht="15.75" customHeight="1" x14ac:dyDescent="0.2">
      <c r="B136" s="2"/>
      <c r="C136" s="2"/>
      <c r="D136" s="2"/>
      <c r="E136" s="9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2:42" ht="15.75" customHeight="1" x14ac:dyDescent="0.2">
      <c r="B137" s="2"/>
      <c r="C137" s="2"/>
      <c r="D137" s="2"/>
      <c r="E137" s="9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2:42" ht="15.75" customHeight="1" x14ac:dyDescent="0.2">
      <c r="B138" s="2"/>
      <c r="C138" s="2"/>
      <c r="D138" s="2"/>
      <c r="E138" s="9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2:42" ht="15.75" customHeight="1" x14ac:dyDescent="0.2">
      <c r="B139" s="2"/>
      <c r="C139" s="2"/>
      <c r="D139" s="2"/>
      <c r="E139" s="9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2:42" ht="15.75" customHeight="1" x14ac:dyDescent="0.2">
      <c r="B140" s="2"/>
      <c r="C140" s="2"/>
      <c r="D140" s="2"/>
      <c r="E140" s="90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2:42" ht="15.75" customHeight="1" x14ac:dyDescent="0.2">
      <c r="B141" s="2"/>
      <c r="C141" s="2"/>
      <c r="D141" s="2"/>
      <c r="E141" s="90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2:42" ht="15.75" customHeight="1" x14ac:dyDescent="0.2">
      <c r="B142" s="2"/>
      <c r="C142" s="2"/>
      <c r="D142" s="2"/>
      <c r="E142" s="9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2:42" ht="15.75" customHeight="1" x14ac:dyDescent="0.2">
      <c r="B143" s="2"/>
      <c r="C143" s="2"/>
      <c r="D143" s="2"/>
      <c r="E143" s="9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2:42" ht="15.75" customHeight="1" x14ac:dyDescent="0.2">
      <c r="B144" s="2"/>
      <c r="C144" s="2"/>
      <c r="D144" s="2"/>
      <c r="E144" s="9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2:42" ht="15.75" customHeight="1" x14ac:dyDescent="0.2">
      <c r="B145" s="2"/>
      <c r="C145" s="2"/>
      <c r="D145" s="2"/>
      <c r="E145" s="9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2:42" ht="15.75" customHeight="1" x14ac:dyDescent="0.2">
      <c r="B146" s="2"/>
      <c r="C146" s="2"/>
      <c r="D146" s="2"/>
      <c r="E146" s="9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2:42" ht="15.75" customHeight="1" x14ac:dyDescent="0.2">
      <c r="B147" s="2"/>
      <c r="C147" s="2"/>
      <c r="D147" s="2"/>
      <c r="E147" s="9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2:42" ht="15.75" customHeight="1" x14ac:dyDescent="0.2">
      <c r="B148" s="2"/>
      <c r="C148" s="2"/>
      <c r="D148" s="2"/>
      <c r="E148" s="9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2:42" ht="15.75" customHeight="1" x14ac:dyDescent="0.2">
      <c r="B149" s="2"/>
      <c r="C149" s="2"/>
      <c r="D149" s="2"/>
      <c r="E149" s="9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2:42" ht="15.75" customHeight="1" x14ac:dyDescent="0.2">
      <c r="B150" s="2"/>
      <c r="C150" s="2"/>
      <c r="D150" s="2"/>
      <c r="E150" s="9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2:42" ht="15.75" customHeight="1" x14ac:dyDescent="0.2">
      <c r="B151" s="2"/>
      <c r="C151" s="2"/>
      <c r="D151" s="2"/>
      <c r="E151" s="9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2:42" ht="15.75" customHeight="1" x14ac:dyDescent="0.2">
      <c r="B152" s="2"/>
      <c r="C152" s="2"/>
      <c r="D152" s="2"/>
      <c r="E152" s="9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2:42" ht="15.75" customHeight="1" x14ac:dyDescent="0.2">
      <c r="B153" s="2"/>
      <c r="C153" s="2"/>
      <c r="D153" s="2"/>
      <c r="E153" s="9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2:42" ht="15.75" customHeight="1" x14ac:dyDescent="0.2">
      <c r="B154" s="2"/>
      <c r="C154" s="2"/>
      <c r="D154" s="2"/>
      <c r="E154" s="90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2:42" ht="15.75" customHeight="1" x14ac:dyDescent="0.2">
      <c r="B155" s="2"/>
      <c r="C155" s="2"/>
      <c r="D155" s="2"/>
      <c r="E155" s="90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2:42" ht="15.75" customHeight="1" x14ac:dyDescent="0.2">
      <c r="B156" s="2"/>
      <c r="C156" s="2"/>
      <c r="D156" s="2"/>
      <c r="E156" s="9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2:42" ht="15.75" customHeight="1" x14ac:dyDescent="0.2">
      <c r="B157" s="2"/>
      <c r="C157" s="2"/>
      <c r="D157" s="2"/>
      <c r="E157" s="9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2:42" ht="15.75" customHeight="1" x14ac:dyDescent="0.2">
      <c r="B158" s="2"/>
      <c r="C158" s="2"/>
      <c r="D158" s="2"/>
      <c r="E158" s="9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2:42" ht="15.75" customHeight="1" x14ac:dyDescent="0.2">
      <c r="B159" s="2"/>
      <c r="C159" s="2"/>
      <c r="D159" s="2"/>
      <c r="E159" s="9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2:42" ht="15.75" customHeight="1" x14ac:dyDescent="0.2">
      <c r="B160" s="2"/>
      <c r="C160" s="2"/>
      <c r="D160" s="2"/>
      <c r="E160" s="9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2:42" ht="15.75" customHeight="1" x14ac:dyDescent="0.2">
      <c r="B161" s="2"/>
      <c r="C161" s="2"/>
      <c r="D161" s="2"/>
      <c r="E161" s="9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2:42" ht="15.75" customHeight="1" x14ac:dyDescent="0.2">
      <c r="B162" s="2"/>
      <c r="C162" s="2"/>
      <c r="D162" s="2"/>
      <c r="E162" s="9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2:42" ht="15.75" customHeight="1" x14ac:dyDescent="0.2">
      <c r="B163" s="2"/>
      <c r="C163" s="2"/>
      <c r="D163" s="2"/>
      <c r="E163" s="9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2:42" ht="15.75" customHeight="1" x14ac:dyDescent="0.2">
      <c r="B164" s="2"/>
      <c r="C164" s="2"/>
      <c r="D164" s="2"/>
      <c r="E164" s="9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2:42" ht="15.75" customHeight="1" x14ac:dyDescent="0.2">
      <c r="B165" s="2"/>
      <c r="C165" s="2"/>
      <c r="D165" s="2"/>
      <c r="E165" s="9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2:42" ht="15.75" customHeight="1" x14ac:dyDescent="0.2">
      <c r="B166" s="2"/>
      <c r="C166" s="2"/>
      <c r="D166" s="2"/>
      <c r="E166" s="9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2:42" ht="15.75" customHeight="1" x14ac:dyDescent="0.2">
      <c r="B167" s="2"/>
      <c r="C167" s="2"/>
      <c r="D167" s="2"/>
      <c r="E167" s="9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2:42" ht="15.75" customHeight="1" x14ac:dyDescent="0.2">
      <c r="B168" s="2"/>
      <c r="C168" s="2"/>
      <c r="D168" s="2"/>
      <c r="E168" s="90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2:42" ht="15.75" customHeight="1" x14ac:dyDescent="0.2">
      <c r="B169" s="2"/>
      <c r="C169" s="2"/>
      <c r="D169" s="2"/>
      <c r="E169" s="90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2:42" ht="15.75" customHeight="1" x14ac:dyDescent="0.2">
      <c r="B170" s="2"/>
      <c r="C170" s="29"/>
      <c r="D170" s="29"/>
      <c r="E170" s="266"/>
      <c r="F170" s="29"/>
      <c r="G170" s="29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2:42" ht="15.75" customHeight="1" x14ac:dyDescent="0.2">
      <c r="B171" s="2"/>
      <c r="C171" s="29"/>
      <c r="D171" s="29"/>
      <c r="E171" s="266"/>
      <c r="F171" s="29"/>
      <c r="G171" s="29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2:42" ht="15.75" customHeight="1" x14ac:dyDescent="0.2">
      <c r="B172" s="2"/>
      <c r="C172" s="29"/>
      <c r="D172" s="29"/>
      <c r="E172" s="266"/>
      <c r="F172" s="29"/>
      <c r="G172" s="29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2:42" ht="15.75" customHeight="1" x14ac:dyDescent="0.2">
      <c r="B173" s="2"/>
      <c r="C173" s="29"/>
      <c r="D173" s="29"/>
      <c r="E173" s="266"/>
      <c r="F173" s="29"/>
      <c r="G173" s="29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2:42" ht="15.75" customHeight="1" x14ac:dyDescent="0.2">
      <c r="B174" s="2"/>
      <c r="C174" s="29"/>
      <c r="D174" s="29"/>
      <c r="E174" s="266"/>
      <c r="F174" s="29"/>
      <c r="G174" s="29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2:42" ht="15.75" customHeight="1" x14ac:dyDescent="0.2">
      <c r="B175" s="2"/>
      <c r="C175" s="29"/>
      <c r="D175" s="29"/>
      <c r="E175" s="266"/>
      <c r="F175" s="29"/>
      <c r="G175" s="29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2:42" ht="15.75" customHeight="1" x14ac:dyDescent="0.2">
      <c r="B176" s="2"/>
      <c r="C176" s="29"/>
      <c r="D176" s="29"/>
      <c r="E176" s="266"/>
      <c r="F176" s="29"/>
      <c r="G176" s="29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2:42" ht="15.75" customHeight="1" x14ac:dyDescent="0.2">
      <c r="B177" s="2"/>
      <c r="C177" s="29"/>
      <c r="D177" s="29"/>
      <c r="E177" s="266"/>
      <c r="F177" s="29"/>
      <c r="G177" s="29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2:42" ht="15.75" customHeight="1" x14ac:dyDescent="0.2">
      <c r="B178" s="2"/>
      <c r="C178" s="29"/>
      <c r="D178" s="29"/>
      <c r="E178" s="266"/>
      <c r="F178" s="29"/>
      <c r="G178" s="29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2:42" ht="15.75" customHeight="1" x14ac:dyDescent="0.2">
      <c r="B179" s="2"/>
      <c r="C179" s="29"/>
      <c r="D179" s="29"/>
      <c r="E179" s="266"/>
      <c r="F179" s="29"/>
      <c r="G179" s="29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2:42" ht="15.75" customHeight="1" x14ac:dyDescent="0.2">
      <c r="B180" s="2"/>
      <c r="C180" s="29"/>
      <c r="D180" s="29"/>
      <c r="E180" s="266"/>
      <c r="F180" s="29"/>
      <c r="G180" s="29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2:42" ht="15.75" customHeight="1" x14ac:dyDescent="0.2">
      <c r="B181" s="2"/>
      <c r="C181" s="29"/>
      <c r="D181" s="29"/>
      <c r="E181" s="266"/>
      <c r="F181" s="29"/>
      <c r="G181" s="29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2:42" ht="15.75" customHeight="1" x14ac:dyDescent="0.2">
      <c r="B182" s="2"/>
      <c r="C182" s="29"/>
      <c r="D182" s="29"/>
      <c r="E182" s="266"/>
      <c r="F182" s="29"/>
      <c r="G182" s="29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2:42" ht="15.75" customHeight="1" x14ac:dyDescent="0.2">
      <c r="B183" s="2"/>
      <c r="C183" s="29"/>
      <c r="D183" s="29"/>
      <c r="E183" s="266"/>
      <c r="F183" s="29"/>
      <c r="G183" s="29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2:42" ht="15.75" customHeight="1" x14ac:dyDescent="0.2">
      <c r="B184" s="2"/>
      <c r="C184" s="29"/>
      <c r="D184" s="29"/>
      <c r="E184" s="266"/>
      <c r="F184" s="29"/>
      <c r="G184" s="29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2:42" ht="15.75" customHeight="1" x14ac:dyDescent="0.2">
      <c r="B185" s="2"/>
      <c r="C185" s="29"/>
      <c r="D185" s="29"/>
      <c r="E185" s="266"/>
      <c r="F185" s="29"/>
      <c r="G185" s="29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2:42" ht="15.75" customHeight="1" x14ac:dyDescent="0.2">
      <c r="B186" s="2"/>
      <c r="C186" s="29"/>
      <c r="D186" s="29"/>
      <c r="E186" s="266"/>
      <c r="F186" s="29"/>
      <c r="G186" s="29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2:42" ht="15.75" customHeight="1" x14ac:dyDescent="0.2">
      <c r="B187" s="2"/>
      <c r="C187" s="29"/>
      <c r="D187" s="29"/>
      <c r="E187" s="266"/>
      <c r="F187" s="29"/>
      <c r="G187" s="29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2:42" ht="15.75" customHeight="1" x14ac:dyDescent="0.2">
      <c r="B188" s="2"/>
      <c r="C188" s="29"/>
      <c r="D188" s="29"/>
      <c r="E188" s="266"/>
      <c r="F188" s="29"/>
      <c r="G188" s="29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2:42" ht="15.75" customHeight="1" x14ac:dyDescent="0.2">
      <c r="B189" s="2"/>
      <c r="C189" s="29"/>
      <c r="D189" s="29"/>
      <c r="E189" s="266"/>
      <c r="F189" s="29"/>
      <c r="G189" s="29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2:42" ht="15.75" customHeight="1" x14ac:dyDescent="0.2">
      <c r="B190" s="2"/>
      <c r="C190" s="29"/>
      <c r="D190" s="29"/>
      <c r="E190" s="266"/>
      <c r="F190" s="29"/>
      <c r="G190" s="29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2:42" ht="15.75" customHeight="1" x14ac:dyDescent="0.2">
      <c r="B191" s="2"/>
      <c r="C191" s="29"/>
      <c r="D191" s="29"/>
      <c r="E191" s="266"/>
      <c r="F191" s="29"/>
      <c r="G191" s="29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2:42" ht="15.75" customHeight="1" x14ac:dyDescent="0.2">
      <c r="B192" s="2"/>
      <c r="C192" s="29"/>
      <c r="D192" s="29"/>
      <c r="E192" s="266"/>
      <c r="F192" s="29"/>
      <c r="G192" s="29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2:42" ht="15.75" customHeight="1" x14ac:dyDescent="0.2">
      <c r="B193" s="2"/>
      <c r="C193" s="29"/>
      <c r="D193" s="29"/>
      <c r="E193" s="266"/>
      <c r="F193" s="29"/>
      <c r="G193" s="29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2:42" ht="15.75" customHeight="1" x14ac:dyDescent="0.2">
      <c r="B194" s="2"/>
      <c r="C194" s="29"/>
      <c r="D194" s="29"/>
      <c r="E194" s="266"/>
      <c r="F194" s="29"/>
      <c r="G194" s="29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2:42" ht="15.75" customHeight="1" x14ac:dyDescent="0.2">
      <c r="B195" s="2"/>
      <c r="C195" s="29"/>
      <c r="D195" s="29"/>
      <c r="E195" s="266"/>
      <c r="F195" s="29"/>
      <c r="G195" s="29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2:42" ht="15.75" customHeight="1" x14ac:dyDescent="0.2">
      <c r="B196" s="2"/>
      <c r="C196" s="29"/>
      <c r="D196" s="29"/>
      <c r="E196" s="266"/>
      <c r="F196" s="29"/>
      <c r="G196" s="29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2:42" ht="15.75" customHeight="1" x14ac:dyDescent="0.2">
      <c r="B197" s="2"/>
      <c r="C197" s="29"/>
      <c r="D197" s="29"/>
      <c r="E197" s="266"/>
      <c r="F197" s="29"/>
      <c r="G197" s="29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2:42" ht="15.75" customHeight="1" x14ac:dyDescent="0.2">
      <c r="B198" s="2"/>
      <c r="C198" s="29"/>
      <c r="D198" s="29"/>
      <c r="E198" s="266"/>
      <c r="F198" s="29"/>
      <c r="G198" s="29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2:42" ht="15.75" customHeight="1" x14ac:dyDescent="0.2">
      <c r="B199" s="2"/>
      <c r="C199" s="29"/>
      <c r="D199" s="29"/>
      <c r="E199" s="266"/>
      <c r="F199" s="29"/>
      <c r="G199" s="29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2:42" ht="15.75" customHeight="1" x14ac:dyDescent="0.2">
      <c r="B200" s="2"/>
      <c r="C200" s="29"/>
      <c r="D200" s="29"/>
      <c r="E200" s="266"/>
      <c r="F200" s="29"/>
      <c r="G200" s="29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2:42" ht="15.75" customHeight="1" x14ac:dyDescent="0.2">
      <c r="B201" s="2"/>
      <c r="C201" s="29"/>
      <c r="D201" s="29"/>
      <c r="E201" s="266"/>
      <c r="F201" s="29"/>
      <c r="G201" s="29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2:42" ht="15.75" customHeight="1" x14ac:dyDescent="0.2">
      <c r="B202" s="2"/>
      <c r="C202" s="29"/>
      <c r="D202" s="29"/>
      <c r="E202" s="266"/>
      <c r="F202" s="29"/>
      <c r="G202" s="29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2:42" ht="15.75" customHeight="1" x14ac:dyDescent="0.2">
      <c r="B203" s="2"/>
      <c r="C203" s="29"/>
      <c r="D203" s="29"/>
      <c r="E203" s="266"/>
      <c r="F203" s="29"/>
      <c r="G203" s="29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2:42" ht="15.75" customHeight="1" x14ac:dyDescent="0.2">
      <c r="B204" s="2"/>
      <c r="C204" s="29"/>
      <c r="D204" s="29"/>
      <c r="E204" s="266"/>
      <c r="F204" s="29"/>
      <c r="G204" s="29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2:42" ht="15.75" customHeight="1" x14ac:dyDescent="0.2">
      <c r="B205" s="2"/>
      <c r="C205" s="29"/>
      <c r="D205" s="29"/>
      <c r="E205" s="266"/>
      <c r="F205" s="29"/>
      <c r="G205" s="29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2:42" ht="15.75" customHeight="1" x14ac:dyDescent="0.2">
      <c r="B206" s="2"/>
      <c r="C206" s="29"/>
      <c r="D206" s="29"/>
      <c r="E206" s="266"/>
      <c r="F206" s="29"/>
      <c r="G206" s="29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2:42" ht="15.75" customHeight="1" x14ac:dyDescent="0.2">
      <c r="B207" s="2"/>
      <c r="C207" s="29"/>
      <c r="D207" s="29"/>
      <c r="E207" s="266"/>
      <c r="F207" s="29"/>
      <c r="G207" s="29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2:42" ht="15.75" customHeight="1" x14ac:dyDescent="0.2">
      <c r="B208" s="2"/>
      <c r="C208" s="29"/>
      <c r="D208" s="29"/>
      <c r="E208" s="266"/>
      <c r="F208" s="29"/>
      <c r="G208" s="29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2:42" ht="15.75" customHeight="1" x14ac:dyDescent="0.2">
      <c r="B209" s="2"/>
      <c r="C209" s="29"/>
      <c r="D209" s="29"/>
      <c r="E209" s="266"/>
      <c r="F209" s="29"/>
      <c r="G209" s="29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2:42" ht="15.75" customHeight="1" x14ac:dyDescent="0.2">
      <c r="B210" s="2"/>
      <c r="C210" s="29"/>
      <c r="D210" s="29"/>
      <c r="E210" s="266"/>
      <c r="F210" s="29"/>
      <c r="G210" s="29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2:42" ht="15.75" customHeight="1" x14ac:dyDescent="0.2">
      <c r="B211" s="2"/>
      <c r="C211" s="29"/>
      <c r="D211" s="29"/>
      <c r="E211" s="266"/>
      <c r="F211" s="29"/>
      <c r="G211" s="29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2:42" ht="15.75" customHeight="1" x14ac:dyDescent="0.2">
      <c r="B212" s="2"/>
      <c r="C212" s="29"/>
      <c r="D212" s="29"/>
      <c r="E212" s="266"/>
      <c r="F212" s="29"/>
      <c r="G212" s="29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2:42" ht="15.75" customHeight="1" x14ac:dyDescent="0.2">
      <c r="B213" s="2"/>
      <c r="C213" s="29"/>
      <c r="D213" s="29"/>
      <c r="E213" s="266"/>
      <c r="F213" s="29"/>
      <c r="G213" s="29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2:42" ht="15.75" customHeight="1" x14ac:dyDescent="0.2">
      <c r="B214" s="2"/>
      <c r="C214" s="29"/>
      <c r="D214" s="29"/>
      <c r="E214" s="266"/>
      <c r="F214" s="29"/>
      <c r="G214" s="29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2:42" ht="15.75" customHeight="1" x14ac:dyDescent="0.2">
      <c r="B215" s="2"/>
      <c r="C215" s="29"/>
      <c r="D215" s="29"/>
      <c r="E215" s="266"/>
      <c r="F215" s="29"/>
      <c r="G215" s="29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2:42" ht="15.75" customHeight="1" x14ac:dyDescent="0.2">
      <c r="B216" s="2"/>
      <c r="C216" s="29"/>
      <c r="D216" s="29"/>
      <c r="E216" s="266"/>
      <c r="F216" s="29"/>
      <c r="G216" s="29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2:42" ht="15.75" customHeight="1" x14ac:dyDescent="0.2">
      <c r="B217" s="2"/>
      <c r="C217" s="29"/>
      <c r="D217" s="29"/>
      <c r="E217" s="266"/>
      <c r="F217" s="29"/>
      <c r="G217" s="29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2:42" ht="15.75" customHeight="1" x14ac:dyDescent="0.2">
      <c r="B218" s="2"/>
      <c r="C218" s="29"/>
      <c r="D218" s="29"/>
      <c r="E218" s="266"/>
      <c r="F218" s="29"/>
      <c r="G218" s="29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2:42" ht="15.75" customHeight="1" x14ac:dyDescent="0.2">
      <c r="B219" s="2"/>
      <c r="C219" s="29"/>
      <c r="D219" s="29"/>
      <c r="E219" s="266"/>
      <c r="F219" s="29"/>
      <c r="G219" s="29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2:42" ht="15.75" customHeight="1" x14ac:dyDescent="0.2">
      <c r="B220" s="2"/>
      <c r="C220" s="29"/>
      <c r="D220" s="29"/>
      <c r="E220" s="266"/>
      <c r="F220" s="29"/>
      <c r="G220" s="29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2:42" ht="15.75" customHeight="1" x14ac:dyDescent="0.2">
      <c r="B221" s="2"/>
      <c r="C221" s="29"/>
      <c r="D221" s="29"/>
      <c r="E221" s="266"/>
      <c r="F221" s="29"/>
      <c r="G221" s="29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2:42" ht="15.75" customHeight="1" x14ac:dyDescent="0.2">
      <c r="B222" s="2"/>
      <c r="C222" s="29"/>
      <c r="D222" s="29"/>
      <c r="E222" s="266"/>
      <c r="F222" s="29"/>
      <c r="G222" s="29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2:42" ht="15.75" customHeight="1" x14ac:dyDescent="0.2">
      <c r="B223" s="2"/>
      <c r="C223" s="29"/>
      <c r="D223" s="29"/>
      <c r="E223" s="266"/>
      <c r="F223" s="29"/>
      <c r="G223" s="29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2:42" ht="15.75" customHeight="1" x14ac:dyDescent="0.2">
      <c r="B224" s="2"/>
      <c r="C224" s="29"/>
      <c r="D224" s="29"/>
      <c r="E224" s="266"/>
      <c r="F224" s="29"/>
      <c r="G224" s="29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2:42" ht="15.75" customHeight="1" x14ac:dyDescent="0.2">
      <c r="B225" s="2"/>
      <c r="C225" s="29"/>
      <c r="D225" s="29"/>
      <c r="E225" s="266"/>
      <c r="F225" s="29"/>
      <c r="G225" s="29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2:42" ht="15.75" customHeight="1" x14ac:dyDescent="0.2">
      <c r="B226" s="2"/>
      <c r="C226" s="29"/>
      <c r="D226" s="29"/>
      <c r="E226" s="266"/>
      <c r="F226" s="29"/>
      <c r="G226" s="29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2:42" ht="15.75" customHeight="1" x14ac:dyDescent="0.2">
      <c r="B227" s="2"/>
      <c r="C227" s="29"/>
      <c r="D227" s="29"/>
      <c r="E227" s="266"/>
      <c r="F227" s="29"/>
      <c r="G227" s="29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2:42" ht="15.75" customHeight="1" x14ac:dyDescent="0.2">
      <c r="B228" s="2"/>
      <c r="C228" s="29"/>
      <c r="D228" s="29"/>
      <c r="E228" s="266"/>
      <c r="F228" s="29"/>
      <c r="G228" s="29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2:42" ht="15.75" customHeight="1" x14ac:dyDescent="0.2">
      <c r="B229" s="2"/>
      <c r="C229" s="29"/>
      <c r="D229" s="29"/>
      <c r="E229" s="266"/>
      <c r="F229" s="29"/>
      <c r="G229" s="29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2:42" ht="15.75" customHeight="1" x14ac:dyDescent="0.2">
      <c r="B230" s="2"/>
      <c r="C230" s="29"/>
      <c r="D230" s="29"/>
      <c r="E230" s="266"/>
      <c r="F230" s="29"/>
      <c r="G230" s="29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2:42" ht="15.75" customHeight="1" x14ac:dyDescent="0.2">
      <c r="B231" s="2"/>
      <c r="C231" s="29"/>
      <c r="D231" s="29"/>
      <c r="E231" s="266"/>
      <c r="F231" s="29"/>
      <c r="G231" s="29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2:42" ht="15.75" customHeight="1" x14ac:dyDescent="0.2">
      <c r="B232" s="2"/>
      <c r="C232" s="29"/>
      <c r="D232" s="29"/>
      <c r="E232" s="266"/>
      <c r="F232" s="29"/>
      <c r="G232" s="29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2:42" ht="15.75" customHeight="1" x14ac:dyDescent="0.2">
      <c r="B233" s="2"/>
      <c r="C233" s="29"/>
      <c r="D233" s="29"/>
      <c r="E233" s="266"/>
      <c r="F233" s="29"/>
      <c r="G233" s="29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2:42" ht="15.75" customHeight="1" x14ac:dyDescent="0.2">
      <c r="B234" s="2"/>
      <c r="C234" s="29"/>
      <c r="D234" s="29"/>
      <c r="E234" s="266"/>
      <c r="F234" s="29"/>
      <c r="G234" s="29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2:42" ht="15.75" customHeight="1" x14ac:dyDescent="0.2">
      <c r="B235" s="2"/>
      <c r="C235" s="29"/>
      <c r="D235" s="29"/>
      <c r="E235" s="266"/>
      <c r="F235" s="29"/>
      <c r="G235" s="29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2:42" ht="15.75" customHeight="1" x14ac:dyDescent="0.2">
      <c r="B236" s="2"/>
      <c r="C236" s="29"/>
      <c r="D236" s="29"/>
      <c r="E236" s="266"/>
      <c r="F236" s="29"/>
      <c r="G236" s="29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2:42" ht="15.75" customHeight="1" x14ac:dyDescent="0.2">
      <c r="B237" s="2"/>
      <c r="C237" s="29"/>
      <c r="D237" s="29"/>
      <c r="E237" s="266"/>
      <c r="F237" s="29"/>
      <c r="G237" s="29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2:42" ht="15.75" customHeight="1" x14ac:dyDescent="0.2">
      <c r="B238" s="2"/>
      <c r="C238" s="29"/>
      <c r="D238" s="29"/>
      <c r="E238" s="266"/>
      <c r="F238" s="29"/>
      <c r="G238" s="29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2:42" ht="15.75" customHeight="1" x14ac:dyDescent="0.2">
      <c r="B239" s="2"/>
      <c r="C239" s="29"/>
      <c r="D239" s="29"/>
      <c r="E239" s="266"/>
      <c r="F239" s="29"/>
      <c r="G239" s="29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2:42" ht="15.75" customHeight="1" x14ac:dyDescent="0.2">
      <c r="B240" s="2"/>
      <c r="C240" s="29"/>
      <c r="D240" s="29"/>
      <c r="E240" s="266"/>
      <c r="F240" s="29"/>
      <c r="G240" s="29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2:42" ht="15.75" customHeight="1" x14ac:dyDescent="0.2">
      <c r="B241" s="2"/>
      <c r="C241" s="29"/>
      <c r="D241" s="29"/>
      <c r="E241" s="266"/>
      <c r="F241" s="29"/>
      <c r="G241" s="29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2:42" ht="15.75" customHeight="1" x14ac:dyDescent="0.2">
      <c r="B242" s="2"/>
      <c r="C242" s="29"/>
      <c r="D242" s="29"/>
      <c r="E242" s="266"/>
      <c r="F242" s="29"/>
      <c r="G242" s="29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2:42" ht="15.75" customHeight="1" x14ac:dyDescent="0.2">
      <c r="B243" s="2"/>
      <c r="C243" s="29"/>
      <c r="D243" s="29"/>
      <c r="E243" s="266"/>
      <c r="F243" s="29"/>
      <c r="G243" s="29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2:42" ht="15.75" customHeight="1" x14ac:dyDescent="0.2">
      <c r="B244" s="2"/>
      <c r="C244" s="29"/>
      <c r="D244" s="29"/>
      <c r="E244" s="266"/>
      <c r="F244" s="29"/>
      <c r="G244" s="29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2:42" ht="15.75" customHeight="1" x14ac:dyDescent="0.2">
      <c r="B245" s="2"/>
      <c r="C245" s="29"/>
      <c r="D245" s="29"/>
      <c r="E245" s="266"/>
      <c r="F245" s="29"/>
      <c r="G245" s="29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2:42" ht="15.75" customHeight="1" x14ac:dyDescent="0.2">
      <c r="B246" s="2"/>
      <c r="C246" s="29"/>
      <c r="D246" s="29"/>
      <c r="E246" s="266"/>
      <c r="F246" s="29"/>
      <c r="G246" s="29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2:42" ht="15.75" customHeight="1" x14ac:dyDescent="0.2">
      <c r="B247" s="2"/>
      <c r="C247" s="29"/>
      <c r="D247" s="29"/>
      <c r="E247" s="266"/>
      <c r="F247" s="29"/>
      <c r="G247" s="29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2:42" ht="15.75" customHeight="1" x14ac:dyDescent="0.2">
      <c r="B248" s="2"/>
      <c r="C248" s="29"/>
      <c r="D248" s="29"/>
      <c r="E248" s="266"/>
      <c r="F248" s="29"/>
      <c r="G248" s="29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2:42" ht="15.75" customHeight="1" x14ac:dyDescent="0.2">
      <c r="B249" s="2"/>
      <c r="C249" s="29"/>
      <c r="D249" s="29"/>
      <c r="E249" s="266"/>
      <c r="F249" s="29"/>
      <c r="G249" s="29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2:42" ht="15.75" customHeight="1" x14ac:dyDescent="0.2">
      <c r="B250" s="2"/>
      <c r="C250" s="29"/>
      <c r="D250" s="29"/>
      <c r="E250" s="266"/>
      <c r="F250" s="29"/>
      <c r="G250" s="29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2:42" ht="15.75" customHeight="1" x14ac:dyDescent="0.2">
      <c r="B251" s="2"/>
      <c r="C251" s="29"/>
      <c r="D251" s="29"/>
      <c r="E251" s="266"/>
      <c r="F251" s="29"/>
      <c r="G251" s="29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2:42" ht="15.75" customHeight="1" x14ac:dyDescent="0.2">
      <c r="B252" s="2"/>
      <c r="C252" s="29"/>
      <c r="D252" s="29"/>
      <c r="E252" s="266"/>
      <c r="F252" s="29"/>
      <c r="G252" s="29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2:42" ht="15.75" customHeight="1" x14ac:dyDescent="0.2">
      <c r="B253" s="2"/>
      <c r="C253" s="29"/>
      <c r="D253" s="29"/>
      <c r="E253" s="266"/>
      <c r="F253" s="29"/>
      <c r="G253" s="29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2:42" ht="15.75" customHeight="1" x14ac:dyDescent="0.2">
      <c r="B254" s="2"/>
      <c r="C254" s="29"/>
      <c r="D254" s="29"/>
      <c r="E254" s="266"/>
      <c r="F254" s="29"/>
      <c r="G254" s="29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2:42" ht="15.75" customHeight="1" x14ac:dyDescent="0.2">
      <c r="B255" s="2"/>
      <c r="C255" s="29"/>
      <c r="D255" s="29"/>
      <c r="E255" s="266"/>
      <c r="F255" s="29"/>
      <c r="G255" s="29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2:42" ht="15.75" customHeight="1" x14ac:dyDescent="0.2">
      <c r="B256" s="2"/>
      <c r="C256" s="29"/>
      <c r="D256" s="29"/>
      <c r="E256" s="266"/>
      <c r="F256" s="29"/>
      <c r="G256" s="29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2:42" ht="15.75" customHeight="1" x14ac:dyDescent="0.2">
      <c r="B257" s="2"/>
      <c r="C257" s="29"/>
      <c r="D257" s="29"/>
      <c r="E257" s="266"/>
      <c r="F257" s="29"/>
      <c r="G257" s="29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2:42" ht="15.75" customHeight="1" x14ac:dyDescent="0.2">
      <c r="B258" s="2"/>
      <c r="C258" s="29"/>
      <c r="D258" s="29"/>
      <c r="E258" s="266"/>
      <c r="F258" s="29"/>
      <c r="G258" s="29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2:42" ht="15.75" customHeight="1" x14ac:dyDescent="0.2">
      <c r="B259" s="2"/>
      <c r="C259" s="29"/>
      <c r="D259" s="29"/>
      <c r="E259" s="266"/>
      <c r="F259" s="29"/>
      <c r="G259" s="29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2:42" ht="15.75" customHeight="1" x14ac:dyDescent="0.2">
      <c r="B260" s="2"/>
      <c r="C260" s="29"/>
      <c r="D260" s="29"/>
      <c r="E260" s="266"/>
      <c r="F260" s="29"/>
      <c r="G260" s="29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2:42" ht="15.75" customHeight="1" x14ac:dyDescent="0.2">
      <c r="B261" s="2"/>
      <c r="C261" s="29"/>
      <c r="D261" s="29"/>
      <c r="E261" s="266"/>
      <c r="F261" s="29"/>
      <c r="G261" s="29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2:42" ht="15.75" customHeight="1" x14ac:dyDescent="0.2">
      <c r="B262" s="2"/>
      <c r="C262" s="29"/>
      <c r="D262" s="29"/>
      <c r="E262" s="266"/>
      <c r="F262" s="29"/>
      <c r="G262" s="29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2:42" ht="15.75" customHeight="1" x14ac:dyDescent="0.2">
      <c r="B263" s="2"/>
      <c r="C263" s="29"/>
      <c r="D263" s="29"/>
      <c r="E263" s="266"/>
      <c r="F263" s="29"/>
      <c r="G263" s="29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2:42" ht="15.75" customHeight="1" x14ac:dyDescent="0.2">
      <c r="B264" s="2"/>
      <c r="C264" s="29"/>
      <c r="D264" s="29"/>
      <c r="E264" s="266"/>
      <c r="F264" s="29"/>
      <c r="G264" s="29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2:42" ht="15.75" customHeight="1" x14ac:dyDescent="0.2">
      <c r="B265" s="2"/>
      <c r="C265" s="29"/>
      <c r="D265" s="29"/>
      <c r="E265" s="266"/>
      <c r="F265" s="29"/>
      <c r="G265" s="29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2:42" ht="15.75" customHeight="1" x14ac:dyDescent="0.2">
      <c r="B266" s="2"/>
      <c r="C266" s="29"/>
      <c r="D266" s="29"/>
      <c r="E266" s="266"/>
      <c r="F266" s="29"/>
      <c r="G266" s="29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2:42" ht="15.75" customHeight="1" x14ac:dyDescent="0.2">
      <c r="B267" s="2"/>
      <c r="C267" s="29"/>
      <c r="D267" s="29"/>
      <c r="E267" s="266"/>
      <c r="F267" s="29"/>
      <c r="G267" s="29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2:42" ht="15.75" customHeight="1" x14ac:dyDescent="0.2">
      <c r="B268" s="2"/>
      <c r="C268" s="29"/>
      <c r="D268" s="29"/>
      <c r="E268" s="266"/>
      <c r="F268" s="29"/>
      <c r="G268" s="29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2:42" ht="15.75" customHeight="1" x14ac:dyDescent="0.2">
      <c r="B269" s="2"/>
      <c r="C269" s="29"/>
      <c r="D269" s="29"/>
      <c r="E269" s="266"/>
      <c r="F269" s="29"/>
      <c r="G269" s="29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2:42" ht="15.75" customHeight="1" x14ac:dyDescent="0.2">
      <c r="B270" s="2"/>
      <c r="C270" s="29"/>
      <c r="D270" s="29"/>
      <c r="E270" s="266"/>
      <c r="F270" s="29"/>
      <c r="G270" s="29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2:42" ht="15.75" customHeight="1" x14ac:dyDescent="0.2">
      <c r="B271" s="2"/>
      <c r="C271" s="29"/>
      <c r="D271" s="29"/>
      <c r="E271" s="266"/>
      <c r="F271" s="29"/>
      <c r="G271" s="29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2:42" ht="15.75" customHeight="1" x14ac:dyDescent="0.2">
      <c r="B272" s="2"/>
      <c r="C272" s="29"/>
      <c r="D272" s="29"/>
      <c r="E272" s="266"/>
      <c r="F272" s="29"/>
      <c r="G272" s="29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2:42" ht="15.75" customHeight="1" x14ac:dyDescent="0.2">
      <c r="B273" s="2"/>
      <c r="C273" s="29"/>
      <c r="D273" s="29"/>
      <c r="E273" s="266"/>
      <c r="F273" s="29"/>
      <c r="G273" s="29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2:42" ht="15.75" customHeight="1" x14ac:dyDescent="0.2">
      <c r="B274" s="2"/>
      <c r="C274" s="29"/>
      <c r="D274" s="29"/>
      <c r="E274" s="266"/>
      <c r="F274" s="29"/>
      <c r="G274" s="29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2:42" ht="15.75" customHeight="1" x14ac:dyDescent="0.2">
      <c r="B275" s="2"/>
      <c r="C275" s="29"/>
      <c r="D275" s="29"/>
      <c r="E275" s="266"/>
      <c r="F275" s="29"/>
      <c r="G275" s="29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2:42" ht="15.75" customHeight="1" x14ac:dyDescent="0.2">
      <c r="B276" s="2"/>
      <c r="C276" s="29"/>
      <c r="D276" s="29"/>
      <c r="E276" s="266"/>
      <c r="F276" s="29"/>
      <c r="G276" s="29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2:42" ht="15.75" customHeight="1" x14ac:dyDescent="0.2">
      <c r="B277" s="2"/>
      <c r="C277" s="29"/>
      <c r="D277" s="29"/>
      <c r="E277" s="266"/>
      <c r="F277" s="29"/>
      <c r="G277" s="29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2:42" ht="15.75" customHeight="1" x14ac:dyDescent="0.2">
      <c r="B278" s="2"/>
      <c r="C278" s="29"/>
      <c r="D278" s="29"/>
      <c r="E278" s="266"/>
      <c r="F278" s="29"/>
      <c r="G278" s="29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2:42" ht="15.75" customHeight="1" x14ac:dyDescent="0.2">
      <c r="B279" s="2"/>
      <c r="C279" s="29"/>
      <c r="D279" s="29"/>
      <c r="E279" s="266"/>
      <c r="F279" s="29"/>
      <c r="G279" s="29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2:42" ht="15.75" customHeight="1" x14ac:dyDescent="0.2">
      <c r="B280" s="2"/>
      <c r="C280" s="29"/>
      <c r="D280" s="29"/>
      <c r="E280" s="266"/>
      <c r="F280" s="29"/>
      <c r="G280" s="29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2:42" ht="15.75" customHeight="1" x14ac:dyDescent="0.2">
      <c r="B281" s="2"/>
      <c r="C281" s="29"/>
      <c r="D281" s="29"/>
      <c r="E281" s="266"/>
      <c r="F281" s="29"/>
      <c r="G281" s="29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2:42" ht="15.75" customHeight="1" x14ac:dyDescent="0.2">
      <c r="B282" s="2"/>
      <c r="C282" s="29"/>
      <c r="D282" s="29"/>
      <c r="E282" s="266"/>
      <c r="F282" s="29"/>
      <c r="G282" s="29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2:42" ht="15.75" customHeight="1" x14ac:dyDescent="0.2">
      <c r="B283" s="2"/>
      <c r="C283" s="29"/>
      <c r="D283" s="29"/>
      <c r="E283" s="266"/>
      <c r="F283" s="29"/>
      <c r="G283" s="29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2:42" ht="15.75" customHeight="1" x14ac:dyDescent="0.2">
      <c r="B284" s="2"/>
      <c r="C284" s="29"/>
      <c r="D284" s="29"/>
      <c r="E284" s="266"/>
      <c r="F284" s="29"/>
      <c r="G284" s="29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2:42" ht="15.75" customHeight="1" x14ac:dyDescent="0.2">
      <c r="B285" s="2"/>
      <c r="C285" s="29"/>
      <c r="D285" s="29"/>
      <c r="E285" s="266"/>
      <c r="F285" s="29"/>
      <c r="G285" s="29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2:42" ht="15.75" customHeight="1" x14ac:dyDescent="0.2">
      <c r="B286" s="2"/>
      <c r="C286" s="29"/>
      <c r="D286" s="29"/>
      <c r="E286" s="266"/>
      <c r="F286" s="29"/>
      <c r="G286" s="29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2:42" ht="15.75" customHeight="1" x14ac:dyDescent="0.2">
      <c r="B287" s="2"/>
      <c r="C287" s="29"/>
      <c r="D287" s="29"/>
      <c r="E287" s="266"/>
      <c r="F287" s="29"/>
      <c r="G287" s="29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2:42" ht="15.75" customHeight="1" x14ac:dyDescent="0.2">
      <c r="B288" s="2"/>
      <c r="C288" s="29"/>
      <c r="D288" s="29"/>
      <c r="E288" s="266"/>
      <c r="F288" s="29"/>
      <c r="G288" s="29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2:42" ht="15.75" customHeight="1" x14ac:dyDescent="0.2">
      <c r="B289" s="2"/>
      <c r="C289" s="29"/>
      <c r="D289" s="29"/>
      <c r="E289" s="266"/>
      <c r="F289" s="29"/>
      <c r="G289" s="29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2:42" ht="15.75" customHeight="1" x14ac:dyDescent="0.2">
      <c r="B290" s="2"/>
      <c r="C290" s="29"/>
      <c r="D290" s="29"/>
      <c r="E290" s="266"/>
      <c r="F290" s="29"/>
      <c r="G290" s="29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2:42" ht="15.75" customHeight="1" x14ac:dyDescent="0.2">
      <c r="B291" s="2"/>
      <c r="C291" s="29"/>
      <c r="D291" s="29"/>
      <c r="E291" s="266"/>
      <c r="F291" s="29"/>
      <c r="G291" s="29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2:42" ht="15.75" customHeight="1" x14ac:dyDescent="0.2">
      <c r="B292" s="2"/>
      <c r="C292" s="29"/>
      <c r="D292" s="29"/>
      <c r="E292" s="266"/>
      <c r="F292" s="29"/>
      <c r="G292" s="29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2:42" ht="15.75" customHeight="1" x14ac:dyDescent="0.2">
      <c r="B293" s="2"/>
      <c r="C293" s="29"/>
      <c r="D293" s="29"/>
      <c r="E293" s="266"/>
      <c r="F293" s="29"/>
      <c r="G293" s="29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2:42" ht="15.75" customHeight="1" x14ac:dyDescent="0.2">
      <c r="B294" s="2"/>
      <c r="C294" s="29"/>
      <c r="D294" s="29"/>
      <c r="E294" s="266"/>
      <c r="F294" s="29"/>
      <c r="G294" s="29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2:42" ht="15.75" customHeight="1" x14ac:dyDescent="0.2">
      <c r="B295" s="2"/>
      <c r="C295" s="29"/>
      <c r="D295" s="29"/>
      <c r="E295" s="266"/>
      <c r="F295" s="29"/>
      <c r="G295" s="29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2:42" ht="15.75" customHeight="1" x14ac:dyDescent="0.2">
      <c r="B296" s="2"/>
      <c r="C296" s="29"/>
      <c r="D296" s="29"/>
      <c r="E296" s="266"/>
      <c r="F296" s="29"/>
      <c r="G296" s="29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2:42" ht="15.75" customHeight="1" x14ac:dyDescent="0.2">
      <c r="B297" s="2"/>
      <c r="C297" s="29"/>
      <c r="D297" s="29"/>
      <c r="E297" s="266"/>
      <c r="F297" s="29"/>
      <c r="G297" s="29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2:42" ht="15.75" customHeight="1" x14ac:dyDescent="0.2">
      <c r="B298" s="2"/>
      <c r="C298" s="29"/>
      <c r="D298" s="29"/>
      <c r="E298" s="266"/>
      <c r="F298" s="29"/>
      <c r="G298" s="29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2:42" ht="15.75" customHeight="1" x14ac:dyDescent="0.2">
      <c r="B299" s="2"/>
      <c r="C299" s="29"/>
      <c r="D299" s="29"/>
      <c r="E299" s="266"/>
      <c r="F299" s="29"/>
      <c r="G299" s="29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2:42" ht="15.75" customHeight="1" x14ac:dyDescent="0.2">
      <c r="B300" s="2"/>
      <c r="C300" s="29"/>
      <c r="D300" s="29"/>
      <c r="E300" s="266"/>
      <c r="F300" s="29"/>
      <c r="G300" s="29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2:42" ht="15.75" customHeight="1" x14ac:dyDescent="0.2">
      <c r="B301" s="2"/>
      <c r="C301" s="29"/>
      <c r="D301" s="29"/>
      <c r="E301" s="266"/>
      <c r="F301" s="29"/>
      <c r="G301" s="29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2:42" ht="15.75" customHeight="1" x14ac:dyDescent="0.2">
      <c r="B302" s="2"/>
      <c r="C302" s="29"/>
      <c r="D302" s="29"/>
      <c r="E302" s="266"/>
      <c r="F302" s="29"/>
      <c r="G302" s="29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2:42" ht="15.75" customHeight="1" x14ac:dyDescent="0.2">
      <c r="B303" s="2"/>
      <c r="C303" s="29"/>
      <c r="D303" s="29"/>
      <c r="E303" s="266"/>
      <c r="F303" s="29"/>
      <c r="G303" s="29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2:42" ht="15.75" customHeight="1" x14ac:dyDescent="0.2">
      <c r="B304" s="2"/>
      <c r="C304" s="29"/>
      <c r="D304" s="29"/>
      <c r="E304" s="266"/>
      <c r="F304" s="29"/>
      <c r="G304" s="29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2:42" ht="15.75" customHeight="1" x14ac:dyDescent="0.2">
      <c r="B305" s="2"/>
      <c r="C305" s="29"/>
      <c r="D305" s="29"/>
      <c r="E305" s="266"/>
      <c r="F305" s="29"/>
      <c r="G305" s="29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2:42" ht="15.75" customHeight="1" x14ac:dyDescent="0.2">
      <c r="B306" s="2"/>
      <c r="C306" s="29"/>
      <c r="D306" s="29"/>
      <c r="E306" s="266"/>
      <c r="F306" s="29"/>
      <c r="G306" s="29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2:42" ht="15.75" customHeight="1" x14ac:dyDescent="0.2">
      <c r="B307" s="2"/>
      <c r="C307" s="29"/>
      <c r="D307" s="29"/>
      <c r="E307" s="266"/>
      <c r="F307" s="29"/>
      <c r="G307" s="29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2:42" ht="15.75" customHeight="1" x14ac:dyDescent="0.2">
      <c r="B308" s="2"/>
      <c r="C308" s="29"/>
      <c r="D308" s="29"/>
      <c r="E308" s="266"/>
      <c r="F308" s="29"/>
      <c r="G308" s="29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2:42" ht="15.75" customHeight="1" x14ac:dyDescent="0.2">
      <c r="B309" s="2"/>
      <c r="C309" s="29"/>
      <c r="D309" s="29"/>
      <c r="E309" s="266"/>
      <c r="F309" s="29"/>
      <c r="G309" s="29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2:42" ht="15.75" customHeight="1" x14ac:dyDescent="0.2">
      <c r="B310" s="2"/>
      <c r="C310" s="29"/>
      <c r="D310" s="29"/>
      <c r="E310" s="266"/>
      <c r="F310" s="29"/>
      <c r="G310" s="29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2:42" ht="15.75" customHeight="1" x14ac:dyDescent="0.2">
      <c r="B311" s="2"/>
      <c r="C311" s="29"/>
      <c r="D311" s="29"/>
      <c r="E311" s="266"/>
      <c r="F311" s="29"/>
      <c r="G311" s="29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2:42" ht="15.75" customHeight="1" x14ac:dyDescent="0.2">
      <c r="B312" s="2"/>
      <c r="C312" s="29"/>
      <c r="D312" s="29"/>
      <c r="E312" s="266"/>
      <c r="F312" s="29"/>
      <c r="G312" s="29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2:42" ht="15.75" customHeight="1" x14ac:dyDescent="0.2">
      <c r="B313" s="2"/>
      <c r="C313" s="29"/>
      <c r="D313" s="29"/>
      <c r="E313" s="266"/>
      <c r="F313" s="29"/>
      <c r="G313" s="29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2:42" ht="15.75" customHeight="1" x14ac:dyDescent="0.2">
      <c r="B314" s="2"/>
      <c r="C314" s="29"/>
      <c r="D314" s="29"/>
      <c r="E314" s="266"/>
      <c r="F314" s="29"/>
      <c r="G314" s="29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2:42" ht="15.75" customHeight="1" x14ac:dyDescent="0.2">
      <c r="B315" s="2"/>
      <c r="C315" s="29"/>
      <c r="D315" s="29"/>
      <c r="E315" s="266"/>
      <c r="F315" s="29"/>
      <c r="G315" s="29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2:42" ht="15.75" customHeight="1" x14ac:dyDescent="0.2">
      <c r="B316" s="2"/>
      <c r="C316" s="29"/>
      <c r="D316" s="29"/>
      <c r="E316" s="266"/>
      <c r="F316" s="29"/>
      <c r="G316" s="29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2:42" ht="15.75" customHeight="1" x14ac:dyDescent="0.2">
      <c r="B317" s="2"/>
      <c r="C317" s="29"/>
      <c r="D317" s="29"/>
      <c r="E317" s="266"/>
      <c r="F317" s="29"/>
      <c r="G317" s="29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2:42" ht="15.75" customHeight="1" x14ac:dyDescent="0.2">
      <c r="B318" s="2"/>
      <c r="C318" s="29"/>
      <c r="D318" s="29"/>
      <c r="E318" s="266"/>
      <c r="F318" s="29"/>
      <c r="G318" s="29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2:42" ht="15.75" customHeight="1" x14ac:dyDescent="0.2">
      <c r="B319" s="2"/>
      <c r="C319" s="29"/>
      <c r="D319" s="29"/>
      <c r="E319" s="266"/>
      <c r="F319" s="29"/>
      <c r="G319" s="29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2:42" ht="15.75" customHeight="1" x14ac:dyDescent="0.2">
      <c r="B320" s="2"/>
      <c r="C320" s="29"/>
      <c r="D320" s="29"/>
      <c r="E320" s="266"/>
      <c r="F320" s="29"/>
      <c r="G320" s="29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2:42" ht="15.75" customHeight="1" x14ac:dyDescent="0.2">
      <c r="B321" s="2"/>
      <c r="C321" s="29"/>
      <c r="D321" s="29"/>
      <c r="E321" s="266"/>
      <c r="F321" s="29"/>
      <c r="G321" s="29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2:42" ht="15.75" customHeight="1" x14ac:dyDescent="0.2">
      <c r="B322" s="2"/>
      <c r="C322" s="29"/>
      <c r="D322" s="29"/>
      <c r="E322" s="266"/>
      <c r="F322" s="29"/>
      <c r="G322" s="29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2:42" ht="15.75" customHeight="1" x14ac:dyDescent="0.2">
      <c r="B323" s="2"/>
      <c r="C323" s="29"/>
      <c r="D323" s="29"/>
      <c r="E323" s="266"/>
      <c r="F323" s="29"/>
      <c r="G323" s="29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2:42" ht="15.75" customHeight="1" x14ac:dyDescent="0.2">
      <c r="B324" s="2"/>
      <c r="C324" s="29"/>
      <c r="D324" s="29"/>
      <c r="E324" s="266"/>
      <c r="F324" s="29"/>
      <c r="G324" s="29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2:42" ht="15.75" customHeight="1" x14ac:dyDescent="0.2">
      <c r="B325" s="2"/>
      <c r="C325" s="29"/>
      <c r="D325" s="29"/>
      <c r="E325" s="266"/>
      <c r="F325" s="29"/>
      <c r="G325" s="29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2:42" ht="15.75" customHeight="1" x14ac:dyDescent="0.2">
      <c r="B326" s="2"/>
      <c r="C326" s="29"/>
      <c r="D326" s="29"/>
      <c r="E326" s="266"/>
      <c r="F326" s="29"/>
      <c r="G326" s="29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2:42" ht="15.75" customHeight="1" x14ac:dyDescent="0.2">
      <c r="B327" s="2"/>
      <c r="C327" s="29"/>
      <c r="D327" s="29"/>
      <c r="E327" s="266"/>
      <c r="F327" s="29"/>
      <c r="G327" s="29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2:42" ht="15.75" customHeight="1" x14ac:dyDescent="0.2">
      <c r="B328" s="2"/>
      <c r="C328" s="29"/>
      <c r="D328" s="29"/>
      <c r="E328" s="266"/>
      <c r="F328" s="29"/>
      <c r="G328" s="29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2:42" ht="15.75" customHeight="1" x14ac:dyDescent="0.2">
      <c r="B329" s="2"/>
      <c r="C329" s="29"/>
      <c r="D329" s="29"/>
      <c r="E329" s="266"/>
      <c r="F329" s="29"/>
      <c r="G329" s="29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2:42" ht="15.75" customHeight="1" x14ac:dyDescent="0.2">
      <c r="B330" s="2"/>
      <c r="C330" s="29"/>
      <c r="D330" s="29"/>
      <c r="E330" s="266"/>
      <c r="F330" s="29"/>
      <c r="G330" s="29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2:42" ht="15.75" customHeight="1" x14ac:dyDescent="0.2">
      <c r="B331" s="2"/>
      <c r="C331" s="29"/>
      <c r="D331" s="29"/>
      <c r="E331" s="266"/>
      <c r="F331" s="29"/>
      <c r="G331" s="29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2:42" ht="15.75" customHeight="1" x14ac:dyDescent="0.2">
      <c r="B332" s="2"/>
      <c r="C332" s="29"/>
      <c r="D332" s="29"/>
      <c r="E332" s="266"/>
      <c r="F332" s="29"/>
      <c r="G332" s="29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2:42" ht="15.75" customHeight="1" x14ac:dyDescent="0.2">
      <c r="B333" s="2"/>
      <c r="C333" s="29"/>
      <c r="D333" s="29"/>
      <c r="E333" s="266"/>
      <c r="F333" s="29"/>
      <c r="G333" s="29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2:42" ht="15.75" customHeight="1" x14ac:dyDescent="0.2">
      <c r="B334" s="2"/>
      <c r="C334" s="29"/>
      <c r="D334" s="29"/>
      <c r="E334" s="266"/>
      <c r="F334" s="29"/>
      <c r="G334" s="29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2:42" ht="15.75" customHeight="1" x14ac:dyDescent="0.2">
      <c r="B335" s="2"/>
      <c r="C335" s="29"/>
      <c r="D335" s="29"/>
      <c r="E335" s="266"/>
      <c r="F335" s="29"/>
      <c r="G335" s="29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2:42" ht="15.75" customHeight="1" x14ac:dyDescent="0.2">
      <c r="B336" s="2"/>
      <c r="C336" s="29"/>
      <c r="D336" s="29"/>
      <c r="E336" s="266"/>
      <c r="F336" s="29"/>
      <c r="G336" s="29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2:42" ht="15.75" customHeight="1" x14ac:dyDescent="0.2">
      <c r="B337" s="2"/>
      <c r="C337" s="29"/>
      <c r="D337" s="29"/>
      <c r="E337" s="266"/>
      <c r="F337" s="29"/>
      <c r="G337" s="29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2:42" ht="15.75" customHeight="1" x14ac:dyDescent="0.2">
      <c r="B338" s="2"/>
      <c r="C338" s="29"/>
      <c r="D338" s="29"/>
      <c r="E338" s="266"/>
      <c r="F338" s="29"/>
      <c r="G338" s="29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2:42" ht="15.75" customHeight="1" x14ac:dyDescent="0.2">
      <c r="B339" s="2"/>
      <c r="C339" s="29"/>
      <c r="D339" s="29"/>
      <c r="E339" s="266"/>
      <c r="F339" s="29"/>
      <c r="G339" s="29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2:42" ht="15.75" customHeight="1" x14ac:dyDescent="0.2">
      <c r="B340" s="2"/>
      <c r="C340" s="29"/>
      <c r="D340" s="29"/>
      <c r="E340" s="266"/>
      <c r="F340" s="29"/>
      <c r="G340" s="29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2:42" ht="15.75" customHeight="1" x14ac:dyDescent="0.2">
      <c r="B341" s="2"/>
      <c r="C341" s="29"/>
      <c r="D341" s="29"/>
      <c r="E341" s="266"/>
      <c r="F341" s="29"/>
      <c r="G341" s="29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2:42" ht="15.75" customHeight="1" x14ac:dyDescent="0.2">
      <c r="B342" s="2"/>
      <c r="C342" s="29"/>
      <c r="D342" s="29"/>
      <c r="E342" s="266"/>
      <c r="F342" s="29"/>
      <c r="G342" s="29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2:42" ht="15.75" customHeight="1" x14ac:dyDescent="0.2">
      <c r="B343" s="2"/>
      <c r="C343" s="29"/>
      <c r="D343" s="29"/>
      <c r="E343" s="266"/>
      <c r="F343" s="29"/>
      <c r="G343" s="29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2:42" ht="15.75" customHeight="1" x14ac:dyDescent="0.2">
      <c r="B344" s="2"/>
      <c r="C344" s="29"/>
      <c r="D344" s="29"/>
      <c r="E344" s="266"/>
      <c r="F344" s="29"/>
      <c r="G344" s="29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2:42" ht="15.75" customHeight="1" x14ac:dyDescent="0.2">
      <c r="B345" s="2"/>
      <c r="C345" s="29"/>
      <c r="D345" s="29"/>
      <c r="E345" s="266"/>
      <c r="F345" s="29"/>
      <c r="G345" s="29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2:42" ht="15.75" customHeight="1" x14ac:dyDescent="0.2">
      <c r="B346" s="2"/>
      <c r="C346" s="29"/>
      <c r="D346" s="29"/>
      <c r="E346" s="266"/>
      <c r="F346" s="29"/>
      <c r="G346" s="29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2:42" ht="15.75" customHeight="1" x14ac:dyDescent="0.2">
      <c r="B347" s="2"/>
      <c r="C347" s="29"/>
      <c r="D347" s="29"/>
      <c r="E347" s="266"/>
      <c r="F347" s="29"/>
      <c r="G347" s="29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2:42" ht="15.75" customHeight="1" x14ac:dyDescent="0.2">
      <c r="B348" s="2"/>
      <c r="C348" s="29"/>
      <c r="D348" s="29"/>
      <c r="E348" s="266"/>
      <c r="F348" s="29"/>
      <c r="G348" s="29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2:42" ht="15.75" customHeight="1" x14ac:dyDescent="0.2">
      <c r="B349" s="2"/>
      <c r="C349" s="29"/>
      <c r="D349" s="29"/>
      <c r="E349" s="266"/>
      <c r="F349" s="29"/>
      <c r="G349" s="29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2:42" ht="15.75" customHeight="1" x14ac:dyDescent="0.2">
      <c r="B350" s="2"/>
      <c r="C350" s="29"/>
      <c r="D350" s="29"/>
      <c r="E350" s="266"/>
      <c r="F350" s="29"/>
      <c r="G350" s="29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2:42" ht="15.75" customHeight="1" x14ac:dyDescent="0.2">
      <c r="B351" s="2"/>
      <c r="C351" s="29"/>
      <c r="D351" s="29"/>
      <c r="E351" s="266"/>
      <c r="F351" s="29"/>
      <c r="G351" s="29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2:42" ht="15.75" customHeight="1" x14ac:dyDescent="0.2">
      <c r="B352" s="2"/>
      <c r="C352" s="29"/>
      <c r="D352" s="29"/>
      <c r="E352" s="266"/>
      <c r="F352" s="29"/>
      <c r="G352" s="29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2:42" ht="15.75" customHeight="1" x14ac:dyDescent="0.2">
      <c r="B353" s="2"/>
      <c r="C353" s="29"/>
      <c r="D353" s="29"/>
      <c r="E353" s="266"/>
      <c r="F353" s="29"/>
      <c r="G353" s="29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2:42" ht="15.75" customHeight="1" x14ac:dyDescent="0.2">
      <c r="B354" s="2"/>
      <c r="C354" s="29"/>
      <c r="D354" s="29"/>
      <c r="E354" s="266"/>
      <c r="F354" s="29"/>
      <c r="G354" s="29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2:42" ht="15.75" customHeight="1" x14ac:dyDescent="0.2">
      <c r="B355" s="2"/>
      <c r="C355" s="29"/>
      <c r="D355" s="29"/>
      <c r="E355" s="266"/>
      <c r="F355" s="29"/>
      <c r="G355" s="29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2:42" ht="15.75" customHeight="1" x14ac:dyDescent="0.2">
      <c r="B356" s="2"/>
      <c r="C356" s="29"/>
      <c r="D356" s="29"/>
      <c r="E356" s="266"/>
      <c r="F356" s="29"/>
      <c r="G356" s="29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2:42" ht="15.75" customHeight="1" x14ac:dyDescent="0.2">
      <c r="B357" s="2"/>
      <c r="C357" s="29"/>
      <c r="D357" s="29"/>
      <c r="E357" s="266"/>
      <c r="F357" s="29"/>
      <c r="G357" s="29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2:42" ht="15.75" customHeight="1" x14ac:dyDescent="0.2">
      <c r="B358" s="2"/>
      <c r="C358" s="29"/>
      <c r="D358" s="29"/>
      <c r="E358" s="266"/>
      <c r="F358" s="29"/>
      <c r="G358" s="29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2:42" ht="15.75" customHeight="1" x14ac:dyDescent="0.2">
      <c r="B359" s="2"/>
      <c r="C359" s="29"/>
      <c r="D359" s="29"/>
      <c r="E359" s="266"/>
      <c r="F359" s="29"/>
      <c r="G359" s="29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2:42" ht="15.75" customHeight="1" x14ac:dyDescent="0.2">
      <c r="B360" s="2"/>
      <c r="C360" s="29"/>
      <c r="D360" s="29"/>
      <c r="E360" s="266"/>
      <c r="F360" s="29"/>
      <c r="G360" s="29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2:42" ht="15.75" customHeight="1" x14ac:dyDescent="0.2">
      <c r="B361" s="2"/>
      <c r="C361" s="29"/>
      <c r="D361" s="29"/>
      <c r="E361" s="266"/>
      <c r="F361" s="29"/>
      <c r="G361" s="29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2:42" ht="15.75" customHeight="1" x14ac:dyDescent="0.2">
      <c r="B362" s="2"/>
      <c r="C362" s="29"/>
      <c r="D362" s="29"/>
      <c r="E362" s="266"/>
      <c r="F362" s="29"/>
      <c r="G362" s="29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2:42" ht="15.75" customHeight="1" x14ac:dyDescent="0.2">
      <c r="B363" s="2"/>
      <c r="C363" s="29"/>
      <c r="D363" s="29"/>
      <c r="E363" s="266"/>
      <c r="F363" s="29"/>
      <c r="G363" s="29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2:42" ht="15.75" customHeight="1" x14ac:dyDescent="0.2">
      <c r="B364" s="2"/>
      <c r="C364" s="29"/>
      <c r="D364" s="29"/>
      <c r="E364" s="266"/>
      <c r="F364" s="29"/>
      <c r="G364" s="29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2:42" ht="15.75" customHeight="1" x14ac:dyDescent="0.2">
      <c r="B365" s="2"/>
      <c r="C365" s="29"/>
      <c r="D365" s="29"/>
      <c r="E365" s="266"/>
      <c r="F365" s="29"/>
      <c r="G365" s="29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2:42" ht="15.75" customHeight="1" x14ac:dyDescent="0.2">
      <c r="B366" s="2"/>
      <c r="C366" s="29"/>
      <c r="D366" s="29"/>
      <c r="E366" s="266"/>
      <c r="F366" s="29"/>
      <c r="G366" s="29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2:42" ht="15.75" customHeight="1" x14ac:dyDescent="0.2">
      <c r="B367" s="2"/>
      <c r="C367" s="29"/>
      <c r="D367" s="29"/>
      <c r="E367" s="266"/>
      <c r="F367" s="29"/>
      <c r="G367" s="29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2:42" ht="15.75" customHeight="1" x14ac:dyDescent="0.2">
      <c r="B368" s="2"/>
      <c r="C368" s="29"/>
      <c r="D368" s="29"/>
      <c r="E368" s="266"/>
      <c r="F368" s="29"/>
      <c r="G368" s="29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2:42" ht="15.75" customHeight="1" x14ac:dyDescent="0.2">
      <c r="B369" s="2"/>
      <c r="C369" s="29"/>
      <c r="D369" s="29"/>
      <c r="E369" s="266"/>
      <c r="F369" s="29"/>
      <c r="G369" s="29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2:42" ht="15.75" customHeight="1" x14ac:dyDescent="0.2">
      <c r="B370" s="2"/>
      <c r="C370" s="29"/>
      <c r="D370" s="29"/>
      <c r="E370" s="266"/>
      <c r="F370" s="29"/>
      <c r="G370" s="29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2:42" ht="15.75" customHeight="1" x14ac:dyDescent="0.2">
      <c r="B371" s="2"/>
      <c r="C371" s="29"/>
      <c r="D371" s="29"/>
      <c r="E371" s="266"/>
      <c r="F371" s="29"/>
      <c r="G371" s="29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2:42" ht="15.75" customHeight="1" x14ac:dyDescent="0.2">
      <c r="B372" s="2"/>
      <c r="C372" s="29"/>
      <c r="D372" s="29"/>
      <c r="E372" s="266"/>
      <c r="F372" s="29"/>
      <c r="G372" s="29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2:42" ht="15.75" customHeight="1" x14ac:dyDescent="0.2">
      <c r="B373" s="2"/>
      <c r="C373" s="29"/>
      <c r="D373" s="29"/>
      <c r="E373" s="266"/>
      <c r="F373" s="29"/>
      <c r="G373" s="29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2:42" ht="15.75" customHeight="1" x14ac:dyDescent="0.2">
      <c r="B374" s="2"/>
      <c r="C374" s="29"/>
      <c r="D374" s="29"/>
      <c r="E374" s="266"/>
      <c r="F374" s="29"/>
      <c r="G374" s="29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2:42" ht="15.75" customHeight="1" x14ac:dyDescent="0.2">
      <c r="B375" s="2"/>
      <c r="C375" s="29"/>
      <c r="D375" s="29"/>
      <c r="E375" s="266"/>
      <c r="F375" s="29"/>
      <c r="G375" s="29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2:42" ht="15.75" customHeight="1" x14ac:dyDescent="0.2">
      <c r="B376" s="2"/>
      <c r="C376" s="29"/>
      <c r="D376" s="29"/>
      <c r="E376" s="266"/>
      <c r="F376" s="29"/>
      <c r="G376" s="29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2:42" ht="15.75" customHeight="1" x14ac:dyDescent="0.2">
      <c r="B377" s="2"/>
      <c r="C377" s="29"/>
      <c r="D377" s="29"/>
      <c r="E377" s="266"/>
      <c r="F377" s="29"/>
      <c r="G377" s="29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2:42" ht="15.75" customHeight="1" x14ac:dyDescent="0.2">
      <c r="B378" s="2"/>
      <c r="C378" s="29"/>
      <c r="D378" s="29"/>
      <c r="E378" s="266"/>
      <c r="F378" s="29"/>
      <c r="G378" s="29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2:42" ht="15.75" customHeight="1" x14ac:dyDescent="0.2">
      <c r="B379" s="2"/>
      <c r="C379" s="29"/>
      <c r="D379" s="29"/>
      <c r="E379" s="266"/>
      <c r="F379" s="29"/>
      <c r="G379" s="29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2:42" ht="15.75" customHeight="1" x14ac:dyDescent="0.2">
      <c r="B380" s="2"/>
      <c r="C380" s="29"/>
      <c r="D380" s="29"/>
      <c r="E380" s="266"/>
      <c r="F380" s="29"/>
      <c r="G380" s="29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2:42" ht="15.75" customHeight="1" x14ac:dyDescent="0.2">
      <c r="B381" s="2"/>
      <c r="C381" s="29"/>
      <c r="D381" s="29"/>
      <c r="E381" s="266"/>
      <c r="F381" s="29"/>
      <c r="G381" s="29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2:42" ht="15.75" customHeight="1" x14ac:dyDescent="0.2">
      <c r="B382" s="2"/>
      <c r="C382" s="29"/>
      <c r="D382" s="29"/>
      <c r="E382" s="266"/>
      <c r="F382" s="29"/>
      <c r="G382" s="29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2:42" ht="15.75" customHeight="1" x14ac:dyDescent="0.2">
      <c r="B383" s="2"/>
      <c r="C383" s="29"/>
      <c r="D383" s="29"/>
      <c r="E383" s="266"/>
      <c r="F383" s="29"/>
      <c r="G383" s="29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2:42" ht="15.75" customHeight="1" x14ac:dyDescent="0.2">
      <c r="B384" s="2"/>
      <c r="C384" s="29"/>
      <c r="D384" s="29"/>
      <c r="E384" s="266"/>
      <c r="F384" s="29"/>
      <c r="G384" s="29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2:42" ht="15.75" customHeight="1" x14ac:dyDescent="0.2">
      <c r="B385" s="2"/>
      <c r="C385" s="29"/>
      <c r="D385" s="29"/>
      <c r="E385" s="266"/>
      <c r="F385" s="29"/>
      <c r="G385" s="29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2:42" ht="15.75" customHeight="1" x14ac:dyDescent="0.2">
      <c r="B386" s="2"/>
      <c r="C386" s="29"/>
      <c r="D386" s="29"/>
      <c r="E386" s="266"/>
      <c r="F386" s="29"/>
      <c r="G386" s="29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2:42" ht="15.75" customHeight="1" x14ac:dyDescent="0.2">
      <c r="B387" s="2"/>
      <c r="C387" s="29"/>
      <c r="D387" s="29"/>
      <c r="E387" s="266"/>
      <c r="F387" s="29"/>
      <c r="G387" s="29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2:42" ht="15.75" customHeight="1" x14ac:dyDescent="0.2">
      <c r="B388" s="2"/>
      <c r="C388" s="29"/>
      <c r="D388" s="29"/>
      <c r="E388" s="266"/>
      <c r="F388" s="29"/>
      <c r="G388" s="29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2:42" ht="15.75" customHeight="1" x14ac:dyDescent="0.2">
      <c r="B389" s="2"/>
      <c r="C389" s="29"/>
      <c r="D389" s="29"/>
      <c r="E389" s="266"/>
      <c r="F389" s="29"/>
      <c r="G389" s="29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2:42" ht="15.75" customHeight="1" x14ac:dyDescent="0.2">
      <c r="B390" s="2"/>
      <c r="C390" s="29"/>
      <c r="D390" s="29"/>
      <c r="E390" s="266"/>
      <c r="F390" s="29"/>
      <c r="G390" s="29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2:42" ht="15.75" customHeight="1" x14ac:dyDescent="0.2">
      <c r="B391" s="2"/>
      <c r="C391" s="29"/>
      <c r="D391" s="29"/>
      <c r="E391" s="266"/>
      <c r="F391" s="29"/>
      <c r="G391" s="29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2:42" ht="15.75" customHeight="1" x14ac:dyDescent="0.2">
      <c r="B392" s="2"/>
      <c r="C392" s="29"/>
      <c r="D392" s="29"/>
      <c r="E392" s="266"/>
      <c r="F392" s="29"/>
      <c r="G392" s="29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2:42" ht="15.75" customHeight="1" x14ac:dyDescent="0.2">
      <c r="B393" s="2"/>
      <c r="C393" s="29"/>
      <c r="D393" s="29"/>
      <c r="E393" s="266"/>
      <c r="F393" s="29"/>
      <c r="G393" s="29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2:42" ht="15.75" customHeight="1" x14ac:dyDescent="0.2">
      <c r="B394" s="2"/>
      <c r="C394" s="29"/>
      <c r="D394" s="29"/>
      <c r="E394" s="266"/>
      <c r="F394" s="29"/>
      <c r="G394" s="29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2:42" ht="15.75" customHeight="1" x14ac:dyDescent="0.2">
      <c r="B395" s="2"/>
      <c r="C395" s="29"/>
      <c r="D395" s="29"/>
      <c r="E395" s="266"/>
      <c r="F395" s="29"/>
      <c r="G395" s="29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2:42" ht="15.75" customHeight="1" x14ac:dyDescent="0.2">
      <c r="B396" s="2"/>
      <c r="C396" s="29"/>
      <c r="D396" s="29"/>
      <c r="E396" s="266"/>
      <c r="F396" s="29"/>
      <c r="G396" s="29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2:42" ht="15.75" customHeight="1" x14ac:dyDescent="0.2">
      <c r="B397" s="2"/>
      <c r="C397" s="29"/>
      <c r="D397" s="29"/>
      <c r="E397" s="266"/>
      <c r="F397" s="29"/>
      <c r="G397" s="29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2:42" ht="15.75" customHeight="1" x14ac:dyDescent="0.2">
      <c r="B398" s="2"/>
      <c r="C398" s="29"/>
      <c r="D398" s="29"/>
      <c r="E398" s="266"/>
      <c r="F398" s="29"/>
      <c r="G398" s="29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2:42" ht="15.75" customHeight="1" x14ac:dyDescent="0.2">
      <c r="B399" s="2"/>
      <c r="C399" s="29"/>
      <c r="D399" s="29"/>
      <c r="E399" s="266"/>
      <c r="F399" s="29"/>
      <c r="G399" s="29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2:42" ht="15.75" customHeight="1" x14ac:dyDescent="0.2">
      <c r="B400" s="2"/>
      <c r="C400" s="29"/>
      <c r="D400" s="29"/>
      <c r="E400" s="266"/>
      <c r="F400" s="29"/>
      <c r="G400" s="29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2:42" ht="15.75" customHeight="1" x14ac:dyDescent="0.2">
      <c r="B401" s="2"/>
      <c r="C401" s="29"/>
      <c r="D401" s="29"/>
      <c r="E401" s="266"/>
      <c r="F401" s="29"/>
      <c r="G401" s="29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2:42" ht="15.75" customHeight="1" x14ac:dyDescent="0.2">
      <c r="B402" s="2"/>
      <c r="C402" s="29"/>
      <c r="D402" s="29"/>
      <c r="E402" s="266"/>
      <c r="F402" s="29"/>
      <c r="G402" s="29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2:42" ht="15.75" customHeight="1" x14ac:dyDescent="0.2">
      <c r="B403" s="2"/>
      <c r="C403" s="29"/>
      <c r="D403" s="29"/>
      <c r="E403" s="266"/>
      <c r="F403" s="29"/>
      <c r="G403" s="29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2:42" ht="15.75" customHeight="1" x14ac:dyDescent="0.2">
      <c r="B404" s="2"/>
      <c r="C404" s="29"/>
      <c r="D404" s="29"/>
      <c r="E404" s="266"/>
      <c r="F404" s="29"/>
      <c r="G404" s="29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2:42" ht="15.75" customHeight="1" x14ac:dyDescent="0.2">
      <c r="B405" s="2"/>
      <c r="C405" s="29"/>
      <c r="D405" s="29"/>
      <c r="E405" s="266"/>
      <c r="F405" s="29"/>
      <c r="G405" s="29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2:42" ht="15.75" customHeight="1" x14ac:dyDescent="0.2">
      <c r="B406" s="2"/>
      <c r="C406" s="29"/>
      <c r="D406" s="29"/>
      <c r="E406" s="266"/>
      <c r="F406" s="29"/>
      <c r="G406" s="29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2:42" ht="15.75" customHeight="1" x14ac:dyDescent="0.2">
      <c r="B407" s="2"/>
      <c r="C407" s="29"/>
      <c r="D407" s="29"/>
      <c r="E407" s="266"/>
      <c r="F407" s="29"/>
      <c r="G407" s="29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2:42" ht="15.75" customHeight="1" x14ac:dyDescent="0.2">
      <c r="B408" s="2"/>
      <c r="C408" s="29"/>
      <c r="D408" s="29"/>
      <c r="E408" s="266"/>
      <c r="F408" s="29"/>
      <c r="G408" s="29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2:42" ht="15.75" customHeight="1" x14ac:dyDescent="0.2">
      <c r="B409" s="2"/>
      <c r="C409" s="29"/>
      <c r="D409" s="29"/>
      <c r="E409" s="266"/>
      <c r="F409" s="29"/>
      <c r="G409" s="29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2:42" ht="15.75" customHeight="1" x14ac:dyDescent="0.2">
      <c r="B410" s="2"/>
      <c r="C410" s="29"/>
      <c r="D410" s="29"/>
      <c r="E410" s="266"/>
      <c r="F410" s="29"/>
      <c r="G410" s="29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2:42" ht="15.75" customHeight="1" x14ac:dyDescent="0.2">
      <c r="B411" s="2"/>
      <c r="C411" s="29"/>
      <c r="D411" s="29"/>
      <c r="E411" s="266"/>
      <c r="F411" s="29"/>
      <c r="G411" s="29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2:42" ht="15.75" customHeight="1" x14ac:dyDescent="0.2">
      <c r="B412" s="2"/>
      <c r="C412" s="29"/>
      <c r="D412" s="29"/>
      <c r="E412" s="266"/>
      <c r="F412" s="29"/>
      <c r="G412" s="29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2:42" ht="15.75" customHeight="1" x14ac:dyDescent="0.2">
      <c r="B413" s="2"/>
      <c r="C413" s="29"/>
      <c r="D413" s="29"/>
      <c r="E413" s="266"/>
      <c r="F413" s="29"/>
      <c r="G413" s="29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2:42" ht="15.75" customHeight="1" x14ac:dyDescent="0.2">
      <c r="B414" s="2"/>
      <c r="C414" s="29"/>
      <c r="D414" s="29"/>
      <c r="E414" s="266"/>
      <c r="F414" s="29"/>
      <c r="G414" s="29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2:42" ht="15.75" customHeight="1" x14ac:dyDescent="0.2">
      <c r="B415" s="2"/>
      <c r="C415" s="29"/>
      <c r="D415" s="29"/>
      <c r="E415" s="266"/>
      <c r="F415" s="29"/>
      <c r="G415" s="29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2:42" ht="15.75" customHeight="1" x14ac:dyDescent="0.2">
      <c r="B416" s="2"/>
      <c r="C416" s="29"/>
      <c r="D416" s="29"/>
      <c r="E416" s="266"/>
      <c r="F416" s="29"/>
      <c r="G416" s="29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2:42" ht="15.75" customHeight="1" x14ac:dyDescent="0.2">
      <c r="B417" s="2"/>
      <c r="C417" s="29"/>
      <c r="D417" s="29"/>
      <c r="E417" s="266"/>
      <c r="F417" s="29"/>
      <c r="G417" s="29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2:42" ht="15.75" customHeight="1" x14ac:dyDescent="0.2">
      <c r="B418" s="2"/>
      <c r="C418" s="29"/>
      <c r="D418" s="29"/>
      <c r="E418" s="266"/>
      <c r="F418" s="29"/>
      <c r="G418" s="29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2:42" ht="15.75" customHeight="1" x14ac:dyDescent="0.2">
      <c r="B419" s="2"/>
      <c r="C419" s="29"/>
      <c r="D419" s="29"/>
      <c r="E419" s="266"/>
      <c r="F419" s="29"/>
      <c r="G419" s="29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2:42" ht="15.75" customHeight="1" x14ac:dyDescent="0.2">
      <c r="B420" s="2"/>
      <c r="C420" s="29"/>
      <c r="D420" s="29"/>
      <c r="E420" s="266"/>
      <c r="F420" s="29"/>
      <c r="G420" s="29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2:42" ht="15.75" customHeight="1" x14ac:dyDescent="0.2">
      <c r="B421" s="2"/>
      <c r="C421" s="29"/>
      <c r="D421" s="29"/>
      <c r="E421" s="266"/>
      <c r="F421" s="29"/>
      <c r="G421" s="29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2:42" ht="15.75" customHeight="1" x14ac:dyDescent="0.2">
      <c r="B422" s="2"/>
      <c r="C422" s="29"/>
      <c r="D422" s="29"/>
      <c r="E422" s="266"/>
      <c r="F422" s="29"/>
      <c r="G422" s="29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2:42" ht="15.75" customHeight="1" x14ac:dyDescent="0.2">
      <c r="B423" s="2"/>
      <c r="C423" s="29"/>
      <c r="D423" s="29"/>
      <c r="E423" s="266"/>
      <c r="F423" s="29"/>
      <c r="G423" s="29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2:42" ht="15.75" customHeight="1" x14ac:dyDescent="0.2">
      <c r="B424" s="2"/>
      <c r="C424" s="29"/>
      <c r="D424" s="29"/>
      <c r="E424" s="266"/>
      <c r="F424" s="29"/>
      <c r="G424" s="29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2:42" ht="15.75" customHeight="1" x14ac:dyDescent="0.2">
      <c r="B425" s="2"/>
      <c r="C425" s="29"/>
      <c r="D425" s="29"/>
      <c r="E425" s="266"/>
      <c r="F425" s="29"/>
      <c r="G425" s="29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2:42" ht="15.75" customHeight="1" x14ac:dyDescent="0.2">
      <c r="B426" s="2"/>
      <c r="C426" s="29"/>
      <c r="D426" s="29"/>
      <c r="E426" s="266"/>
      <c r="F426" s="29"/>
      <c r="G426" s="29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2:42" ht="15.75" customHeight="1" x14ac:dyDescent="0.2">
      <c r="B427" s="2"/>
      <c r="C427" s="29"/>
      <c r="D427" s="29"/>
      <c r="E427" s="266"/>
      <c r="F427" s="29"/>
      <c r="G427" s="29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2:42" ht="15.75" customHeight="1" x14ac:dyDescent="0.2">
      <c r="B428" s="2"/>
      <c r="C428" s="29"/>
      <c r="D428" s="29"/>
      <c r="E428" s="266"/>
      <c r="F428" s="29"/>
      <c r="G428" s="29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2:42" ht="15.75" customHeight="1" x14ac:dyDescent="0.2">
      <c r="B429" s="2"/>
      <c r="C429" s="29"/>
      <c r="D429" s="29"/>
      <c r="E429" s="266"/>
      <c r="F429" s="29"/>
      <c r="G429" s="29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2:42" ht="15.75" customHeight="1" x14ac:dyDescent="0.2">
      <c r="B430" s="2"/>
      <c r="C430" s="29"/>
      <c r="D430" s="29"/>
      <c r="E430" s="266"/>
      <c r="F430" s="29"/>
      <c r="G430" s="29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2:42" ht="15.75" customHeight="1" x14ac:dyDescent="0.2">
      <c r="B431" s="2"/>
      <c r="C431" s="29"/>
      <c r="D431" s="29"/>
      <c r="E431" s="266"/>
      <c r="F431" s="29"/>
      <c r="G431" s="29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2:42" ht="15.75" customHeight="1" x14ac:dyDescent="0.2">
      <c r="B432" s="2"/>
      <c r="C432" s="29"/>
      <c r="D432" s="29"/>
      <c r="E432" s="266"/>
      <c r="F432" s="29"/>
      <c r="G432" s="29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2:42" ht="15.75" customHeight="1" x14ac:dyDescent="0.2">
      <c r="B433" s="2"/>
      <c r="C433" s="29"/>
      <c r="D433" s="29"/>
      <c r="E433" s="266"/>
      <c r="F433" s="29"/>
      <c r="G433" s="29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2:42" ht="15.75" customHeight="1" x14ac:dyDescent="0.2">
      <c r="B434" s="2"/>
      <c r="C434" s="29"/>
      <c r="D434" s="29"/>
      <c r="E434" s="266"/>
      <c r="F434" s="29"/>
      <c r="G434" s="29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2:42" ht="15.75" customHeight="1" x14ac:dyDescent="0.2">
      <c r="B435" s="2"/>
      <c r="C435" s="29"/>
      <c r="D435" s="29"/>
      <c r="E435" s="266"/>
      <c r="F435" s="29"/>
      <c r="G435" s="29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2:42" ht="15.75" customHeight="1" x14ac:dyDescent="0.2">
      <c r="B436" s="2"/>
      <c r="C436" s="29"/>
      <c r="D436" s="29"/>
      <c r="E436" s="266"/>
      <c r="F436" s="29"/>
      <c r="G436" s="29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2:42" ht="15.75" customHeight="1" x14ac:dyDescent="0.2">
      <c r="B437" s="2"/>
      <c r="C437" s="29"/>
      <c r="D437" s="29"/>
      <c r="E437" s="266"/>
      <c r="F437" s="29"/>
      <c r="G437" s="29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2:42" ht="15.75" customHeight="1" x14ac:dyDescent="0.2">
      <c r="B438" s="2"/>
      <c r="C438" s="29"/>
      <c r="D438" s="29"/>
      <c r="E438" s="266"/>
      <c r="F438" s="29"/>
      <c r="G438" s="29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2:42" ht="15.75" customHeight="1" x14ac:dyDescent="0.2">
      <c r="B439" s="2"/>
      <c r="C439" s="29"/>
      <c r="D439" s="29"/>
      <c r="E439" s="266"/>
      <c r="F439" s="29"/>
      <c r="G439" s="29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2:42" ht="15.75" customHeight="1" x14ac:dyDescent="0.2">
      <c r="B440" s="2"/>
      <c r="C440" s="29"/>
      <c r="D440" s="29"/>
      <c r="E440" s="266"/>
      <c r="F440" s="29"/>
      <c r="G440" s="29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2:42" ht="15.75" customHeight="1" x14ac:dyDescent="0.2">
      <c r="B441" s="2"/>
      <c r="C441" s="29"/>
      <c r="D441" s="29"/>
      <c r="E441" s="266"/>
      <c r="F441" s="29"/>
      <c r="G441" s="29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2:42" ht="15.75" customHeight="1" x14ac:dyDescent="0.2">
      <c r="B442" s="2"/>
      <c r="C442" s="29"/>
      <c r="D442" s="29"/>
      <c r="E442" s="266"/>
      <c r="F442" s="29"/>
      <c r="G442" s="29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2:42" ht="15.75" customHeight="1" x14ac:dyDescent="0.2">
      <c r="B443" s="2"/>
      <c r="C443" s="29"/>
      <c r="D443" s="29"/>
      <c r="E443" s="266"/>
      <c r="F443" s="29"/>
      <c r="G443" s="29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2:42" ht="15.75" customHeight="1" x14ac:dyDescent="0.2">
      <c r="B444" s="2"/>
      <c r="C444" s="29"/>
      <c r="D444" s="29"/>
      <c r="E444" s="266"/>
      <c r="F444" s="29"/>
      <c r="G444" s="29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2:42" ht="15.75" customHeight="1" x14ac:dyDescent="0.2">
      <c r="B445" s="2"/>
      <c r="C445" s="29"/>
      <c r="D445" s="29"/>
      <c r="E445" s="266"/>
      <c r="F445" s="29"/>
      <c r="G445" s="29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2:42" ht="15.75" customHeight="1" x14ac:dyDescent="0.2">
      <c r="B446" s="2"/>
      <c r="C446" s="29"/>
      <c r="D446" s="29"/>
      <c r="E446" s="266"/>
      <c r="F446" s="29"/>
      <c r="G446" s="29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2:42" ht="15.75" customHeight="1" x14ac:dyDescent="0.2">
      <c r="B447" s="2"/>
      <c r="C447" s="29"/>
      <c r="D447" s="29"/>
      <c r="E447" s="266"/>
      <c r="F447" s="29"/>
      <c r="G447" s="29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2:42" ht="15.75" customHeight="1" x14ac:dyDescent="0.2">
      <c r="B448" s="2"/>
      <c r="C448" s="29"/>
      <c r="D448" s="29"/>
      <c r="E448" s="266"/>
      <c r="F448" s="29"/>
      <c r="G448" s="29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2:42" ht="15.75" customHeight="1" x14ac:dyDescent="0.2">
      <c r="B449" s="2"/>
      <c r="C449" s="29"/>
      <c r="D449" s="29"/>
      <c r="E449" s="266"/>
      <c r="F449" s="29"/>
      <c r="G449" s="29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2:42" ht="15.75" customHeight="1" x14ac:dyDescent="0.2">
      <c r="B450" s="2"/>
      <c r="C450" s="29"/>
      <c r="D450" s="29"/>
      <c r="E450" s="266"/>
      <c r="F450" s="29"/>
      <c r="G450" s="29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2:42" ht="15.75" customHeight="1" x14ac:dyDescent="0.2">
      <c r="B451" s="2"/>
      <c r="C451" s="29"/>
      <c r="D451" s="29"/>
      <c r="E451" s="266"/>
      <c r="F451" s="29"/>
      <c r="G451" s="29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2:42" ht="15.75" customHeight="1" x14ac:dyDescent="0.2">
      <c r="B452" s="2"/>
      <c r="C452" s="29"/>
      <c r="D452" s="29"/>
      <c r="E452" s="266"/>
      <c r="F452" s="29"/>
      <c r="G452" s="29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2:42" ht="15.75" customHeight="1" x14ac:dyDescent="0.2">
      <c r="B453" s="2"/>
      <c r="C453" s="29"/>
      <c r="D453" s="29"/>
      <c r="E453" s="266"/>
      <c r="F453" s="29"/>
      <c r="G453" s="29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2:42" ht="15.75" customHeight="1" x14ac:dyDescent="0.2">
      <c r="B454" s="2"/>
      <c r="C454" s="29"/>
      <c r="D454" s="29"/>
      <c r="E454" s="266"/>
      <c r="F454" s="29"/>
      <c r="G454" s="29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2:42" ht="15.75" customHeight="1" x14ac:dyDescent="0.2">
      <c r="B455" s="2"/>
      <c r="C455" s="29"/>
      <c r="D455" s="29"/>
      <c r="E455" s="266"/>
      <c r="F455" s="29"/>
      <c r="G455" s="29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2:42" ht="15.75" customHeight="1" x14ac:dyDescent="0.2">
      <c r="B456" s="2"/>
      <c r="C456" s="29"/>
      <c r="D456" s="29"/>
      <c r="E456" s="266"/>
      <c r="F456" s="29"/>
      <c r="G456" s="29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2:42" ht="15.75" customHeight="1" x14ac:dyDescent="0.2">
      <c r="B457" s="2"/>
      <c r="C457" s="29"/>
      <c r="D457" s="29"/>
      <c r="E457" s="266"/>
      <c r="F457" s="29"/>
      <c r="G457" s="29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2:42" ht="15.75" customHeight="1" x14ac:dyDescent="0.2">
      <c r="B458" s="2"/>
      <c r="C458" s="29"/>
      <c r="D458" s="29"/>
      <c r="E458" s="266"/>
      <c r="F458" s="29"/>
      <c r="G458" s="29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2:42" ht="15.75" customHeight="1" x14ac:dyDescent="0.2">
      <c r="B459" s="2"/>
      <c r="C459" s="29"/>
      <c r="D459" s="29"/>
      <c r="E459" s="266"/>
      <c r="F459" s="29"/>
      <c r="G459" s="29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2:42" ht="15.75" customHeight="1" x14ac:dyDescent="0.2">
      <c r="B460" s="2"/>
      <c r="C460" s="29"/>
      <c r="D460" s="29"/>
      <c r="E460" s="266"/>
      <c r="F460" s="29"/>
      <c r="G460" s="29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2:42" ht="15.75" customHeight="1" x14ac:dyDescent="0.2">
      <c r="B461" s="2"/>
      <c r="C461" s="29"/>
      <c r="D461" s="29"/>
      <c r="E461" s="266"/>
      <c r="F461" s="29"/>
      <c r="G461" s="29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2:42" ht="15.75" customHeight="1" x14ac:dyDescent="0.2">
      <c r="B462" s="2"/>
      <c r="C462" s="29"/>
      <c r="D462" s="29"/>
      <c r="E462" s="266"/>
      <c r="F462" s="29"/>
      <c r="G462" s="29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2:42" ht="15.75" customHeight="1" x14ac:dyDescent="0.2">
      <c r="B463" s="2"/>
      <c r="C463" s="29"/>
      <c r="D463" s="29"/>
      <c r="E463" s="266"/>
      <c r="F463" s="29"/>
      <c r="G463" s="29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2:42" ht="15.75" customHeight="1" x14ac:dyDescent="0.2">
      <c r="B464" s="2"/>
      <c r="C464" s="29"/>
      <c r="D464" s="29"/>
      <c r="E464" s="266"/>
      <c r="F464" s="29"/>
      <c r="G464" s="29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2:42" ht="15.75" customHeight="1" x14ac:dyDescent="0.2">
      <c r="B465" s="2"/>
      <c r="C465" s="29"/>
      <c r="D465" s="29"/>
      <c r="E465" s="266"/>
      <c r="F465" s="29"/>
      <c r="G465" s="29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2:42" ht="15.75" customHeight="1" x14ac:dyDescent="0.2">
      <c r="B466" s="2"/>
      <c r="C466" s="29"/>
      <c r="D466" s="29"/>
      <c r="E466" s="266"/>
      <c r="F466" s="29"/>
      <c r="G466" s="29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2:42" ht="15.75" customHeight="1" x14ac:dyDescent="0.2">
      <c r="B467" s="2"/>
      <c r="C467" s="29"/>
      <c r="D467" s="29"/>
      <c r="E467" s="266"/>
      <c r="F467" s="29"/>
      <c r="G467" s="29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2:42" ht="15.75" customHeight="1" x14ac:dyDescent="0.2">
      <c r="B468" s="2"/>
      <c r="C468" s="29"/>
      <c r="D468" s="29"/>
      <c r="E468" s="266"/>
      <c r="F468" s="29"/>
      <c r="G468" s="29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2:42" ht="15.75" customHeight="1" x14ac:dyDescent="0.2">
      <c r="B469" s="2"/>
      <c r="C469" s="29"/>
      <c r="D469" s="29"/>
      <c r="E469" s="266"/>
      <c r="F469" s="29"/>
      <c r="G469" s="29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2:42" ht="15.75" customHeight="1" x14ac:dyDescent="0.2">
      <c r="B470" s="2"/>
      <c r="C470" s="29"/>
      <c r="D470" s="29"/>
      <c r="E470" s="266"/>
      <c r="F470" s="29"/>
      <c r="G470" s="29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2:42" ht="15.75" customHeight="1" x14ac:dyDescent="0.2">
      <c r="B471" s="2"/>
      <c r="C471" s="29"/>
      <c r="D471" s="29"/>
      <c r="E471" s="266"/>
      <c r="F471" s="29"/>
      <c r="G471" s="29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2:42" ht="15.75" customHeight="1" x14ac:dyDescent="0.2">
      <c r="B472" s="2"/>
      <c r="C472" s="29"/>
      <c r="D472" s="29"/>
      <c r="E472" s="266"/>
      <c r="F472" s="29"/>
      <c r="G472" s="29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2:42" ht="15.75" customHeight="1" x14ac:dyDescent="0.2">
      <c r="B473" s="2"/>
      <c r="C473" s="29"/>
      <c r="D473" s="29"/>
      <c r="E473" s="266"/>
      <c r="F473" s="29"/>
      <c r="G473" s="29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2:42" ht="15.75" customHeight="1" x14ac:dyDescent="0.2">
      <c r="B474" s="2"/>
      <c r="C474" s="29"/>
      <c r="D474" s="29"/>
      <c r="E474" s="266"/>
      <c r="F474" s="29"/>
      <c r="G474" s="29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2:42" ht="15.75" customHeight="1" x14ac:dyDescent="0.2">
      <c r="B475" s="2"/>
      <c r="C475" s="29"/>
      <c r="D475" s="29"/>
      <c r="E475" s="266"/>
      <c r="F475" s="29"/>
      <c r="G475" s="29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2:42" ht="15.75" customHeight="1" x14ac:dyDescent="0.2">
      <c r="B476" s="2"/>
      <c r="C476" s="29"/>
      <c r="D476" s="29"/>
      <c r="E476" s="266"/>
      <c r="F476" s="29"/>
      <c r="G476" s="29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2:42" ht="15.75" customHeight="1" x14ac:dyDescent="0.2">
      <c r="B477" s="2"/>
      <c r="C477" s="29"/>
      <c r="D477" s="29"/>
      <c r="E477" s="266"/>
      <c r="F477" s="29"/>
      <c r="G477" s="29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2:42" ht="15.75" customHeight="1" x14ac:dyDescent="0.2">
      <c r="B478" s="2"/>
      <c r="C478" s="29"/>
      <c r="D478" s="29"/>
      <c r="E478" s="266"/>
      <c r="F478" s="29"/>
      <c r="G478" s="29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2:42" ht="15.75" customHeight="1" x14ac:dyDescent="0.2">
      <c r="B479" s="2"/>
      <c r="C479" s="29"/>
      <c r="D479" s="29"/>
      <c r="E479" s="266"/>
      <c r="F479" s="29"/>
      <c r="G479" s="29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2:42" ht="15.75" customHeight="1" x14ac:dyDescent="0.2">
      <c r="B480" s="2"/>
      <c r="C480" s="29"/>
      <c r="D480" s="29"/>
      <c r="E480" s="266"/>
      <c r="F480" s="29"/>
      <c r="G480" s="29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2:42" ht="15.75" customHeight="1" x14ac:dyDescent="0.2">
      <c r="B481" s="2"/>
      <c r="C481" s="29"/>
      <c r="D481" s="29"/>
      <c r="E481" s="266"/>
      <c r="F481" s="29"/>
      <c r="G481" s="29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2:42" ht="15.75" customHeight="1" x14ac:dyDescent="0.2">
      <c r="B482" s="2"/>
      <c r="C482" s="29"/>
      <c r="D482" s="29"/>
      <c r="E482" s="266"/>
      <c r="F482" s="29"/>
      <c r="G482" s="29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2:42" ht="15.75" customHeight="1" x14ac:dyDescent="0.2">
      <c r="B483" s="2"/>
      <c r="C483" s="29"/>
      <c r="D483" s="29"/>
      <c r="E483" s="266"/>
      <c r="F483" s="29"/>
      <c r="G483" s="29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2:42" ht="15.75" customHeight="1" x14ac:dyDescent="0.2">
      <c r="B484" s="2"/>
      <c r="C484" s="29"/>
      <c r="D484" s="29"/>
      <c r="E484" s="266"/>
      <c r="F484" s="29"/>
      <c r="G484" s="29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2:42" ht="15.75" customHeight="1" x14ac:dyDescent="0.2">
      <c r="B485" s="2"/>
      <c r="C485" s="29"/>
      <c r="D485" s="29"/>
      <c r="E485" s="266"/>
      <c r="F485" s="29"/>
      <c r="G485" s="29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2:42" ht="15.75" customHeight="1" x14ac:dyDescent="0.2">
      <c r="B486" s="2"/>
      <c r="C486" s="29"/>
      <c r="D486" s="29"/>
      <c r="E486" s="266"/>
      <c r="F486" s="29"/>
      <c r="G486" s="29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2:42" ht="15.75" customHeight="1" x14ac:dyDescent="0.2">
      <c r="B487" s="2"/>
      <c r="C487" s="29"/>
      <c r="D487" s="29"/>
      <c r="E487" s="266"/>
      <c r="F487" s="29"/>
      <c r="G487" s="29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2:42" ht="15.75" customHeight="1" x14ac:dyDescent="0.2">
      <c r="B488" s="2"/>
      <c r="C488" s="29"/>
      <c r="D488" s="29"/>
      <c r="E488" s="266"/>
      <c r="F488" s="29"/>
      <c r="G488" s="29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2:42" ht="15.75" customHeight="1" x14ac:dyDescent="0.2">
      <c r="B489" s="2"/>
      <c r="C489" s="29"/>
      <c r="D489" s="29"/>
      <c r="E489" s="266"/>
      <c r="F489" s="29"/>
      <c r="G489" s="29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2:42" ht="15.75" customHeight="1" x14ac:dyDescent="0.2">
      <c r="B490" s="2"/>
      <c r="C490" s="29"/>
      <c r="D490" s="29"/>
      <c r="E490" s="266"/>
      <c r="F490" s="29"/>
      <c r="G490" s="29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2:42" ht="15.75" customHeight="1" x14ac:dyDescent="0.2">
      <c r="B491" s="2"/>
      <c r="C491" s="29"/>
      <c r="D491" s="29"/>
      <c r="E491" s="266"/>
      <c r="F491" s="29"/>
      <c r="G491" s="29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2:42" ht="15.75" customHeight="1" x14ac:dyDescent="0.2">
      <c r="B492" s="2"/>
      <c r="C492" s="29"/>
      <c r="D492" s="29"/>
      <c r="E492" s="266"/>
      <c r="F492" s="29"/>
      <c r="G492" s="29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2:42" ht="15.75" customHeight="1" x14ac:dyDescent="0.2">
      <c r="B493" s="2"/>
      <c r="C493" s="29"/>
      <c r="D493" s="29"/>
      <c r="E493" s="266"/>
      <c r="F493" s="29"/>
      <c r="G493" s="29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2:42" ht="15.75" customHeight="1" x14ac:dyDescent="0.2">
      <c r="B494" s="2"/>
      <c r="C494" s="29"/>
      <c r="D494" s="29"/>
      <c r="E494" s="266"/>
      <c r="F494" s="29"/>
      <c r="G494" s="29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2:42" ht="15.75" customHeight="1" x14ac:dyDescent="0.2">
      <c r="B495" s="2"/>
      <c r="C495" s="29"/>
      <c r="D495" s="29"/>
      <c r="E495" s="266"/>
      <c r="F495" s="29"/>
      <c r="G495" s="29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2:42" ht="15.75" customHeight="1" x14ac:dyDescent="0.2">
      <c r="B496" s="2"/>
      <c r="C496" s="29"/>
      <c r="D496" s="29"/>
      <c r="E496" s="266"/>
      <c r="F496" s="29"/>
      <c r="G496" s="29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2:42" ht="15.75" customHeight="1" x14ac:dyDescent="0.2">
      <c r="B497" s="2"/>
      <c r="C497" s="29"/>
      <c r="D497" s="29"/>
      <c r="E497" s="266"/>
      <c r="F497" s="29"/>
      <c r="G497" s="29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2:42" ht="15.75" customHeight="1" x14ac:dyDescent="0.2">
      <c r="B498" s="2"/>
      <c r="C498" s="29"/>
      <c r="D498" s="29"/>
      <c r="E498" s="266"/>
      <c r="F498" s="29"/>
      <c r="G498" s="29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2:42" ht="15.75" customHeight="1" x14ac:dyDescent="0.2">
      <c r="B499" s="2"/>
      <c r="C499" s="29"/>
      <c r="D499" s="29"/>
      <c r="E499" s="266"/>
      <c r="F499" s="29"/>
      <c r="G499" s="29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2:42" ht="15.75" customHeight="1" x14ac:dyDescent="0.2">
      <c r="B500" s="2"/>
      <c r="C500" s="29"/>
      <c r="D500" s="29"/>
      <c r="E500" s="266"/>
      <c r="F500" s="29"/>
      <c r="G500" s="29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2:42" ht="15.75" customHeight="1" x14ac:dyDescent="0.2">
      <c r="B501" s="2"/>
      <c r="C501" s="29"/>
      <c r="D501" s="29"/>
      <c r="E501" s="266"/>
      <c r="F501" s="29"/>
      <c r="G501" s="29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2:42" ht="15.75" customHeight="1" x14ac:dyDescent="0.2">
      <c r="B502" s="2"/>
      <c r="C502" s="29"/>
      <c r="D502" s="29"/>
      <c r="E502" s="266"/>
      <c r="F502" s="29"/>
      <c r="G502" s="29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2:42" ht="15.75" customHeight="1" x14ac:dyDescent="0.2">
      <c r="B503" s="2"/>
      <c r="C503" s="29"/>
      <c r="D503" s="29"/>
      <c r="E503" s="266"/>
      <c r="F503" s="29"/>
      <c r="G503" s="29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2:42" ht="15.75" customHeight="1" x14ac:dyDescent="0.2">
      <c r="B504" s="2"/>
      <c r="C504" s="29"/>
      <c r="D504" s="29"/>
      <c r="E504" s="266"/>
      <c r="F504" s="29"/>
      <c r="G504" s="29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2:42" ht="15.75" customHeight="1" x14ac:dyDescent="0.2">
      <c r="B505" s="2"/>
      <c r="C505" s="29"/>
      <c r="D505" s="29"/>
      <c r="E505" s="266"/>
      <c r="F505" s="29"/>
      <c r="G505" s="29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2:42" ht="15.75" customHeight="1" x14ac:dyDescent="0.2">
      <c r="B506" s="2"/>
      <c r="C506" s="29"/>
      <c r="D506" s="29"/>
      <c r="E506" s="266"/>
      <c r="F506" s="29"/>
      <c r="G506" s="29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2:42" ht="15.75" customHeight="1" x14ac:dyDescent="0.2">
      <c r="B507" s="2"/>
      <c r="C507" s="29"/>
      <c r="D507" s="29"/>
      <c r="E507" s="266"/>
      <c r="F507" s="29"/>
      <c r="G507" s="29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2:42" ht="15.75" customHeight="1" x14ac:dyDescent="0.2">
      <c r="B508" s="2"/>
      <c r="C508" s="29"/>
      <c r="D508" s="29"/>
      <c r="E508" s="266"/>
      <c r="F508" s="29"/>
      <c r="G508" s="29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2:42" ht="15.75" customHeight="1" x14ac:dyDescent="0.2">
      <c r="B509" s="2"/>
      <c r="C509" s="29"/>
      <c r="D509" s="29"/>
      <c r="E509" s="266"/>
      <c r="F509" s="29"/>
      <c r="G509" s="29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2:42" ht="15.75" customHeight="1" x14ac:dyDescent="0.2">
      <c r="B510" s="2"/>
      <c r="C510" s="29"/>
      <c r="D510" s="29"/>
      <c r="E510" s="266"/>
      <c r="F510" s="29"/>
      <c r="G510" s="29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2:42" ht="15.75" customHeight="1" x14ac:dyDescent="0.2">
      <c r="B511" s="2"/>
      <c r="C511" s="29"/>
      <c r="D511" s="29"/>
      <c r="E511" s="266"/>
      <c r="F511" s="29"/>
      <c r="G511" s="29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2:42" ht="15.75" customHeight="1" x14ac:dyDescent="0.2">
      <c r="B512" s="2"/>
      <c r="C512" s="29"/>
      <c r="D512" s="29"/>
      <c r="E512" s="266"/>
      <c r="F512" s="29"/>
      <c r="G512" s="29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2:42" ht="15.75" customHeight="1" x14ac:dyDescent="0.2">
      <c r="B513" s="2"/>
      <c r="C513" s="29"/>
      <c r="D513" s="29"/>
      <c r="E513" s="266"/>
      <c r="F513" s="29"/>
      <c r="G513" s="29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2:42" ht="15.75" customHeight="1" x14ac:dyDescent="0.2">
      <c r="B514" s="2"/>
      <c r="C514" s="29"/>
      <c r="D514" s="29"/>
      <c r="E514" s="266"/>
      <c r="F514" s="29"/>
      <c r="G514" s="29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2:42" ht="15.75" customHeight="1" x14ac:dyDescent="0.2">
      <c r="B515" s="2"/>
      <c r="C515" s="29"/>
      <c r="D515" s="29"/>
      <c r="E515" s="266"/>
      <c r="F515" s="29"/>
      <c r="G515" s="29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2:42" ht="15.75" customHeight="1" x14ac:dyDescent="0.2">
      <c r="B516" s="2"/>
      <c r="C516" s="29"/>
      <c r="D516" s="29"/>
      <c r="E516" s="266"/>
      <c r="F516" s="29"/>
      <c r="G516" s="29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2:42" ht="15.75" customHeight="1" x14ac:dyDescent="0.2">
      <c r="B517" s="2"/>
      <c r="C517" s="29"/>
      <c r="D517" s="29"/>
      <c r="E517" s="266"/>
      <c r="F517" s="29"/>
      <c r="G517" s="29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2:42" ht="15.75" customHeight="1" x14ac:dyDescent="0.2">
      <c r="B518" s="2"/>
      <c r="C518" s="29"/>
      <c r="D518" s="29"/>
      <c r="E518" s="266"/>
      <c r="F518" s="29"/>
      <c r="G518" s="29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2:42" ht="15.75" customHeight="1" x14ac:dyDescent="0.2">
      <c r="B519" s="2"/>
      <c r="C519" s="29"/>
      <c r="D519" s="29"/>
      <c r="E519" s="266"/>
      <c r="F519" s="29"/>
      <c r="G519" s="29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2:42" ht="15.75" customHeight="1" x14ac:dyDescent="0.2">
      <c r="B520" s="2"/>
      <c r="C520" s="29"/>
      <c r="D520" s="29"/>
      <c r="E520" s="266"/>
      <c r="F520" s="29"/>
      <c r="G520" s="29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2:42" ht="15.75" customHeight="1" x14ac:dyDescent="0.2">
      <c r="B521" s="2"/>
      <c r="C521" s="29"/>
      <c r="D521" s="29"/>
      <c r="E521" s="266"/>
      <c r="F521" s="29"/>
      <c r="G521" s="29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2:42" ht="15.75" customHeight="1" x14ac:dyDescent="0.2">
      <c r="B522" s="2"/>
      <c r="C522" s="29"/>
      <c r="D522" s="29"/>
      <c r="E522" s="266"/>
      <c r="F522" s="29"/>
      <c r="G522" s="29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2:42" ht="15.75" customHeight="1" x14ac:dyDescent="0.2">
      <c r="B523" s="2"/>
      <c r="C523" s="29"/>
      <c r="D523" s="29"/>
      <c r="E523" s="266"/>
      <c r="F523" s="29"/>
      <c r="G523" s="29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2:42" ht="15.75" customHeight="1" x14ac:dyDescent="0.2">
      <c r="B524" s="2"/>
      <c r="C524" s="29"/>
      <c r="D524" s="29"/>
      <c r="E524" s="266"/>
      <c r="F524" s="29"/>
      <c r="G524" s="29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2:42" ht="15.75" customHeight="1" x14ac:dyDescent="0.2">
      <c r="B525" s="2"/>
      <c r="C525" s="29"/>
      <c r="D525" s="29"/>
      <c r="E525" s="266"/>
      <c r="F525" s="29"/>
      <c r="G525" s="29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2:42" ht="15.75" customHeight="1" x14ac:dyDescent="0.2">
      <c r="B526" s="2"/>
      <c r="C526" s="29"/>
      <c r="D526" s="29"/>
      <c r="E526" s="266"/>
      <c r="F526" s="29"/>
      <c r="G526" s="29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2:42" ht="15.75" customHeight="1" x14ac:dyDescent="0.2">
      <c r="B527" s="2"/>
      <c r="C527" s="29"/>
      <c r="D527" s="29"/>
      <c r="E527" s="266"/>
      <c r="F527" s="29"/>
      <c r="G527" s="29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2:42" ht="15.75" customHeight="1" x14ac:dyDescent="0.2">
      <c r="B528" s="2"/>
      <c r="C528" s="29"/>
      <c r="D528" s="29"/>
      <c r="E528" s="266"/>
      <c r="F528" s="29"/>
      <c r="G528" s="29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2:42" ht="15.75" customHeight="1" x14ac:dyDescent="0.2">
      <c r="B529" s="2"/>
      <c r="C529" s="29"/>
      <c r="D529" s="29"/>
      <c r="E529" s="266"/>
      <c r="F529" s="29"/>
      <c r="G529" s="29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2:42" ht="15.75" customHeight="1" x14ac:dyDescent="0.2">
      <c r="B530" s="2"/>
      <c r="C530" s="29"/>
      <c r="D530" s="29"/>
      <c r="E530" s="266"/>
      <c r="F530" s="29"/>
      <c r="G530" s="29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2:42" ht="15.75" customHeight="1" x14ac:dyDescent="0.2">
      <c r="B531" s="2"/>
      <c r="C531" s="29"/>
      <c r="D531" s="29"/>
      <c r="E531" s="266"/>
      <c r="F531" s="29"/>
      <c r="G531" s="29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2:42" ht="15.75" customHeight="1" x14ac:dyDescent="0.2">
      <c r="B532" s="2"/>
      <c r="C532" s="29"/>
      <c r="D532" s="29"/>
      <c r="E532" s="266"/>
      <c r="F532" s="29"/>
      <c r="G532" s="29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2:42" ht="15.75" customHeight="1" x14ac:dyDescent="0.2">
      <c r="B533" s="2"/>
      <c r="C533" s="29"/>
      <c r="D533" s="29"/>
      <c r="E533" s="266"/>
      <c r="F533" s="29"/>
      <c r="G533" s="29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2:42" ht="15.75" customHeight="1" x14ac:dyDescent="0.2">
      <c r="B534" s="2"/>
      <c r="C534" s="29"/>
      <c r="D534" s="29"/>
      <c r="E534" s="266"/>
      <c r="F534" s="29"/>
      <c r="G534" s="29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2:42" ht="15.75" customHeight="1" x14ac:dyDescent="0.2">
      <c r="B535" s="2"/>
      <c r="C535" s="29"/>
      <c r="D535" s="29"/>
      <c r="E535" s="266"/>
      <c r="F535" s="29"/>
      <c r="G535" s="29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2:42" ht="15.75" customHeight="1" x14ac:dyDescent="0.2">
      <c r="B536" s="2"/>
      <c r="C536" s="29"/>
      <c r="D536" s="29"/>
      <c r="E536" s="266"/>
      <c r="F536" s="29"/>
      <c r="G536" s="29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2:42" ht="15.75" customHeight="1" x14ac:dyDescent="0.2">
      <c r="B537" s="2"/>
      <c r="C537" s="29"/>
      <c r="D537" s="29"/>
      <c r="E537" s="266"/>
      <c r="F537" s="29"/>
      <c r="G537" s="29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2:42" ht="15.75" customHeight="1" x14ac:dyDescent="0.2">
      <c r="B538" s="2"/>
      <c r="C538" s="29"/>
      <c r="D538" s="29"/>
      <c r="E538" s="266"/>
      <c r="F538" s="29"/>
      <c r="G538" s="29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2:42" ht="15.75" customHeight="1" x14ac:dyDescent="0.2">
      <c r="B539" s="2"/>
      <c r="C539" s="29"/>
      <c r="D539" s="29"/>
      <c r="E539" s="266"/>
      <c r="F539" s="29"/>
      <c r="G539" s="29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2:42" ht="15.75" customHeight="1" x14ac:dyDescent="0.2">
      <c r="B540" s="2"/>
      <c r="C540" s="29"/>
      <c r="D540" s="29"/>
      <c r="E540" s="266"/>
      <c r="F540" s="29"/>
      <c r="G540" s="29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2:42" ht="15.75" customHeight="1" x14ac:dyDescent="0.2">
      <c r="B541" s="2"/>
      <c r="C541" s="29"/>
      <c r="D541" s="29"/>
      <c r="E541" s="266"/>
      <c r="F541" s="29"/>
      <c r="G541" s="29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2:42" ht="15.75" customHeight="1" x14ac:dyDescent="0.2">
      <c r="B542" s="2"/>
      <c r="C542" s="29"/>
      <c r="D542" s="29"/>
      <c r="E542" s="266"/>
      <c r="F542" s="29"/>
      <c r="G542" s="29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2:42" ht="15.75" customHeight="1" x14ac:dyDescent="0.2">
      <c r="B543" s="2"/>
      <c r="C543" s="29"/>
      <c r="D543" s="29"/>
      <c r="E543" s="266"/>
      <c r="F543" s="29"/>
      <c r="G543" s="29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2:42" ht="15.75" customHeight="1" x14ac:dyDescent="0.2">
      <c r="B544" s="2"/>
      <c r="C544" s="29"/>
      <c r="D544" s="29"/>
      <c r="E544" s="266"/>
      <c r="F544" s="29"/>
      <c r="G544" s="29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2:42" ht="15.75" customHeight="1" x14ac:dyDescent="0.2">
      <c r="B545" s="2"/>
      <c r="C545" s="29"/>
      <c r="D545" s="29"/>
      <c r="E545" s="266"/>
      <c r="F545" s="29"/>
      <c r="G545" s="29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2:42" ht="15.75" customHeight="1" x14ac:dyDescent="0.2">
      <c r="B546" s="2"/>
      <c r="C546" s="29"/>
      <c r="D546" s="29"/>
      <c r="E546" s="266"/>
      <c r="F546" s="29"/>
      <c r="G546" s="29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2:42" ht="15.75" customHeight="1" x14ac:dyDescent="0.2">
      <c r="B547" s="2"/>
      <c r="C547" s="29"/>
      <c r="D547" s="29"/>
      <c r="E547" s="266"/>
      <c r="F547" s="29"/>
      <c r="G547" s="29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2:42" ht="15.75" customHeight="1" x14ac:dyDescent="0.2">
      <c r="B548" s="2"/>
      <c r="C548" s="29"/>
      <c r="D548" s="29"/>
      <c r="E548" s="266"/>
      <c r="F548" s="29"/>
      <c r="G548" s="29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2:42" ht="15.75" customHeight="1" x14ac:dyDescent="0.2">
      <c r="B549" s="2"/>
      <c r="C549" s="29"/>
      <c r="D549" s="29"/>
      <c r="E549" s="266"/>
      <c r="F549" s="29"/>
      <c r="G549" s="29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2:42" ht="15.75" customHeight="1" x14ac:dyDescent="0.2">
      <c r="B550" s="2"/>
      <c r="C550" s="29"/>
      <c r="D550" s="29"/>
      <c r="E550" s="266"/>
      <c r="F550" s="29"/>
      <c r="G550" s="29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2:42" ht="15.75" customHeight="1" x14ac:dyDescent="0.2">
      <c r="B551" s="2"/>
      <c r="C551" s="29"/>
      <c r="D551" s="29"/>
      <c r="E551" s="266"/>
      <c r="F551" s="29"/>
      <c r="G551" s="29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2:42" ht="15.75" customHeight="1" x14ac:dyDescent="0.2">
      <c r="B552" s="2"/>
      <c r="C552" s="29"/>
      <c r="D552" s="29"/>
      <c r="E552" s="266"/>
      <c r="F552" s="29"/>
      <c r="G552" s="29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2:42" ht="15.75" customHeight="1" x14ac:dyDescent="0.2">
      <c r="B553" s="2"/>
      <c r="C553" s="29"/>
      <c r="D553" s="29"/>
      <c r="E553" s="266"/>
      <c r="F553" s="29"/>
      <c r="G553" s="29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2:42" ht="15.75" customHeight="1" x14ac:dyDescent="0.2">
      <c r="B554" s="2"/>
      <c r="C554" s="29"/>
      <c r="D554" s="29"/>
      <c r="E554" s="266"/>
      <c r="F554" s="29"/>
      <c r="G554" s="29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2:42" ht="15.75" customHeight="1" x14ac:dyDescent="0.2">
      <c r="B555" s="2"/>
      <c r="C555" s="29"/>
      <c r="D555" s="29"/>
      <c r="E555" s="266"/>
      <c r="F555" s="29"/>
      <c r="G555" s="29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2:42" ht="15.75" customHeight="1" x14ac:dyDescent="0.2">
      <c r="B556" s="2"/>
      <c r="C556" s="29"/>
      <c r="D556" s="29"/>
      <c r="E556" s="266"/>
      <c r="F556" s="29"/>
      <c r="G556" s="29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2:42" ht="15.75" customHeight="1" x14ac:dyDescent="0.2">
      <c r="B557" s="2"/>
      <c r="C557" s="29"/>
      <c r="D557" s="29"/>
      <c r="E557" s="266"/>
      <c r="F557" s="29"/>
      <c r="G557" s="29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2:42" ht="15.75" customHeight="1" x14ac:dyDescent="0.2">
      <c r="B558" s="2"/>
      <c r="C558" s="29"/>
      <c r="D558" s="29"/>
      <c r="E558" s="266"/>
      <c r="F558" s="29"/>
      <c r="G558" s="29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2:42" ht="15.75" customHeight="1" x14ac:dyDescent="0.2">
      <c r="B559" s="2"/>
      <c r="C559" s="29"/>
      <c r="D559" s="29"/>
      <c r="E559" s="266"/>
      <c r="F559" s="29"/>
      <c r="G559" s="29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2:42" ht="15.75" customHeight="1" x14ac:dyDescent="0.2">
      <c r="B560" s="2"/>
      <c r="C560" s="29"/>
      <c r="D560" s="29"/>
      <c r="E560" s="266"/>
      <c r="F560" s="29"/>
      <c r="G560" s="29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2:42" ht="15.75" customHeight="1" x14ac:dyDescent="0.2">
      <c r="B561" s="2"/>
      <c r="C561" s="29"/>
      <c r="D561" s="29"/>
      <c r="E561" s="266"/>
      <c r="F561" s="29"/>
      <c r="G561" s="29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2:42" ht="15.75" customHeight="1" x14ac:dyDescent="0.2">
      <c r="B562" s="2"/>
      <c r="C562" s="29"/>
      <c r="D562" s="29"/>
      <c r="E562" s="266"/>
      <c r="F562" s="29"/>
      <c r="G562" s="29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2:42" ht="15.75" customHeight="1" x14ac:dyDescent="0.2">
      <c r="B563" s="2"/>
      <c r="C563" s="29"/>
      <c r="D563" s="29"/>
      <c r="E563" s="266"/>
      <c r="F563" s="29"/>
      <c r="G563" s="29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2:42" ht="15.75" customHeight="1" x14ac:dyDescent="0.2">
      <c r="B564" s="2"/>
      <c r="C564" s="29"/>
      <c r="D564" s="29"/>
      <c r="E564" s="266"/>
      <c r="F564" s="29"/>
      <c r="G564" s="29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2:42" ht="15.75" customHeight="1" x14ac:dyDescent="0.2">
      <c r="B565" s="2"/>
      <c r="C565" s="29"/>
      <c r="D565" s="29"/>
      <c r="E565" s="266"/>
      <c r="F565" s="29"/>
      <c r="G565" s="29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2:42" ht="15.75" customHeight="1" x14ac:dyDescent="0.2">
      <c r="B566" s="2"/>
      <c r="C566" s="29"/>
      <c r="D566" s="29"/>
      <c r="E566" s="266"/>
      <c r="F566" s="29"/>
      <c r="G566" s="29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2:42" ht="15.75" customHeight="1" x14ac:dyDescent="0.2">
      <c r="B567" s="2"/>
      <c r="C567" s="29"/>
      <c r="D567" s="29"/>
      <c r="E567" s="266"/>
      <c r="F567" s="29"/>
      <c r="G567" s="29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2:42" ht="15.75" customHeight="1" x14ac:dyDescent="0.2">
      <c r="B568" s="2"/>
      <c r="C568" s="29"/>
      <c r="D568" s="29"/>
      <c r="E568" s="266"/>
      <c r="F568" s="29"/>
      <c r="G568" s="29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2:42" ht="15.75" customHeight="1" x14ac:dyDescent="0.2">
      <c r="B569" s="2"/>
      <c r="C569" s="29"/>
      <c r="D569" s="29"/>
      <c r="E569" s="266"/>
      <c r="F569" s="29"/>
      <c r="G569" s="29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2:42" ht="15.75" customHeight="1" x14ac:dyDescent="0.2">
      <c r="B570" s="2"/>
      <c r="C570" s="29"/>
      <c r="D570" s="29"/>
      <c r="E570" s="266"/>
      <c r="F570" s="29"/>
      <c r="G570" s="29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2:42" ht="15.75" customHeight="1" x14ac:dyDescent="0.2">
      <c r="B571" s="2"/>
      <c r="C571" s="29"/>
      <c r="D571" s="29"/>
      <c r="E571" s="266"/>
      <c r="F571" s="29"/>
      <c r="G571" s="29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2:42" ht="15.75" customHeight="1" x14ac:dyDescent="0.2">
      <c r="B572" s="2"/>
      <c r="C572" s="29"/>
      <c r="D572" s="29"/>
      <c r="E572" s="266"/>
      <c r="F572" s="29"/>
      <c r="G572" s="29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2:42" ht="15.75" customHeight="1" x14ac:dyDescent="0.2">
      <c r="B573" s="2"/>
      <c r="C573" s="29"/>
      <c r="D573" s="29"/>
      <c r="E573" s="266"/>
      <c r="F573" s="29"/>
      <c r="G573" s="29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2:42" ht="15.75" customHeight="1" x14ac:dyDescent="0.2">
      <c r="B574" s="2"/>
      <c r="C574" s="29"/>
      <c r="D574" s="29"/>
      <c r="E574" s="266"/>
      <c r="F574" s="29"/>
      <c r="G574" s="29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2:42" ht="15.75" customHeight="1" x14ac:dyDescent="0.2">
      <c r="B575" s="2"/>
      <c r="C575" s="29"/>
      <c r="D575" s="29"/>
      <c r="E575" s="266"/>
      <c r="F575" s="29"/>
      <c r="G575" s="29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2:42" ht="15.75" customHeight="1" x14ac:dyDescent="0.2">
      <c r="B576" s="2"/>
      <c r="C576" s="29"/>
      <c r="D576" s="29"/>
      <c r="E576" s="266"/>
      <c r="F576" s="29"/>
      <c r="G576" s="29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2:42" ht="15.75" customHeight="1" x14ac:dyDescent="0.2">
      <c r="B577" s="2"/>
      <c r="C577" s="29"/>
      <c r="D577" s="29"/>
      <c r="E577" s="266"/>
      <c r="F577" s="29"/>
      <c r="G577" s="29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2:42" ht="15.75" customHeight="1" x14ac:dyDescent="0.2">
      <c r="B578" s="2"/>
      <c r="C578" s="29"/>
      <c r="D578" s="29"/>
      <c r="E578" s="266"/>
      <c r="F578" s="29"/>
      <c r="G578" s="29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2:42" ht="15.75" customHeight="1" x14ac:dyDescent="0.2">
      <c r="B579" s="2"/>
      <c r="C579" s="29"/>
      <c r="D579" s="29"/>
      <c r="E579" s="266"/>
      <c r="F579" s="29"/>
      <c r="G579" s="29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2:42" ht="15.75" customHeight="1" x14ac:dyDescent="0.2">
      <c r="B580" s="2"/>
      <c r="C580" s="29"/>
      <c r="D580" s="29"/>
      <c r="E580" s="266"/>
      <c r="F580" s="29"/>
      <c r="G580" s="29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2:42" ht="15.75" customHeight="1" x14ac:dyDescent="0.2">
      <c r="B581" s="2"/>
      <c r="C581" s="29"/>
      <c r="D581" s="29"/>
      <c r="E581" s="266"/>
      <c r="F581" s="29"/>
      <c r="G581" s="29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2:42" ht="15.75" customHeight="1" x14ac:dyDescent="0.2">
      <c r="B582" s="2"/>
      <c r="C582" s="29"/>
      <c r="D582" s="29"/>
      <c r="E582" s="266"/>
      <c r="F582" s="29"/>
      <c r="G582" s="29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2:42" ht="15.75" customHeight="1" x14ac:dyDescent="0.2">
      <c r="B583" s="2"/>
      <c r="C583" s="29"/>
      <c r="D583" s="29"/>
      <c r="E583" s="266"/>
      <c r="F583" s="29"/>
      <c r="G583" s="29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2:42" ht="15.75" customHeight="1" x14ac:dyDescent="0.2">
      <c r="B584" s="2"/>
      <c r="C584" s="29"/>
      <c r="D584" s="29"/>
      <c r="E584" s="266"/>
      <c r="F584" s="29"/>
      <c r="G584" s="29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2:42" ht="15.75" customHeight="1" x14ac:dyDescent="0.2">
      <c r="B585" s="2"/>
      <c r="C585" s="29"/>
      <c r="D585" s="29"/>
      <c r="E585" s="266"/>
      <c r="F585" s="29"/>
      <c r="G585" s="29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2:42" ht="15.75" customHeight="1" x14ac:dyDescent="0.2">
      <c r="B586" s="2"/>
      <c r="C586" s="29"/>
      <c r="D586" s="29"/>
      <c r="E586" s="266"/>
      <c r="F586" s="29"/>
      <c r="G586" s="29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2:42" ht="15.75" customHeight="1" x14ac:dyDescent="0.2">
      <c r="B587" s="2"/>
      <c r="C587" s="29"/>
      <c r="D587" s="29"/>
      <c r="E587" s="266"/>
      <c r="F587" s="29"/>
      <c r="G587" s="29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2:42" ht="15.75" customHeight="1" x14ac:dyDescent="0.2">
      <c r="B588" s="2"/>
      <c r="C588" s="29"/>
      <c r="D588" s="29"/>
      <c r="E588" s="266"/>
      <c r="F588" s="29"/>
      <c r="G588" s="29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2:42" ht="15.75" customHeight="1" x14ac:dyDescent="0.2">
      <c r="B589" s="2"/>
      <c r="C589" s="29"/>
      <c r="D589" s="29"/>
      <c r="E589" s="266"/>
      <c r="F589" s="29"/>
      <c r="G589" s="29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2:42" ht="15.75" customHeight="1" x14ac:dyDescent="0.2">
      <c r="B590" s="2"/>
      <c r="C590" s="29"/>
      <c r="D590" s="29"/>
      <c r="E590" s="266"/>
      <c r="F590" s="29"/>
      <c r="G590" s="29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2:42" ht="15.75" customHeight="1" x14ac:dyDescent="0.2">
      <c r="B591" s="2"/>
      <c r="C591" s="29"/>
      <c r="D591" s="29"/>
      <c r="E591" s="266"/>
      <c r="F591" s="29"/>
      <c r="G591" s="29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2:42" ht="15.75" customHeight="1" x14ac:dyDescent="0.2">
      <c r="B592" s="2"/>
      <c r="C592" s="29"/>
      <c r="D592" s="29"/>
      <c r="E592" s="266"/>
      <c r="F592" s="29"/>
      <c r="G592" s="29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2:42" ht="15.75" customHeight="1" x14ac:dyDescent="0.2">
      <c r="B593" s="2"/>
      <c r="C593" s="29"/>
      <c r="D593" s="29"/>
      <c r="E593" s="266"/>
      <c r="F593" s="29"/>
      <c r="G593" s="29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2:42" ht="15.75" customHeight="1" x14ac:dyDescent="0.2">
      <c r="B594" s="2"/>
      <c r="C594" s="29"/>
      <c r="D594" s="29"/>
      <c r="E594" s="266"/>
      <c r="F594" s="29"/>
      <c r="G594" s="29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2:42" ht="15.75" customHeight="1" x14ac:dyDescent="0.2">
      <c r="B595" s="2"/>
      <c r="C595" s="29"/>
      <c r="D595" s="29"/>
      <c r="E595" s="266"/>
      <c r="F595" s="29"/>
      <c r="G595" s="29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2:42" ht="15.75" customHeight="1" x14ac:dyDescent="0.2">
      <c r="B596" s="2"/>
      <c r="C596" s="29"/>
      <c r="D596" s="29"/>
      <c r="E596" s="266"/>
      <c r="F596" s="29"/>
      <c r="G596" s="29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2:42" ht="15.75" customHeight="1" x14ac:dyDescent="0.2">
      <c r="B597" s="2"/>
      <c r="C597" s="29"/>
      <c r="D597" s="29"/>
      <c r="E597" s="266"/>
      <c r="F597" s="29"/>
      <c r="G597" s="29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2:42" ht="15.75" customHeight="1" x14ac:dyDescent="0.2">
      <c r="B598" s="2"/>
      <c r="C598" s="29"/>
      <c r="D598" s="29"/>
      <c r="E598" s="266"/>
      <c r="F598" s="29"/>
      <c r="G598" s="29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2:42" ht="15.75" customHeight="1" x14ac:dyDescent="0.2">
      <c r="B599" s="2"/>
      <c r="C599" s="29"/>
      <c r="D599" s="29"/>
      <c r="E599" s="266"/>
      <c r="F599" s="29"/>
      <c r="G599" s="29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2:42" ht="15.75" customHeight="1" x14ac:dyDescent="0.2">
      <c r="B600" s="2"/>
      <c r="C600" s="29"/>
      <c r="D600" s="29"/>
      <c r="E600" s="266"/>
      <c r="F600" s="29"/>
      <c r="G600" s="29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2:42" ht="15.75" customHeight="1" x14ac:dyDescent="0.2">
      <c r="B601" s="2"/>
      <c r="C601" s="29"/>
      <c r="D601" s="29"/>
      <c r="E601" s="266"/>
      <c r="F601" s="29"/>
      <c r="G601" s="29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2:42" ht="15.75" customHeight="1" x14ac:dyDescent="0.2">
      <c r="B602" s="2"/>
      <c r="C602" s="29"/>
      <c r="D602" s="29"/>
      <c r="E602" s="266"/>
      <c r="F602" s="29"/>
      <c r="G602" s="29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2:42" ht="15.75" customHeight="1" x14ac:dyDescent="0.2">
      <c r="B603" s="2"/>
      <c r="C603" s="29"/>
      <c r="D603" s="29"/>
      <c r="E603" s="266"/>
      <c r="F603" s="29"/>
      <c r="G603" s="29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2:42" ht="15.75" customHeight="1" x14ac:dyDescent="0.2">
      <c r="B604" s="2"/>
      <c r="C604" s="29"/>
      <c r="D604" s="29"/>
      <c r="E604" s="266"/>
      <c r="F604" s="29"/>
      <c r="G604" s="29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2:42" ht="15.75" customHeight="1" x14ac:dyDescent="0.2">
      <c r="B605" s="2"/>
      <c r="C605" s="29"/>
      <c r="D605" s="29"/>
      <c r="E605" s="266"/>
      <c r="F605" s="29"/>
      <c r="G605" s="29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2:42" ht="15.75" customHeight="1" x14ac:dyDescent="0.2">
      <c r="B606" s="2"/>
      <c r="C606" s="29"/>
      <c r="D606" s="29"/>
      <c r="E606" s="266"/>
      <c r="F606" s="29"/>
      <c r="G606" s="29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2:42" ht="15.75" customHeight="1" x14ac:dyDescent="0.2">
      <c r="B607" s="2"/>
      <c r="C607" s="29"/>
      <c r="D607" s="29"/>
      <c r="E607" s="266"/>
      <c r="F607" s="29"/>
      <c r="G607" s="29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2:42" ht="15.75" customHeight="1" x14ac:dyDescent="0.2">
      <c r="B608" s="2"/>
      <c r="C608" s="29"/>
      <c r="D608" s="29"/>
      <c r="E608" s="266"/>
      <c r="F608" s="29"/>
      <c r="G608" s="29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2:42" ht="15.75" customHeight="1" x14ac:dyDescent="0.2">
      <c r="B609" s="2"/>
      <c r="C609" s="29"/>
      <c r="D609" s="29"/>
      <c r="E609" s="266"/>
      <c r="F609" s="29"/>
      <c r="G609" s="29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2:42" ht="15.75" customHeight="1" x14ac:dyDescent="0.2">
      <c r="B610" s="2"/>
      <c r="C610" s="29"/>
      <c r="D610" s="29"/>
      <c r="E610" s="266"/>
      <c r="F610" s="29"/>
      <c r="G610" s="29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2:42" ht="15.75" customHeight="1" x14ac:dyDescent="0.2">
      <c r="B611" s="2"/>
      <c r="C611" s="29"/>
      <c r="D611" s="29"/>
      <c r="E611" s="266"/>
      <c r="F611" s="29"/>
      <c r="G611" s="29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2:42" ht="15.75" customHeight="1" x14ac:dyDescent="0.2">
      <c r="B612" s="2"/>
      <c r="C612" s="29"/>
      <c r="D612" s="29"/>
      <c r="E612" s="266"/>
      <c r="F612" s="29"/>
      <c r="G612" s="29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2:42" ht="15.75" customHeight="1" x14ac:dyDescent="0.2">
      <c r="B613" s="2"/>
      <c r="C613" s="29"/>
      <c r="D613" s="29"/>
      <c r="E613" s="266"/>
      <c r="F613" s="29"/>
      <c r="G613" s="29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2:42" ht="15.75" customHeight="1" x14ac:dyDescent="0.2">
      <c r="B614" s="2"/>
      <c r="C614" s="29"/>
      <c r="D614" s="29"/>
      <c r="E614" s="266"/>
      <c r="F614" s="29"/>
      <c r="G614" s="29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2:42" ht="15.75" customHeight="1" x14ac:dyDescent="0.2">
      <c r="B615" s="2"/>
      <c r="C615" s="29"/>
      <c r="D615" s="29"/>
      <c r="E615" s="266"/>
      <c r="F615" s="29"/>
      <c r="G615" s="29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2:42" ht="15.75" customHeight="1" x14ac:dyDescent="0.2">
      <c r="B616" s="2"/>
      <c r="C616" s="29"/>
      <c r="D616" s="29"/>
      <c r="E616" s="266"/>
      <c r="F616" s="29"/>
      <c r="G616" s="29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2:42" ht="15.75" customHeight="1" x14ac:dyDescent="0.2">
      <c r="B617" s="2"/>
      <c r="C617" s="29"/>
      <c r="D617" s="29"/>
      <c r="E617" s="266"/>
      <c r="F617" s="29"/>
      <c r="G617" s="29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2:42" ht="15.75" customHeight="1" x14ac:dyDescent="0.2">
      <c r="B618" s="2"/>
      <c r="C618" s="29"/>
      <c r="D618" s="29"/>
      <c r="E618" s="266"/>
      <c r="F618" s="29"/>
      <c r="G618" s="29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2:42" ht="15.75" customHeight="1" x14ac:dyDescent="0.2">
      <c r="B619" s="2"/>
      <c r="C619" s="29"/>
      <c r="D619" s="29"/>
      <c r="E619" s="266"/>
      <c r="F619" s="29"/>
      <c r="G619" s="29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2:42" ht="15.75" customHeight="1" x14ac:dyDescent="0.2">
      <c r="B620" s="2"/>
      <c r="C620" s="29"/>
      <c r="D620" s="29"/>
      <c r="E620" s="266"/>
      <c r="F620" s="29"/>
      <c r="G620" s="29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2:42" ht="15.75" customHeight="1" x14ac:dyDescent="0.2">
      <c r="B621" s="2"/>
      <c r="C621" s="29"/>
      <c r="D621" s="29"/>
      <c r="E621" s="266"/>
      <c r="F621" s="29"/>
      <c r="G621" s="29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2:42" ht="15.75" customHeight="1" x14ac:dyDescent="0.2">
      <c r="B622" s="2"/>
      <c r="C622" s="29"/>
      <c r="D622" s="29"/>
      <c r="E622" s="266"/>
      <c r="F622" s="29"/>
      <c r="G622" s="29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2:42" ht="15.75" customHeight="1" x14ac:dyDescent="0.2">
      <c r="B623" s="2"/>
      <c r="C623" s="29"/>
      <c r="D623" s="29"/>
      <c r="E623" s="266"/>
      <c r="F623" s="29"/>
      <c r="G623" s="29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2:42" ht="15.75" customHeight="1" x14ac:dyDescent="0.2">
      <c r="B624" s="2"/>
      <c r="C624" s="29"/>
      <c r="D624" s="29"/>
      <c r="E624" s="266"/>
      <c r="F624" s="29"/>
      <c r="G624" s="29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2:42" ht="15.75" customHeight="1" x14ac:dyDescent="0.2">
      <c r="B625" s="2"/>
      <c r="C625" s="29"/>
      <c r="D625" s="29"/>
      <c r="E625" s="266"/>
      <c r="F625" s="29"/>
      <c r="G625" s="29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2:42" ht="15.75" customHeight="1" x14ac:dyDescent="0.2">
      <c r="B626" s="2"/>
      <c r="C626" s="29"/>
      <c r="D626" s="29"/>
      <c r="E626" s="266"/>
      <c r="F626" s="29"/>
      <c r="G626" s="29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2:42" ht="15.75" customHeight="1" x14ac:dyDescent="0.2">
      <c r="B627" s="2"/>
      <c r="C627" s="29"/>
      <c r="D627" s="29"/>
      <c r="E627" s="266"/>
      <c r="F627" s="29"/>
      <c r="G627" s="29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2:42" ht="15.75" customHeight="1" x14ac:dyDescent="0.2">
      <c r="B628" s="2"/>
      <c r="C628" s="29"/>
      <c r="D628" s="29"/>
      <c r="E628" s="266"/>
      <c r="F628" s="29"/>
      <c r="G628" s="29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2:42" ht="15.75" customHeight="1" x14ac:dyDescent="0.2">
      <c r="B629" s="2"/>
      <c r="C629" s="29"/>
      <c r="D629" s="29"/>
      <c r="E629" s="266"/>
      <c r="F629" s="29"/>
      <c r="G629" s="29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2:42" ht="15.75" customHeight="1" x14ac:dyDescent="0.2">
      <c r="B630" s="2"/>
      <c r="C630" s="29"/>
      <c r="D630" s="29"/>
      <c r="E630" s="266"/>
      <c r="F630" s="29"/>
      <c r="G630" s="29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2:42" ht="15.75" customHeight="1" x14ac:dyDescent="0.2">
      <c r="B631" s="2"/>
      <c r="C631" s="29"/>
      <c r="D631" s="29"/>
      <c r="E631" s="266"/>
      <c r="F631" s="29"/>
      <c r="G631" s="29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2:42" ht="15.75" customHeight="1" x14ac:dyDescent="0.2">
      <c r="B632" s="2"/>
      <c r="C632" s="29"/>
      <c r="D632" s="29"/>
      <c r="E632" s="266"/>
      <c r="F632" s="29"/>
      <c r="G632" s="29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2:42" ht="15.75" customHeight="1" x14ac:dyDescent="0.2">
      <c r="B633" s="2"/>
      <c r="C633" s="29"/>
      <c r="D633" s="29"/>
      <c r="E633" s="266"/>
      <c r="F633" s="29"/>
      <c r="G633" s="29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2:42" ht="15.75" customHeight="1" x14ac:dyDescent="0.2">
      <c r="B634" s="2"/>
      <c r="C634" s="29"/>
      <c r="D634" s="29"/>
      <c r="E634" s="266"/>
      <c r="F634" s="29"/>
      <c r="G634" s="29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2:42" ht="15.75" customHeight="1" x14ac:dyDescent="0.2">
      <c r="B635" s="2"/>
      <c r="C635" s="29"/>
      <c r="D635" s="29"/>
      <c r="E635" s="266"/>
      <c r="F635" s="29"/>
      <c r="G635" s="29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2:42" ht="15.75" customHeight="1" x14ac:dyDescent="0.2">
      <c r="B636" s="2"/>
      <c r="C636" s="29"/>
      <c r="D636" s="29"/>
      <c r="E636" s="266"/>
      <c r="F636" s="29"/>
      <c r="G636" s="29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2:42" ht="15.75" customHeight="1" x14ac:dyDescent="0.2">
      <c r="B637" s="2"/>
      <c r="C637" s="29"/>
      <c r="D637" s="29"/>
      <c r="E637" s="266"/>
      <c r="F637" s="29"/>
      <c r="G637" s="29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2:42" ht="15.75" customHeight="1" x14ac:dyDescent="0.2">
      <c r="B638" s="2"/>
      <c r="C638" s="29"/>
      <c r="D638" s="29"/>
      <c r="E638" s="266"/>
      <c r="F638" s="29"/>
      <c r="G638" s="29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2:42" ht="15.75" customHeight="1" x14ac:dyDescent="0.2">
      <c r="B639" s="2"/>
      <c r="C639" s="29"/>
      <c r="D639" s="29"/>
      <c r="E639" s="266"/>
      <c r="F639" s="29"/>
      <c r="G639" s="29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2:42" ht="15.75" customHeight="1" x14ac:dyDescent="0.2">
      <c r="B640" s="2"/>
      <c r="C640" s="29"/>
      <c r="D640" s="29"/>
      <c r="E640" s="266"/>
      <c r="F640" s="29"/>
      <c r="G640" s="29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2:42" ht="15.75" customHeight="1" x14ac:dyDescent="0.2">
      <c r="B641" s="2"/>
      <c r="C641" s="29"/>
      <c r="D641" s="29"/>
      <c r="E641" s="266"/>
      <c r="F641" s="29"/>
      <c r="G641" s="29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2:42" ht="15.75" customHeight="1" x14ac:dyDescent="0.2">
      <c r="B642" s="2"/>
      <c r="C642" s="29"/>
      <c r="D642" s="29"/>
      <c r="E642" s="266"/>
      <c r="F642" s="29"/>
      <c r="G642" s="29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2:42" ht="15.75" customHeight="1" x14ac:dyDescent="0.2"/>
    <row r="644" spans="2:42" ht="15.75" customHeight="1" x14ac:dyDescent="0.2"/>
    <row r="645" spans="2:42" ht="15.75" customHeight="1" x14ac:dyDescent="0.2"/>
    <row r="646" spans="2:42" ht="15.75" customHeight="1" x14ac:dyDescent="0.2"/>
    <row r="647" spans="2:42" ht="15.75" customHeight="1" x14ac:dyDescent="0.2"/>
    <row r="648" spans="2:42" ht="15.75" customHeight="1" x14ac:dyDescent="0.2"/>
    <row r="649" spans="2:42" ht="15.75" customHeight="1" x14ac:dyDescent="0.2"/>
    <row r="650" spans="2:42" ht="15.75" customHeight="1" x14ac:dyDescent="0.2"/>
    <row r="651" spans="2:42" ht="15.75" customHeight="1" x14ac:dyDescent="0.2"/>
    <row r="652" spans="2:42" ht="15.75" customHeight="1" x14ac:dyDescent="0.2"/>
    <row r="653" spans="2:42" ht="15.75" customHeight="1" x14ac:dyDescent="0.2"/>
    <row r="654" spans="2:42" ht="15.75" customHeight="1" x14ac:dyDescent="0.2"/>
    <row r="655" spans="2:42" ht="15.75" customHeight="1" x14ac:dyDescent="0.2"/>
    <row r="656" spans="2:42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</sheetData>
  <mergeCells count="2">
    <mergeCell ref="A4:G4"/>
    <mergeCell ref="A5:G5"/>
  </mergeCells>
  <phoneticPr fontId="12" type="noConversion"/>
  <pageMargins left="0.72" right="0.15748031496062992" top="0.15748031496062992" bottom="0.15748031496062992" header="0.15748031496062992" footer="0.15748031496062992"/>
  <pageSetup paperSize="9" scale="7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745"/>
  <sheetViews>
    <sheetView zoomScaleNormal="100" workbookViewId="0">
      <selection activeCell="G3" sqref="G3"/>
    </sheetView>
  </sheetViews>
  <sheetFormatPr defaultRowHeight="12.75" x14ac:dyDescent="0.2"/>
  <cols>
    <col min="1" max="1" width="6.28515625" style="2" customWidth="1"/>
    <col min="2" max="2" width="71.28515625" customWidth="1"/>
    <col min="3" max="3" width="14.28515625" style="37" hidden="1" customWidth="1"/>
    <col min="4" max="7" width="13.7109375" style="37" customWidth="1"/>
    <col min="9" max="9" width="13" customWidth="1"/>
  </cols>
  <sheetData>
    <row r="1" spans="1:21" ht="15" customHeight="1" x14ac:dyDescent="0.3">
      <c r="A1" s="56"/>
      <c r="B1" s="182"/>
      <c r="E1" s="183"/>
      <c r="F1" s="183"/>
      <c r="G1" s="183" t="s">
        <v>375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3">
      <c r="A2" s="56"/>
      <c r="B2" s="182"/>
      <c r="E2" s="183"/>
      <c r="F2" s="183"/>
      <c r="G2" s="183" t="str">
        <f>'1.Bev-kiad.'!F2</f>
        <v>a 11/2023.(V.26.) önkormányzati rendelethez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3">
      <c r="A3" s="56"/>
      <c r="B3" s="182"/>
      <c r="E3" s="183"/>
      <c r="F3" s="183"/>
      <c r="G3" s="183" t="s">
        <v>1307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9.5" x14ac:dyDescent="0.35">
      <c r="A4" s="779" t="s">
        <v>27</v>
      </c>
      <c r="B4" s="779"/>
      <c r="C4" s="779"/>
      <c r="D4" s="787"/>
      <c r="E4" s="787"/>
      <c r="F4" s="787"/>
      <c r="G4" s="78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9.5" x14ac:dyDescent="0.35">
      <c r="A5" s="779" t="s">
        <v>1184</v>
      </c>
      <c r="B5" s="779"/>
      <c r="C5" s="779"/>
      <c r="D5" s="787"/>
      <c r="E5" s="787"/>
      <c r="F5" s="787"/>
      <c r="G5" s="78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3.5" thickBot="1" x14ac:dyDescent="0.25">
      <c r="A6" s="56"/>
      <c r="B6" s="56"/>
      <c r="E6" s="183"/>
      <c r="F6" s="183"/>
      <c r="G6" s="183" t="s"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53.25" customHeight="1" thickBot="1" x14ac:dyDescent="0.25">
      <c r="A7" s="219" t="s">
        <v>120</v>
      </c>
      <c r="B7" s="45" t="s">
        <v>390</v>
      </c>
      <c r="C7" s="45" t="s">
        <v>380</v>
      </c>
      <c r="D7" s="45" t="s">
        <v>904</v>
      </c>
      <c r="E7" s="45" t="s">
        <v>933</v>
      </c>
      <c r="F7" s="45" t="s">
        <v>1091</v>
      </c>
      <c r="G7" s="45" t="s">
        <v>1183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22.5" customHeight="1" x14ac:dyDescent="0.2">
      <c r="A8" s="148" t="s">
        <v>368</v>
      </c>
      <c r="B8" s="228" t="s">
        <v>353</v>
      </c>
      <c r="C8" s="175" t="e">
        <f>SUM(C9:C50)</f>
        <v>#REF!</v>
      </c>
      <c r="D8" s="175">
        <f>SUM(D9:D50)</f>
        <v>1346724</v>
      </c>
      <c r="E8" s="175">
        <f>SUM(E9:E50)</f>
        <v>924000</v>
      </c>
      <c r="F8" s="175">
        <f>SUM(F9:F50)</f>
        <v>927000</v>
      </c>
      <c r="G8" s="175">
        <f>SUM(G9:G50)</f>
        <v>933000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" customHeight="1" x14ac:dyDescent="0.25">
      <c r="A9" s="14" t="s">
        <v>122</v>
      </c>
      <c r="B9" s="23" t="s">
        <v>223</v>
      </c>
      <c r="C9" s="38" t="e">
        <f>SUM('2.működés'!#REF!)</f>
        <v>#REF!</v>
      </c>
      <c r="D9" s="38">
        <f>SUM('1.Bev-kiad.'!C9)</f>
        <v>559478</v>
      </c>
      <c r="E9" s="38">
        <v>490000</v>
      </c>
      <c r="F9" s="38">
        <v>490000</v>
      </c>
      <c r="G9" s="38">
        <v>490000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3.5" hidden="1" customHeight="1" x14ac:dyDescent="0.2">
      <c r="A10" s="8" t="s">
        <v>123</v>
      </c>
      <c r="B10" s="8" t="s">
        <v>131</v>
      </c>
      <c r="C10" s="5"/>
      <c r="D10" s="5"/>
      <c r="E10" s="5"/>
      <c r="F10" s="5"/>
      <c r="G10" s="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3.5" hidden="1" customHeight="1" x14ac:dyDescent="0.2">
      <c r="A11" s="8" t="s">
        <v>172</v>
      </c>
      <c r="B11" s="8" t="s">
        <v>173</v>
      </c>
      <c r="C11" s="5"/>
      <c r="D11" s="5"/>
      <c r="E11" s="5"/>
      <c r="F11" s="5"/>
      <c r="G11" s="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3.5" hidden="1" customHeight="1" x14ac:dyDescent="0.2">
      <c r="A12" s="8" t="s">
        <v>124</v>
      </c>
      <c r="B12" s="8" t="s">
        <v>128</v>
      </c>
      <c r="C12" s="6"/>
      <c r="D12" s="6"/>
      <c r="E12" s="6"/>
      <c r="F12" s="6"/>
      <c r="G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3.5" hidden="1" customHeight="1" x14ac:dyDescent="0.2">
      <c r="A13" s="8" t="s">
        <v>125</v>
      </c>
      <c r="B13" s="8" t="s">
        <v>129</v>
      </c>
      <c r="C13" s="11"/>
      <c r="D13" s="11"/>
      <c r="E13" s="11"/>
      <c r="F13" s="11"/>
      <c r="G13" s="1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3.5" hidden="1" customHeight="1" x14ac:dyDescent="0.2">
      <c r="A14" s="8" t="s">
        <v>126</v>
      </c>
      <c r="B14" s="8" t="s">
        <v>130</v>
      </c>
      <c r="C14" s="13"/>
      <c r="D14" s="13"/>
      <c r="E14" s="13"/>
      <c r="F14" s="13"/>
      <c r="G14" s="1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hidden="1" customHeight="1" x14ac:dyDescent="0.2">
      <c r="A15" s="8" t="s">
        <v>127</v>
      </c>
      <c r="B15" s="8" t="s">
        <v>132</v>
      </c>
      <c r="C15" s="13"/>
      <c r="D15" s="13"/>
      <c r="E15" s="13"/>
      <c r="F15" s="13"/>
      <c r="G15" s="1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8" customHeight="1" x14ac:dyDescent="0.25">
      <c r="A16" s="14" t="s">
        <v>133</v>
      </c>
      <c r="B16" s="23" t="s">
        <v>224</v>
      </c>
      <c r="C16" s="42" t="e">
        <f>SUM('3.felh'!#REF!)</f>
        <v>#REF!</v>
      </c>
      <c r="D16" s="42">
        <f>SUM('1.Bev-kiad.'!C16)</f>
        <v>305226</v>
      </c>
      <c r="E16" s="42">
        <v>24000</v>
      </c>
      <c r="F16" s="42">
        <v>25000</v>
      </c>
      <c r="G16" s="42">
        <v>25000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hidden="1" customHeight="1" x14ac:dyDescent="0.2">
      <c r="A17" s="8" t="s">
        <v>134</v>
      </c>
      <c r="B17" s="8" t="s">
        <v>141</v>
      </c>
      <c r="C17" s="5"/>
      <c r="D17" s="5"/>
      <c r="E17" s="5"/>
      <c r="F17" s="5"/>
      <c r="G17" s="5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hidden="1" customHeight="1" x14ac:dyDescent="0.2">
      <c r="A18" s="8" t="s">
        <v>174</v>
      </c>
      <c r="B18" s="8" t="s">
        <v>175</v>
      </c>
      <c r="C18" s="13"/>
      <c r="D18" s="13"/>
      <c r="E18" s="13"/>
      <c r="F18" s="13"/>
      <c r="G18" s="1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hidden="1" customHeight="1" x14ac:dyDescent="0.2">
      <c r="A19" s="8" t="s">
        <v>135</v>
      </c>
      <c r="B19" s="8" t="s">
        <v>138</v>
      </c>
      <c r="C19" s="13"/>
      <c r="D19" s="13"/>
      <c r="E19" s="13"/>
      <c r="F19" s="13"/>
      <c r="G19" s="1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hidden="1" customHeight="1" x14ac:dyDescent="0.2">
      <c r="A20" s="8" t="s">
        <v>136</v>
      </c>
      <c r="B20" s="8" t="s">
        <v>139</v>
      </c>
      <c r="C20" s="13"/>
      <c r="D20" s="13"/>
      <c r="E20" s="13"/>
      <c r="F20" s="13"/>
      <c r="G20" s="1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hidden="1" customHeight="1" x14ac:dyDescent="0.2">
      <c r="A21" s="8" t="s">
        <v>137</v>
      </c>
      <c r="B21" s="8" t="s">
        <v>140</v>
      </c>
      <c r="C21" s="13"/>
      <c r="D21" s="13"/>
      <c r="E21" s="13"/>
      <c r="F21" s="13"/>
      <c r="G21" s="1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8" customHeight="1" x14ac:dyDescent="0.25">
      <c r="A22" s="14" t="s">
        <v>142</v>
      </c>
      <c r="B22" s="23" t="s">
        <v>104</v>
      </c>
      <c r="C22" s="42" t="e">
        <f>SUM('2.működés'!#REF!)</f>
        <v>#REF!</v>
      </c>
      <c r="D22" s="42">
        <f>SUM('1.Bev-kiad.'!C22)</f>
        <v>373000</v>
      </c>
      <c r="E22" s="42">
        <v>352000</v>
      </c>
      <c r="F22" s="42">
        <v>352000</v>
      </c>
      <c r="G22" s="42">
        <v>352000</v>
      </c>
      <c r="H22" s="2"/>
      <c r="I22" s="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hidden="1" customHeight="1" x14ac:dyDescent="0.2">
      <c r="A23" s="8" t="s">
        <v>143</v>
      </c>
      <c r="B23" s="8" t="s">
        <v>149</v>
      </c>
      <c r="C23" s="13"/>
      <c r="D23" s="13"/>
      <c r="E23" s="13"/>
      <c r="F23" s="13"/>
      <c r="G23" s="1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hidden="1" customHeight="1" x14ac:dyDescent="0.2">
      <c r="A24" s="8" t="s">
        <v>144</v>
      </c>
      <c r="B24" s="8" t="s">
        <v>150</v>
      </c>
      <c r="C24" s="13"/>
      <c r="D24" s="13"/>
      <c r="E24" s="13"/>
      <c r="F24" s="13"/>
      <c r="G24" s="1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hidden="1" customHeight="1" x14ac:dyDescent="0.2">
      <c r="A25" s="8" t="s">
        <v>145</v>
      </c>
      <c r="B25" s="20" t="s">
        <v>151</v>
      </c>
      <c r="C25" s="49"/>
      <c r="D25" s="49"/>
      <c r="E25" s="49"/>
      <c r="F25" s="49"/>
      <c r="G25" s="4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hidden="1" customHeight="1" x14ac:dyDescent="0.2">
      <c r="A26" s="8" t="s">
        <v>146</v>
      </c>
      <c r="B26" s="8" t="s">
        <v>178</v>
      </c>
      <c r="C26" s="39"/>
      <c r="D26" s="39"/>
      <c r="E26" s="39"/>
      <c r="F26" s="39"/>
      <c r="G26" s="3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s="50" customFormat="1" ht="12.75" hidden="1" customHeight="1" x14ac:dyDescent="0.2">
      <c r="A27" s="8" t="s">
        <v>147</v>
      </c>
      <c r="B27" s="8" t="s">
        <v>179</v>
      </c>
      <c r="C27" s="13"/>
      <c r="D27" s="13"/>
      <c r="E27" s="13"/>
      <c r="F27" s="13"/>
      <c r="G27" s="1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s="50" customFormat="1" ht="12.75" hidden="1" customHeight="1" x14ac:dyDescent="0.2">
      <c r="A28" s="8" t="s">
        <v>148</v>
      </c>
      <c r="B28" s="8" t="s">
        <v>152</v>
      </c>
      <c r="C28" s="13"/>
      <c r="D28" s="13"/>
      <c r="E28" s="13"/>
      <c r="F28" s="13"/>
      <c r="G28" s="1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s="50" customFormat="1" ht="18" customHeight="1" x14ac:dyDescent="0.25">
      <c r="A29" s="14" t="s">
        <v>153</v>
      </c>
      <c r="B29" s="23" t="s">
        <v>225</v>
      </c>
      <c r="C29" s="42" t="e">
        <f>SUM('2.működés'!#REF!)</f>
        <v>#REF!</v>
      </c>
      <c r="D29" s="42">
        <f>SUM('1.Bev-kiad.'!C29)</f>
        <v>51770</v>
      </c>
      <c r="E29" s="42">
        <v>40000</v>
      </c>
      <c r="F29" s="42">
        <v>40000</v>
      </c>
      <c r="G29" s="42">
        <v>43000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3.5" hidden="1" customHeight="1" x14ac:dyDescent="0.2">
      <c r="A30" s="8" t="s">
        <v>156</v>
      </c>
      <c r="B30" s="8" t="s">
        <v>154</v>
      </c>
      <c r="C30" s="13"/>
      <c r="D30" s="13"/>
      <c r="E30" s="13"/>
      <c r="F30" s="13"/>
      <c r="G30" s="1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s="50" customFormat="1" ht="13.5" hidden="1" customHeight="1" x14ac:dyDescent="0.2">
      <c r="A31" s="8" t="s">
        <v>157</v>
      </c>
      <c r="B31" s="8" t="s">
        <v>155</v>
      </c>
      <c r="C31" s="13"/>
      <c r="D31" s="13"/>
      <c r="E31" s="13"/>
      <c r="F31" s="13"/>
      <c r="G31" s="1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s="50" customFormat="1" ht="13.5" hidden="1" customHeight="1" x14ac:dyDescent="0.2">
      <c r="A32" s="8" t="s">
        <v>158</v>
      </c>
      <c r="B32" s="8" t="s">
        <v>161</v>
      </c>
      <c r="C32" s="11"/>
      <c r="D32" s="11"/>
      <c r="E32" s="11"/>
      <c r="F32" s="11"/>
      <c r="G32" s="1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hidden="1" customHeight="1" x14ac:dyDescent="0.2">
      <c r="A33" s="8" t="s">
        <v>159</v>
      </c>
      <c r="B33" s="20" t="s">
        <v>162</v>
      </c>
      <c r="C33" s="8"/>
      <c r="D33" s="8"/>
      <c r="E33" s="8"/>
      <c r="F33" s="8"/>
      <c r="G33" s="8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hidden="1" customHeight="1" x14ac:dyDescent="0.2">
      <c r="A34" s="8" t="s">
        <v>160</v>
      </c>
      <c r="B34" s="20" t="s">
        <v>163</v>
      </c>
      <c r="C34" s="8"/>
      <c r="D34" s="8"/>
      <c r="E34" s="8"/>
      <c r="F34" s="8"/>
      <c r="G34" s="8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hidden="1" customHeight="1" x14ac:dyDescent="0.2">
      <c r="A35" s="8" t="s">
        <v>164</v>
      </c>
      <c r="B35" s="20" t="s">
        <v>165</v>
      </c>
      <c r="C35" s="8"/>
      <c r="D35" s="8"/>
      <c r="E35" s="8"/>
      <c r="F35" s="8"/>
      <c r="G35" s="8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hidden="1" customHeight="1" x14ac:dyDescent="0.2">
      <c r="A36" s="8" t="s">
        <v>166</v>
      </c>
      <c r="B36" s="20" t="s">
        <v>167</v>
      </c>
      <c r="C36" s="8"/>
      <c r="D36" s="8"/>
      <c r="E36" s="8"/>
      <c r="F36" s="8"/>
      <c r="G36" s="8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hidden="1" customHeight="1" x14ac:dyDescent="0.2">
      <c r="A37" s="8" t="s">
        <v>168</v>
      </c>
      <c r="B37" s="20" t="s">
        <v>169</v>
      </c>
      <c r="C37" s="8"/>
      <c r="D37" s="8"/>
      <c r="E37" s="8"/>
      <c r="F37" s="8"/>
      <c r="G37" s="8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hidden="1" customHeight="1" x14ac:dyDescent="0.2">
      <c r="A38" s="8" t="s">
        <v>170</v>
      </c>
      <c r="B38" s="20" t="s">
        <v>171</v>
      </c>
      <c r="C38" s="8"/>
      <c r="D38" s="8"/>
      <c r="E38" s="8"/>
      <c r="F38" s="8"/>
      <c r="G38" s="8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hidden="1" customHeight="1" x14ac:dyDescent="0.2">
      <c r="A39" s="8" t="s">
        <v>176</v>
      </c>
      <c r="B39" s="20" t="s">
        <v>177</v>
      </c>
      <c r="C39" s="8"/>
      <c r="D39" s="8"/>
      <c r="E39" s="8"/>
      <c r="F39" s="8"/>
      <c r="G39" s="8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7.25" customHeight="1" x14ac:dyDescent="0.25">
      <c r="A40" s="14" t="s">
        <v>180</v>
      </c>
      <c r="B40" s="23" t="s">
        <v>226</v>
      </c>
      <c r="C40" s="42" t="e">
        <f>SUM('3.felh'!#REF!)</f>
        <v>#REF!</v>
      </c>
      <c r="D40" s="42">
        <f>SUM('1.Bev-kiad.'!C40)</f>
        <v>26950</v>
      </c>
      <c r="E40" s="42">
        <v>0</v>
      </c>
      <c r="F40" s="42">
        <v>0</v>
      </c>
      <c r="G40" s="42"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hidden="1" customHeight="1" x14ac:dyDescent="0.2">
      <c r="A41" s="8" t="s">
        <v>181</v>
      </c>
      <c r="B41" s="20" t="s">
        <v>186</v>
      </c>
      <c r="C41" s="8"/>
      <c r="D41" s="8"/>
      <c r="E41" s="8"/>
      <c r="F41" s="8"/>
      <c r="G41" s="8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hidden="1" customHeight="1" x14ac:dyDescent="0.2">
      <c r="A42" s="8" t="s">
        <v>182</v>
      </c>
      <c r="B42" s="20" t="s">
        <v>187</v>
      </c>
      <c r="C42" s="8"/>
      <c r="D42" s="8"/>
      <c r="E42" s="8"/>
      <c r="F42" s="8"/>
      <c r="G42" s="8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hidden="1" customHeight="1" x14ac:dyDescent="0.2">
      <c r="A43" s="8" t="s">
        <v>183</v>
      </c>
      <c r="B43" s="20" t="s">
        <v>188</v>
      </c>
      <c r="C43" s="8"/>
      <c r="D43" s="8"/>
      <c r="E43" s="8"/>
      <c r="F43" s="8"/>
      <c r="G43" s="8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hidden="1" customHeight="1" x14ac:dyDescent="0.2">
      <c r="A44" s="8" t="s">
        <v>184</v>
      </c>
      <c r="B44" s="20" t="s">
        <v>189</v>
      </c>
      <c r="C44" s="8"/>
      <c r="D44" s="8"/>
      <c r="E44" s="8"/>
      <c r="F44" s="8"/>
      <c r="G44" s="8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hidden="1" customHeight="1" x14ac:dyDescent="0.2">
      <c r="A45" s="8" t="s">
        <v>185</v>
      </c>
      <c r="B45" s="20" t="s">
        <v>190</v>
      </c>
      <c r="C45" s="8"/>
      <c r="D45" s="8"/>
      <c r="E45" s="8"/>
      <c r="F45" s="8"/>
      <c r="G45" s="8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8" customHeight="1" x14ac:dyDescent="0.25">
      <c r="A46" s="14" t="s">
        <v>191</v>
      </c>
      <c r="B46" s="23" t="s">
        <v>227</v>
      </c>
      <c r="C46" s="42" t="e">
        <f>SUM('2.működés'!#REF!)</f>
        <v>#REF!</v>
      </c>
      <c r="D46" s="42">
        <f>SUM('1.Bev-kiad.'!C46)</f>
        <v>20000</v>
      </c>
      <c r="E46" s="42">
        <v>18000</v>
      </c>
      <c r="F46" s="42">
        <v>20000</v>
      </c>
      <c r="G46" s="42">
        <v>23000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hidden="1" customHeight="1" x14ac:dyDescent="0.2">
      <c r="A47" s="8" t="s">
        <v>197</v>
      </c>
      <c r="B47" s="20" t="s">
        <v>194</v>
      </c>
      <c r="C47" s="8"/>
      <c r="D47" s="8"/>
      <c r="E47" s="8"/>
      <c r="F47" s="8"/>
      <c r="G47" s="8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hidden="1" customHeight="1" x14ac:dyDescent="0.2">
      <c r="A48" s="8" t="s">
        <v>198</v>
      </c>
      <c r="B48" s="20" t="s">
        <v>195</v>
      </c>
      <c r="C48" s="8"/>
      <c r="D48" s="8"/>
      <c r="E48" s="8"/>
      <c r="F48" s="8"/>
      <c r="G48" s="8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hidden="1" customHeight="1" x14ac:dyDescent="0.2">
      <c r="A49" s="8" t="s">
        <v>199</v>
      </c>
      <c r="B49" s="20" t="s">
        <v>196</v>
      </c>
      <c r="C49" s="8"/>
      <c r="D49" s="8"/>
      <c r="E49" s="8"/>
      <c r="F49" s="8"/>
      <c r="G49" s="8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8" customHeight="1" x14ac:dyDescent="0.25">
      <c r="A50" s="14" t="s">
        <v>192</v>
      </c>
      <c r="B50" s="23" t="s">
        <v>228</v>
      </c>
      <c r="C50" s="42" t="e">
        <f>SUM('3.felh'!#REF!)</f>
        <v>#REF!</v>
      </c>
      <c r="D50" s="42">
        <f>SUM('3.felh'!D31)</f>
        <v>10300</v>
      </c>
      <c r="E50" s="42"/>
      <c r="F50" s="42"/>
      <c r="G50" s="42"/>
      <c r="H50" s="2"/>
      <c r="I50" s="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3.5" hidden="1" customHeight="1" x14ac:dyDescent="0.25">
      <c r="A51" s="8" t="s">
        <v>200</v>
      </c>
      <c r="B51" s="20" t="s">
        <v>203</v>
      </c>
      <c r="C51" s="42"/>
      <c r="D51" s="42"/>
      <c r="E51" s="42"/>
      <c r="F51" s="42"/>
      <c r="G51" s="4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3.5" hidden="1" customHeight="1" x14ac:dyDescent="0.25">
      <c r="A52" s="8" t="s">
        <v>201</v>
      </c>
      <c r="B52" s="20" t="s">
        <v>204</v>
      </c>
      <c r="C52" s="42"/>
      <c r="D52" s="42"/>
      <c r="E52" s="42"/>
      <c r="F52" s="42"/>
      <c r="G52" s="4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3.5" hidden="1" customHeight="1" thickBot="1" x14ac:dyDescent="0.3">
      <c r="A53" s="8" t="s">
        <v>202</v>
      </c>
      <c r="B53" s="20" t="s">
        <v>205</v>
      </c>
      <c r="C53" s="42"/>
      <c r="D53" s="42"/>
      <c r="E53" s="42"/>
      <c r="F53" s="42"/>
      <c r="G53" s="4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22.5" customHeight="1" x14ac:dyDescent="0.2">
      <c r="A54" s="25" t="s">
        <v>193</v>
      </c>
      <c r="B54" s="174" t="s">
        <v>365</v>
      </c>
      <c r="C54" s="195" t="e">
        <f>SUM(C55+C60)</f>
        <v>#REF!</v>
      </c>
      <c r="D54" s="195">
        <f>SUM(D55+D60)</f>
        <v>1137576</v>
      </c>
      <c r="E54" s="195">
        <f>SUM(E55+E60)</f>
        <v>250000</v>
      </c>
      <c r="F54" s="195">
        <f>SUM(F55+F60)</f>
        <v>270000</v>
      </c>
      <c r="G54" s="195">
        <f>SUM(G55+G60)</f>
        <v>279840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3.5" customHeight="1" x14ac:dyDescent="0.25">
      <c r="A55" s="25"/>
      <c r="B55" s="23" t="s">
        <v>449</v>
      </c>
      <c r="C55" s="42" t="e">
        <f>SUM(C56)+C59</f>
        <v>#REF!</v>
      </c>
      <c r="D55" s="42">
        <f>SUM(D56)+D59</f>
        <v>795576</v>
      </c>
      <c r="E55" s="42">
        <f>SUM(E56)+E59</f>
        <v>250000</v>
      </c>
      <c r="F55" s="42">
        <f>SUM(F56)+F59</f>
        <v>270000</v>
      </c>
      <c r="G55" s="42">
        <f>SUM(G56)+G59</f>
        <v>279840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3.5" customHeight="1" x14ac:dyDescent="0.2">
      <c r="A56" s="8"/>
      <c r="B56" s="31" t="s">
        <v>450</v>
      </c>
      <c r="C56" s="5" t="e">
        <f>SUM(C57:C58)</f>
        <v>#REF!</v>
      </c>
      <c r="D56" s="5">
        <f>SUM(D57:D58)</f>
        <v>795576</v>
      </c>
      <c r="E56" s="5">
        <f>SUM(E57:E58)</f>
        <v>250000</v>
      </c>
      <c r="F56" s="5">
        <f>SUM(F57:F58)</f>
        <v>270000</v>
      </c>
      <c r="G56" s="5">
        <f>SUM(G57:G58)</f>
        <v>260000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3.5" customHeight="1" x14ac:dyDescent="0.2">
      <c r="A57" s="8"/>
      <c r="B57" s="31" t="s">
        <v>438</v>
      </c>
      <c r="C57" s="13" t="e">
        <f>SUM('2.működés'!#REF!)</f>
        <v>#REF!</v>
      </c>
      <c r="D57" s="13">
        <f>SUM('1.Bev-kiad.'!C57)</f>
        <v>220868</v>
      </c>
      <c r="E57" s="13">
        <v>180000</v>
      </c>
      <c r="F57" s="13">
        <v>190000</v>
      </c>
      <c r="G57" s="13">
        <v>180000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3.5" customHeight="1" x14ac:dyDescent="0.2">
      <c r="A58" s="8"/>
      <c r="B58" s="31" t="s">
        <v>439</v>
      </c>
      <c r="C58" s="13" t="e">
        <f>'3.felh'!#REF!</f>
        <v>#REF!</v>
      </c>
      <c r="D58" s="13">
        <f>SUM('1.Bev-kiad.'!C58)</f>
        <v>574708</v>
      </c>
      <c r="E58" s="13">
        <v>70000</v>
      </c>
      <c r="F58" s="13">
        <v>80000</v>
      </c>
      <c r="G58" s="13">
        <v>80000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3.5" customHeight="1" x14ac:dyDescent="0.2">
      <c r="A59" s="8"/>
      <c r="B59" s="31" t="s">
        <v>518</v>
      </c>
      <c r="C59" s="13" t="e">
        <f>'2.működés'!#REF!</f>
        <v>#REF!</v>
      </c>
      <c r="D59" s="13">
        <f>'2.működés'!C108</f>
        <v>0</v>
      </c>
      <c r="E59" s="13">
        <f>'2.működés'!D108</f>
        <v>0</v>
      </c>
      <c r="F59" s="13">
        <f>'2.működés'!E108</f>
        <v>0</v>
      </c>
      <c r="G59" s="13">
        <f>'2.működés'!F108</f>
        <v>19840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3.5" customHeight="1" x14ac:dyDescent="0.25">
      <c r="A60" s="8"/>
      <c r="B60" s="23" t="s">
        <v>447</v>
      </c>
      <c r="C60" s="42" t="e">
        <f>SUM(C61:C62)</f>
        <v>#REF!</v>
      </c>
      <c r="D60" s="42">
        <f>SUM(D61:D62)</f>
        <v>342000</v>
      </c>
      <c r="E60" s="42">
        <f>SUM(E61:E62)</f>
        <v>0</v>
      </c>
      <c r="F60" s="42">
        <f>SUM(F61:F62)</f>
        <v>0</v>
      </c>
      <c r="G60" s="42">
        <f>SUM(G61:G62)</f>
        <v>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3.5" customHeight="1" x14ac:dyDescent="0.2">
      <c r="A61" s="8"/>
      <c r="B61" s="8" t="s">
        <v>250</v>
      </c>
      <c r="C61" s="13"/>
      <c r="D61" s="13"/>
      <c r="E61" s="13"/>
      <c r="F61" s="13"/>
      <c r="G61" s="1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3.5" customHeight="1" thickBot="1" x14ac:dyDescent="0.25">
      <c r="A62" s="12"/>
      <c r="B62" s="12" t="s">
        <v>251</v>
      </c>
      <c r="C62" s="32" t="e">
        <f>'3.felh'!#REF!</f>
        <v>#REF!</v>
      </c>
      <c r="D62" s="32">
        <f>'3.felh'!C40</f>
        <v>342000</v>
      </c>
      <c r="E62" s="32"/>
      <c r="F62" s="32"/>
      <c r="G62" s="3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23.25" customHeight="1" thickBot="1" x14ac:dyDescent="0.4">
      <c r="A63" s="217"/>
      <c r="B63" s="218" t="s">
        <v>389</v>
      </c>
      <c r="C63" s="181" t="e">
        <f>SUM(C8+C54)</f>
        <v>#REF!</v>
      </c>
      <c r="D63" s="181">
        <f>SUM(D8+D54)</f>
        <v>2484300</v>
      </c>
      <c r="E63" s="181">
        <f>SUM(E8+E54)</f>
        <v>1174000</v>
      </c>
      <c r="F63" s="181">
        <f>SUM(F8+F54)</f>
        <v>1197000</v>
      </c>
      <c r="G63" s="181">
        <f>SUM(G8+G54)</f>
        <v>1212840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20.25" customHeight="1" x14ac:dyDescent="0.25">
      <c r="A64" s="148" t="s">
        <v>367</v>
      </c>
      <c r="B64" s="227" t="s">
        <v>355</v>
      </c>
      <c r="C64" s="176" t="e">
        <f>SUM(C65+C70)</f>
        <v>#REF!</v>
      </c>
      <c r="D64" s="176">
        <f>SUM(D65+D70)</f>
        <v>2410229</v>
      </c>
      <c r="E64" s="176">
        <f>SUM(E65+E70)</f>
        <v>1101844</v>
      </c>
      <c r="F64" s="176">
        <f>SUM(F65+F70)</f>
        <v>1124844</v>
      </c>
      <c r="G64" s="176">
        <f>SUM(G65+G70)</f>
        <v>1120844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8" customHeight="1" x14ac:dyDescent="0.25">
      <c r="A65" s="14" t="s">
        <v>206</v>
      </c>
      <c r="B65" s="23" t="s">
        <v>8</v>
      </c>
      <c r="C65" s="149" t="e">
        <f>SUM(C66:C68)</f>
        <v>#REF!</v>
      </c>
      <c r="D65" s="149">
        <f>SUM(D66:D68)</f>
        <v>1168003</v>
      </c>
      <c r="E65" s="149">
        <f>SUM(E66:E68)</f>
        <v>865800</v>
      </c>
      <c r="F65" s="149">
        <f>SUM(F66:F68)</f>
        <v>897800</v>
      </c>
      <c r="G65" s="149">
        <f>SUM(G66:G68)</f>
        <v>908800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x14ac:dyDescent="0.2">
      <c r="A66" s="8"/>
      <c r="B66" s="14" t="s">
        <v>9</v>
      </c>
      <c r="C66" s="83" t="e">
        <f>SUM('8.Önk.'!#REF!)</f>
        <v>#REF!</v>
      </c>
      <c r="D66" s="83">
        <f>SUM('1.Bev-kiad.'!C66)</f>
        <v>876523</v>
      </c>
      <c r="E66" s="83">
        <v>600000</v>
      </c>
      <c r="F66" s="83">
        <v>610000</v>
      </c>
      <c r="G66" s="83">
        <v>620000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3.5" customHeight="1" thickBot="1" x14ac:dyDescent="0.25">
      <c r="A67" s="8"/>
      <c r="B67" s="8" t="s">
        <v>483</v>
      </c>
      <c r="C67" s="131" t="e">
        <f>SUM('9.Hivatal'!#REF!)</f>
        <v>#REF!</v>
      </c>
      <c r="D67" s="131">
        <f>SUM('1.Bev-kiad.'!C67)</f>
        <v>241480</v>
      </c>
      <c r="E67" s="131">
        <v>225000</v>
      </c>
      <c r="F67" s="131">
        <v>230000</v>
      </c>
      <c r="G67" s="131">
        <v>235000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3.5" customHeight="1" thickBot="1" x14ac:dyDescent="0.25">
      <c r="A68" s="8"/>
      <c r="B68" s="210" t="s">
        <v>209</v>
      </c>
      <c r="C68" s="292" t="e">
        <f>SUM('2.működés'!#REF!)</f>
        <v>#REF!</v>
      </c>
      <c r="D68" s="569">
        <f>SUM('1.Bev-kiad.'!C68)</f>
        <v>50000</v>
      </c>
      <c r="E68" s="569">
        <f>(38800+2000)</f>
        <v>40800</v>
      </c>
      <c r="F68" s="569">
        <f>(55800+2000)</f>
        <v>57800</v>
      </c>
      <c r="G68" s="569">
        <f>(51800+2000)</f>
        <v>53800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hidden="1" customHeight="1" x14ac:dyDescent="0.2">
      <c r="A69" s="8"/>
      <c r="B69" s="8" t="s">
        <v>448</v>
      </c>
      <c r="C69" s="271"/>
      <c r="D69" s="271"/>
      <c r="E69" s="271"/>
      <c r="F69" s="271"/>
      <c r="G69" s="27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8" customHeight="1" x14ac:dyDescent="0.25">
      <c r="A70" s="14" t="s">
        <v>207</v>
      </c>
      <c r="B70" s="23" t="s">
        <v>229</v>
      </c>
      <c r="C70" s="36" t="e">
        <f>SUM(C71:C73)</f>
        <v>#REF!</v>
      </c>
      <c r="D70" s="36">
        <f>SUM(D71:D73)</f>
        <v>1242226</v>
      </c>
      <c r="E70" s="36">
        <f>SUM(E71:E73)</f>
        <v>236044</v>
      </c>
      <c r="F70" s="36">
        <f>SUM(F71:F73)</f>
        <v>227044</v>
      </c>
      <c r="G70" s="36">
        <f>SUM(G71:G73)</f>
        <v>212044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s="50" customFormat="1" ht="13.5" customHeight="1" x14ac:dyDescent="0.2">
      <c r="A71" s="8"/>
      <c r="B71" s="8" t="s">
        <v>348</v>
      </c>
      <c r="C71" s="13" t="e">
        <f>SUM('3.felh'!#REF!)</f>
        <v>#REF!</v>
      </c>
      <c r="D71" s="13">
        <f>SUM('1.Bev-kiad.'!C71)</f>
        <v>456818</v>
      </c>
      <c r="E71" s="13">
        <v>100000</v>
      </c>
      <c r="F71" s="13">
        <v>100000</v>
      </c>
      <c r="G71" s="13">
        <v>102000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s="50" customFormat="1" ht="13.5" customHeight="1" x14ac:dyDescent="0.2">
      <c r="A72" s="8"/>
      <c r="B72" s="8" t="s">
        <v>349</v>
      </c>
      <c r="C72" s="13" t="e">
        <f>SUM('3.felh'!#REF!)</f>
        <v>#REF!</v>
      </c>
      <c r="D72" s="13">
        <f>SUM('1.Bev-kiad.'!C72)</f>
        <v>641826</v>
      </c>
      <c r="E72" s="13">
        <v>120000</v>
      </c>
      <c r="F72" s="13">
        <v>97000</v>
      </c>
      <c r="G72" s="13">
        <v>80000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s="50" customFormat="1" ht="13.5" customHeight="1" x14ac:dyDescent="0.2">
      <c r="A73" s="8"/>
      <c r="B73" s="8" t="s">
        <v>350</v>
      </c>
      <c r="C73" s="13" t="e">
        <f>SUM(C74:C75)</f>
        <v>#REF!</v>
      </c>
      <c r="D73" s="13">
        <f>SUM(D74:D75)</f>
        <v>143582</v>
      </c>
      <c r="E73" s="13">
        <f>SUM(E74:E75)</f>
        <v>16044</v>
      </c>
      <c r="F73" s="13">
        <f>SUM(F74:F75)</f>
        <v>30044</v>
      </c>
      <c r="G73" s="13">
        <f>SUM(G74:G75)</f>
        <v>30044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s="50" customFormat="1" ht="13.5" customHeight="1" thickBot="1" x14ac:dyDescent="0.25">
      <c r="A74" s="8"/>
      <c r="B74" s="8" t="s">
        <v>361</v>
      </c>
      <c r="C74" s="32" t="e">
        <f>SUM('3.felh'!#REF!)</f>
        <v>#REF!</v>
      </c>
      <c r="D74" s="32">
        <f>SUM('3.felh'!C79)</f>
        <v>0</v>
      </c>
      <c r="E74" s="32"/>
      <c r="F74" s="32"/>
      <c r="G74" s="3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s="50" customFormat="1" ht="13.5" customHeight="1" thickBot="1" x14ac:dyDescent="0.25">
      <c r="A75" s="8"/>
      <c r="B75" s="8" t="s">
        <v>362</v>
      </c>
      <c r="C75" s="292" t="e">
        <f>SUM('3.felh'!#REF!)</f>
        <v>#REF!</v>
      </c>
      <c r="D75" s="13">
        <f>SUM('1.Bev-kiad.'!C76)</f>
        <v>143582</v>
      </c>
      <c r="E75" s="13">
        <f>(30000+44-14000)</f>
        <v>16044</v>
      </c>
      <c r="F75" s="13">
        <v>30044</v>
      </c>
      <c r="G75" s="13">
        <v>30044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s="50" customFormat="1" ht="22.5" customHeight="1" x14ac:dyDescent="0.25">
      <c r="A76" s="14" t="s">
        <v>208</v>
      </c>
      <c r="B76" s="174" t="s">
        <v>366</v>
      </c>
      <c r="C76" s="192" t="e">
        <f>SUM(C77+C81+C82)</f>
        <v>#REF!</v>
      </c>
      <c r="D76" s="192">
        <f>SUM(D77+D81+D82)</f>
        <v>74071</v>
      </c>
      <c r="E76" s="192">
        <f>SUM(E77+E81+E82)</f>
        <v>72156</v>
      </c>
      <c r="F76" s="192">
        <f>SUM(F77+F81+F82)</f>
        <v>72156</v>
      </c>
      <c r="G76" s="192">
        <f>SUM(G77+G81+G82)</f>
        <v>72156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s="50" customFormat="1" ht="15" customHeight="1" x14ac:dyDescent="0.25">
      <c r="A77" s="14"/>
      <c r="B77" s="191" t="s">
        <v>394</v>
      </c>
      <c r="C77" s="161" t="e">
        <f>SUM(C78)</f>
        <v>#REF!</v>
      </c>
      <c r="D77" s="161">
        <f>SUM(D78:D80)</f>
        <v>74071</v>
      </c>
      <c r="E77" s="161">
        <f>SUM(E78:E80)</f>
        <v>72156</v>
      </c>
      <c r="F77" s="161">
        <f>SUM(F78:F80)</f>
        <v>72156</v>
      </c>
      <c r="G77" s="161">
        <f>SUM(G78:G80)</f>
        <v>72156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s="50" customFormat="1" ht="12.75" customHeight="1" x14ac:dyDescent="0.2">
      <c r="A78" s="14" t="s">
        <v>401</v>
      </c>
      <c r="B78" s="8" t="s">
        <v>422</v>
      </c>
      <c r="C78" s="13" t="e">
        <f>SUM('2.működés'!#REF!)</f>
        <v>#REF!</v>
      </c>
      <c r="D78" s="13">
        <f>SUM('1.Bev-kiad.'!C79)</f>
        <v>15915</v>
      </c>
      <c r="E78" s="13">
        <v>14000</v>
      </c>
      <c r="F78" s="13">
        <v>14000</v>
      </c>
      <c r="G78" s="13">
        <v>14000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s="50" customFormat="1" ht="15.75" hidden="1" x14ac:dyDescent="0.25">
      <c r="A79" s="14"/>
      <c r="B79" s="226" t="s">
        <v>395</v>
      </c>
      <c r="C79" s="43"/>
      <c r="D79" s="43"/>
      <c r="E79" s="43"/>
      <c r="F79" s="43"/>
      <c r="G79" s="4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s="50" customFormat="1" ht="12.75" customHeight="1" x14ac:dyDescent="0.25">
      <c r="A80" s="14"/>
      <c r="B80" s="226" t="s">
        <v>934</v>
      </c>
      <c r="C80" s="43"/>
      <c r="D80" s="13">
        <f>SUM('1.Bev-kiad.'!C81)</f>
        <v>58156</v>
      </c>
      <c r="E80" s="13">
        <f>(20156+38000)</f>
        <v>58156</v>
      </c>
      <c r="F80" s="13">
        <f>(20156+38000)</f>
        <v>58156</v>
      </c>
      <c r="G80" s="13">
        <f>(20156+38000)</f>
        <v>58156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50" customFormat="1" ht="15" customHeight="1" x14ac:dyDescent="0.25">
      <c r="A81" s="14"/>
      <c r="B81" s="191" t="s">
        <v>396</v>
      </c>
      <c r="C81" s="43"/>
      <c r="D81" s="43"/>
      <c r="E81" s="43"/>
      <c r="F81" s="43"/>
      <c r="G81" s="4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s="50" customFormat="1" ht="15" customHeight="1" thickBot="1" x14ac:dyDescent="0.3">
      <c r="A82" s="22"/>
      <c r="B82" s="188" t="s">
        <v>397</v>
      </c>
      <c r="C82" s="173"/>
      <c r="D82" s="173"/>
      <c r="E82" s="173"/>
      <c r="F82" s="173"/>
      <c r="G82" s="17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21.75" customHeight="1" thickBot="1" x14ac:dyDescent="0.4">
      <c r="A83" s="268"/>
      <c r="B83" s="218" t="s">
        <v>55</v>
      </c>
      <c r="C83" s="181" t="e">
        <f>SUM(C64+C76)</f>
        <v>#REF!</v>
      </c>
      <c r="D83" s="181">
        <f>SUM(D64+D76)</f>
        <v>2484300</v>
      </c>
      <c r="E83" s="181">
        <f>SUM(E64+E76)</f>
        <v>1174000</v>
      </c>
      <c r="F83" s="181">
        <f>SUM(F64+F76)</f>
        <v>1197000</v>
      </c>
      <c r="G83" s="181">
        <f>SUM(G64+G76)</f>
        <v>1193000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4.25" hidden="1" customHeight="1" x14ac:dyDescent="0.2">
      <c r="C84" s="7" t="e">
        <f>SUM(C63-C83)</f>
        <v>#REF!</v>
      </c>
      <c r="D84" s="7">
        <f>SUM(D63-D83)</f>
        <v>0</v>
      </c>
      <c r="E84" s="7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.75" hidden="1" customHeight="1" x14ac:dyDescent="0.2">
      <c r="B85" s="2" t="s">
        <v>494</v>
      </c>
      <c r="C85" s="7" t="e">
        <f>SUM(C68+C75)</f>
        <v>#REF!</v>
      </c>
      <c r="D85" s="7">
        <f>SUM(D68+D75)</f>
        <v>193582</v>
      </c>
      <c r="E85" s="7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.75" hidden="1" customHeight="1" x14ac:dyDescent="0.2">
      <c r="C86" s="7"/>
      <c r="D86" s="7">
        <f>SUM(D63-D83)</f>
        <v>0</v>
      </c>
      <c r="E86" s="7">
        <f>SUM(E63-E83)</f>
        <v>0</v>
      </c>
      <c r="F86" s="7">
        <f>SUM(F63-F83)</f>
        <v>0</v>
      </c>
      <c r="G86" s="7">
        <f>SUM(G63-G83)</f>
        <v>19840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.75" customHeight="1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.75" customHeight="1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.75" customHeight="1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.7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.7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.7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.7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.7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.7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2:21" ht="15.7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2:21" ht="15.7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2:21" ht="15.7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2:21" ht="15.7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2:21" ht="15.7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2:21" ht="15.7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2:21" ht="15.7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2:21" ht="15.7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2:21" ht="15.7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2:21" ht="15.7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2:21" ht="15.7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2:21" ht="15.7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2:21" ht="15.7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2:21" ht="15.7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2:21" ht="15.7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2:21" ht="15.7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2:21" ht="15.7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2:21" ht="15.7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2:21" ht="15.7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2:21" ht="15.7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2:21" ht="15.7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2:21" ht="15.7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2:21" ht="15.7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2:21" ht="15.7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2:21" ht="15.7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2:21" ht="15.7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2:21" ht="15.7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2:21" ht="15.7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2:21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2:21" ht="15.7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2:21" ht="15.7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2:21" ht="15.7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2:21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2:21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2:21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2:21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2:21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2:21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2:21" ht="15.7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2:21" ht="15.7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2:21" ht="15.7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2:21" ht="15.7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2:21" ht="15.7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2:21" ht="15.7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2:21" ht="15.7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2:21" ht="15.7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2:21" ht="15.7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2:21" ht="15.7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2:21" ht="15.7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2:21" ht="15.7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2:21" ht="15.7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2:21" ht="15.7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2:21" ht="15.7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2:21" ht="15.7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2:21" ht="15.7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2:21" ht="15.7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2:21" ht="15.7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2:21" ht="15.7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2:21" ht="15.7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2:21" ht="15.7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2:21" ht="15.7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2:21" ht="15.7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2:21" ht="15.7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2:21" ht="15.7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2:21" ht="15.7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2:21" ht="15.7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2:21" ht="15.7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2:21" ht="15.7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2:21" ht="15.7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2:21" ht="15.7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2:21" ht="15.75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2:21" ht="15.7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2:21" ht="15.75" customHeight="1" x14ac:dyDescent="0.2">
      <c r="B169" s="2"/>
      <c r="C169" s="29"/>
      <c r="D169" s="29"/>
      <c r="E169" s="29"/>
      <c r="F169" s="29"/>
      <c r="G169" s="29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2:21" ht="15.75" customHeight="1" x14ac:dyDescent="0.2">
      <c r="B170" s="2"/>
      <c r="C170" s="29"/>
      <c r="D170" s="29"/>
      <c r="E170" s="29"/>
      <c r="F170" s="29"/>
      <c r="G170" s="29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2:21" ht="15.75" customHeight="1" x14ac:dyDescent="0.2">
      <c r="B171" s="2"/>
      <c r="C171" s="29"/>
      <c r="D171" s="29"/>
      <c r="E171" s="29"/>
      <c r="F171" s="29"/>
      <c r="G171" s="29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2:21" ht="15.75" customHeight="1" x14ac:dyDescent="0.2">
      <c r="B172" s="2"/>
      <c r="C172" s="29"/>
      <c r="D172" s="29"/>
      <c r="E172" s="29"/>
      <c r="F172" s="29"/>
      <c r="G172" s="29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2:21" ht="15.75" customHeight="1" x14ac:dyDescent="0.2">
      <c r="B173" s="2"/>
      <c r="C173" s="29"/>
      <c r="D173" s="29"/>
      <c r="E173" s="29"/>
      <c r="F173" s="29"/>
      <c r="G173" s="29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2:21" ht="15.75" customHeight="1" x14ac:dyDescent="0.2">
      <c r="B174" s="2"/>
      <c r="C174" s="29"/>
      <c r="D174" s="29"/>
      <c r="E174" s="29"/>
      <c r="F174" s="29"/>
      <c r="G174" s="29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2:21" ht="15.75" customHeight="1" x14ac:dyDescent="0.2">
      <c r="B175" s="2"/>
      <c r="C175" s="29"/>
      <c r="D175" s="29"/>
      <c r="E175" s="29"/>
      <c r="F175" s="29"/>
      <c r="G175" s="29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2:21" ht="15.75" customHeight="1" x14ac:dyDescent="0.2">
      <c r="B176" s="2"/>
      <c r="C176" s="29"/>
      <c r="D176" s="29"/>
      <c r="E176" s="29"/>
      <c r="F176" s="29"/>
      <c r="G176" s="29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2:21" ht="15.75" customHeight="1" x14ac:dyDescent="0.2">
      <c r="B177" s="2"/>
      <c r="C177" s="29"/>
      <c r="D177" s="29"/>
      <c r="E177" s="29"/>
      <c r="F177" s="29"/>
      <c r="G177" s="29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2:21" ht="15.75" customHeight="1" x14ac:dyDescent="0.2">
      <c r="B178" s="2"/>
      <c r="C178" s="29"/>
      <c r="D178" s="29"/>
      <c r="E178" s="29"/>
      <c r="F178" s="29"/>
      <c r="G178" s="29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2:21" ht="15.75" customHeight="1" x14ac:dyDescent="0.2">
      <c r="B179" s="2"/>
      <c r="C179" s="29"/>
      <c r="D179" s="29"/>
      <c r="E179" s="29"/>
      <c r="F179" s="29"/>
      <c r="G179" s="29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2:21" ht="15.75" customHeight="1" x14ac:dyDescent="0.2">
      <c r="B180" s="2"/>
      <c r="C180" s="29"/>
      <c r="D180" s="29"/>
      <c r="E180" s="29"/>
      <c r="F180" s="29"/>
      <c r="G180" s="29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2:21" ht="15.75" customHeight="1" x14ac:dyDescent="0.2">
      <c r="B181" s="2"/>
      <c r="C181" s="29"/>
      <c r="D181" s="29"/>
      <c r="E181" s="29"/>
      <c r="F181" s="29"/>
      <c r="G181" s="29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2:21" ht="15.75" customHeight="1" x14ac:dyDescent="0.2">
      <c r="B182" s="2"/>
      <c r="C182" s="29"/>
      <c r="D182" s="29"/>
      <c r="E182" s="29"/>
      <c r="F182" s="29"/>
      <c r="G182" s="29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2:21" ht="15.75" customHeight="1" x14ac:dyDescent="0.2">
      <c r="B183" s="2"/>
      <c r="C183" s="29"/>
      <c r="D183" s="29"/>
      <c r="E183" s="29"/>
      <c r="F183" s="29"/>
      <c r="G183" s="29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2:21" ht="15.75" customHeight="1" x14ac:dyDescent="0.2">
      <c r="B184" s="2"/>
      <c r="C184" s="29"/>
      <c r="D184" s="29"/>
      <c r="E184" s="29"/>
      <c r="F184" s="29"/>
      <c r="G184" s="29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2:21" ht="15.75" customHeight="1" x14ac:dyDescent="0.2">
      <c r="B185" s="2"/>
      <c r="C185" s="29"/>
      <c r="D185" s="29"/>
      <c r="E185" s="29"/>
      <c r="F185" s="29"/>
      <c r="G185" s="29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2:21" ht="15.75" customHeight="1" x14ac:dyDescent="0.2">
      <c r="B186" s="2"/>
      <c r="C186" s="29"/>
      <c r="D186" s="29"/>
      <c r="E186" s="29"/>
      <c r="F186" s="29"/>
      <c r="G186" s="29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2:21" ht="15.75" customHeight="1" x14ac:dyDescent="0.2">
      <c r="B187" s="2"/>
      <c r="C187" s="29"/>
      <c r="D187" s="29"/>
      <c r="E187" s="29"/>
      <c r="F187" s="29"/>
      <c r="G187" s="29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2:21" ht="15.75" customHeight="1" x14ac:dyDescent="0.2">
      <c r="B188" s="2"/>
      <c r="C188" s="29"/>
      <c r="D188" s="29"/>
      <c r="E188" s="29"/>
      <c r="F188" s="29"/>
      <c r="G188" s="29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2:21" ht="15.75" customHeight="1" x14ac:dyDescent="0.2">
      <c r="B189" s="2"/>
      <c r="C189" s="29"/>
      <c r="D189" s="29"/>
      <c r="E189" s="29"/>
      <c r="F189" s="29"/>
      <c r="G189" s="29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2:21" ht="15.75" customHeight="1" x14ac:dyDescent="0.2">
      <c r="B190" s="2"/>
      <c r="C190" s="29"/>
      <c r="D190" s="29"/>
      <c r="E190" s="29"/>
      <c r="F190" s="29"/>
      <c r="G190" s="29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2:21" ht="15.75" customHeight="1" x14ac:dyDescent="0.2">
      <c r="B191" s="2"/>
      <c r="C191" s="29"/>
      <c r="D191" s="29"/>
      <c r="E191" s="29"/>
      <c r="F191" s="29"/>
      <c r="G191" s="29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2:21" ht="15.75" customHeight="1" x14ac:dyDescent="0.2">
      <c r="B192" s="2"/>
      <c r="C192" s="29"/>
      <c r="D192" s="29"/>
      <c r="E192" s="29"/>
      <c r="F192" s="29"/>
      <c r="G192" s="29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2:21" ht="15.75" customHeight="1" x14ac:dyDescent="0.2">
      <c r="B193" s="2"/>
      <c r="C193" s="29"/>
      <c r="D193" s="29"/>
      <c r="E193" s="29"/>
      <c r="F193" s="29"/>
      <c r="G193" s="29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2:21" ht="15.75" customHeight="1" x14ac:dyDescent="0.2">
      <c r="B194" s="2"/>
      <c r="C194" s="29"/>
      <c r="D194" s="29"/>
      <c r="E194" s="29"/>
      <c r="F194" s="29"/>
      <c r="G194" s="29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2:21" ht="15.75" customHeight="1" x14ac:dyDescent="0.2">
      <c r="B195" s="2"/>
      <c r="C195" s="29"/>
      <c r="D195" s="29"/>
      <c r="E195" s="29"/>
      <c r="F195" s="29"/>
      <c r="G195" s="29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2:21" ht="15.75" customHeight="1" x14ac:dyDescent="0.2">
      <c r="B196" s="2"/>
      <c r="C196" s="29"/>
      <c r="D196" s="29"/>
      <c r="E196" s="29"/>
      <c r="F196" s="29"/>
      <c r="G196" s="29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2:21" ht="15.75" customHeight="1" x14ac:dyDescent="0.2">
      <c r="B197" s="2"/>
      <c r="C197" s="29"/>
      <c r="D197" s="29"/>
      <c r="E197" s="29"/>
      <c r="F197" s="29"/>
      <c r="G197" s="29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2:21" ht="15.75" customHeight="1" x14ac:dyDescent="0.2">
      <c r="B198" s="2"/>
      <c r="C198" s="29"/>
      <c r="D198" s="29"/>
      <c r="E198" s="29"/>
      <c r="F198" s="29"/>
      <c r="G198" s="29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2:21" ht="15.75" customHeight="1" x14ac:dyDescent="0.2">
      <c r="B199" s="2"/>
      <c r="C199" s="29"/>
      <c r="D199" s="29"/>
      <c r="E199" s="29"/>
      <c r="F199" s="29"/>
      <c r="G199" s="29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2:21" ht="15.75" customHeight="1" x14ac:dyDescent="0.2">
      <c r="B200" s="2"/>
      <c r="C200" s="29"/>
      <c r="D200" s="29"/>
      <c r="E200" s="29"/>
      <c r="F200" s="29"/>
      <c r="G200" s="29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2:21" ht="15.75" customHeight="1" x14ac:dyDescent="0.2">
      <c r="B201" s="2"/>
      <c r="C201" s="29"/>
      <c r="D201" s="29"/>
      <c r="E201" s="29"/>
      <c r="F201" s="29"/>
      <c r="G201" s="29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2:21" ht="15.75" customHeight="1" x14ac:dyDescent="0.2">
      <c r="B202" s="2"/>
      <c r="C202" s="29"/>
      <c r="D202" s="29"/>
      <c r="E202" s="29"/>
      <c r="F202" s="29"/>
      <c r="G202" s="29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2:21" ht="15.75" customHeight="1" x14ac:dyDescent="0.2">
      <c r="B203" s="2"/>
      <c r="C203" s="29"/>
      <c r="D203" s="29"/>
      <c r="E203" s="29"/>
      <c r="F203" s="29"/>
      <c r="G203" s="29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2:21" ht="15.75" customHeight="1" x14ac:dyDescent="0.2">
      <c r="B204" s="2"/>
      <c r="C204" s="29"/>
      <c r="D204" s="29"/>
      <c r="E204" s="29"/>
      <c r="F204" s="29"/>
      <c r="G204" s="29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2:21" ht="15.75" customHeight="1" x14ac:dyDescent="0.2">
      <c r="B205" s="2"/>
      <c r="C205" s="29"/>
      <c r="D205" s="29"/>
      <c r="E205" s="29"/>
      <c r="F205" s="29"/>
      <c r="G205" s="29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2:21" ht="15.75" customHeight="1" x14ac:dyDescent="0.2">
      <c r="B206" s="2"/>
      <c r="C206" s="29"/>
      <c r="D206" s="29"/>
      <c r="E206" s="29"/>
      <c r="F206" s="29"/>
      <c r="G206" s="29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2:21" ht="15.75" customHeight="1" x14ac:dyDescent="0.2">
      <c r="B207" s="2"/>
      <c r="C207" s="29"/>
      <c r="D207" s="29"/>
      <c r="E207" s="29"/>
      <c r="F207" s="29"/>
      <c r="G207" s="29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2:21" ht="15.75" customHeight="1" x14ac:dyDescent="0.2">
      <c r="B208" s="2"/>
      <c r="C208" s="29"/>
      <c r="D208" s="29"/>
      <c r="E208" s="29"/>
      <c r="F208" s="29"/>
      <c r="G208" s="29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2:21" ht="15.75" customHeight="1" x14ac:dyDescent="0.2">
      <c r="B209" s="2"/>
      <c r="C209" s="29"/>
      <c r="D209" s="29"/>
      <c r="E209" s="29"/>
      <c r="F209" s="29"/>
      <c r="G209" s="29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2:21" ht="15.75" customHeight="1" x14ac:dyDescent="0.2">
      <c r="B210" s="2"/>
      <c r="C210" s="29"/>
      <c r="D210" s="29"/>
      <c r="E210" s="29"/>
      <c r="F210" s="29"/>
      <c r="G210" s="29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2:21" ht="15.75" customHeight="1" x14ac:dyDescent="0.2">
      <c r="B211" s="2"/>
      <c r="C211" s="29"/>
      <c r="D211" s="29"/>
      <c r="E211" s="29"/>
      <c r="F211" s="29"/>
      <c r="G211" s="29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2:21" ht="15.75" customHeight="1" x14ac:dyDescent="0.2">
      <c r="B212" s="2"/>
      <c r="C212" s="29"/>
      <c r="D212" s="29"/>
      <c r="E212" s="29"/>
      <c r="F212" s="29"/>
      <c r="G212" s="29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2:21" ht="15.75" customHeight="1" x14ac:dyDescent="0.2">
      <c r="B213" s="2"/>
      <c r="C213" s="29"/>
      <c r="D213" s="29"/>
      <c r="E213" s="29"/>
      <c r="F213" s="29"/>
      <c r="G213" s="29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2:21" ht="15.75" customHeight="1" x14ac:dyDescent="0.2">
      <c r="B214" s="2"/>
      <c r="C214" s="29"/>
      <c r="D214" s="29"/>
      <c r="E214" s="29"/>
      <c r="F214" s="29"/>
      <c r="G214" s="29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2:21" ht="15.75" customHeight="1" x14ac:dyDescent="0.2">
      <c r="B215" s="2"/>
      <c r="C215" s="29"/>
      <c r="D215" s="29"/>
      <c r="E215" s="29"/>
      <c r="F215" s="29"/>
      <c r="G215" s="29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2:21" ht="15.75" customHeight="1" x14ac:dyDescent="0.2">
      <c r="B216" s="2"/>
      <c r="C216" s="29"/>
      <c r="D216" s="29"/>
      <c r="E216" s="29"/>
      <c r="F216" s="29"/>
      <c r="G216" s="29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2:21" ht="15.75" customHeight="1" x14ac:dyDescent="0.2">
      <c r="B217" s="2"/>
      <c r="C217" s="29"/>
      <c r="D217" s="29"/>
      <c r="E217" s="29"/>
      <c r="F217" s="29"/>
      <c r="G217" s="29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2:21" ht="15.75" customHeight="1" x14ac:dyDescent="0.2">
      <c r="B218" s="2"/>
      <c r="C218" s="29"/>
      <c r="D218" s="29"/>
      <c r="E218" s="29"/>
      <c r="F218" s="29"/>
      <c r="G218" s="29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2:21" ht="15.75" customHeight="1" x14ac:dyDescent="0.2">
      <c r="B219" s="2"/>
      <c r="C219" s="29"/>
      <c r="D219" s="29"/>
      <c r="E219" s="29"/>
      <c r="F219" s="29"/>
      <c r="G219" s="29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2:21" ht="15.75" customHeight="1" x14ac:dyDescent="0.2">
      <c r="B220" s="2"/>
      <c r="C220" s="29"/>
      <c r="D220" s="29"/>
      <c r="E220" s="29"/>
      <c r="F220" s="29"/>
      <c r="G220" s="29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2:21" ht="15.75" customHeight="1" x14ac:dyDescent="0.2">
      <c r="B221" s="2"/>
      <c r="C221" s="29"/>
      <c r="D221" s="29"/>
      <c r="E221" s="29"/>
      <c r="F221" s="29"/>
      <c r="G221" s="29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2:21" ht="15.75" customHeight="1" x14ac:dyDescent="0.2">
      <c r="B222" s="2"/>
      <c r="C222" s="29"/>
      <c r="D222" s="29"/>
      <c r="E222" s="29"/>
      <c r="F222" s="29"/>
      <c r="G222" s="29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2:21" ht="15.75" customHeight="1" x14ac:dyDescent="0.2">
      <c r="B223" s="2"/>
      <c r="C223" s="29"/>
      <c r="D223" s="29"/>
      <c r="E223" s="29"/>
      <c r="F223" s="29"/>
      <c r="G223" s="29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2:21" ht="15.75" customHeight="1" x14ac:dyDescent="0.2">
      <c r="B224" s="2"/>
      <c r="C224" s="29"/>
      <c r="D224" s="29"/>
      <c r="E224" s="29"/>
      <c r="F224" s="29"/>
      <c r="G224" s="29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2:21" ht="15.75" customHeight="1" x14ac:dyDescent="0.2">
      <c r="B225" s="2"/>
      <c r="C225" s="29"/>
      <c r="D225" s="29"/>
      <c r="E225" s="29"/>
      <c r="F225" s="29"/>
      <c r="G225" s="29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2:21" ht="15.75" customHeight="1" x14ac:dyDescent="0.2">
      <c r="B226" s="2"/>
      <c r="C226" s="29"/>
      <c r="D226" s="29"/>
      <c r="E226" s="29"/>
      <c r="F226" s="29"/>
      <c r="G226" s="29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2:21" ht="15.75" customHeight="1" x14ac:dyDescent="0.2">
      <c r="B227" s="2"/>
      <c r="C227" s="29"/>
      <c r="D227" s="29"/>
      <c r="E227" s="29"/>
      <c r="F227" s="29"/>
      <c r="G227" s="29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2:21" ht="15.75" customHeight="1" x14ac:dyDescent="0.2">
      <c r="B228" s="2"/>
      <c r="C228" s="29"/>
      <c r="D228" s="29"/>
      <c r="E228" s="29"/>
      <c r="F228" s="29"/>
      <c r="G228" s="29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2:21" ht="15.75" customHeight="1" x14ac:dyDescent="0.2">
      <c r="B229" s="2"/>
      <c r="C229" s="29"/>
      <c r="D229" s="29"/>
      <c r="E229" s="29"/>
      <c r="F229" s="29"/>
      <c r="G229" s="29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2:21" ht="15.75" customHeight="1" x14ac:dyDescent="0.2">
      <c r="B230" s="2"/>
      <c r="C230" s="29"/>
      <c r="D230" s="29"/>
      <c r="E230" s="29"/>
      <c r="F230" s="29"/>
      <c r="G230" s="29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2:21" ht="15.75" customHeight="1" x14ac:dyDescent="0.2">
      <c r="B231" s="2"/>
      <c r="C231" s="29"/>
      <c r="D231" s="29"/>
      <c r="E231" s="29"/>
      <c r="F231" s="29"/>
      <c r="G231" s="29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2:21" ht="15.75" customHeight="1" x14ac:dyDescent="0.2">
      <c r="B232" s="2"/>
      <c r="C232" s="29"/>
      <c r="D232" s="29"/>
      <c r="E232" s="29"/>
      <c r="F232" s="29"/>
      <c r="G232" s="29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2:21" ht="15.75" customHeight="1" x14ac:dyDescent="0.2">
      <c r="B233" s="2"/>
      <c r="C233" s="29"/>
      <c r="D233" s="29"/>
      <c r="E233" s="29"/>
      <c r="F233" s="29"/>
      <c r="G233" s="29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2:21" ht="15.75" customHeight="1" x14ac:dyDescent="0.2">
      <c r="B234" s="2"/>
      <c r="C234" s="29"/>
      <c r="D234" s="29"/>
      <c r="E234" s="29"/>
      <c r="F234" s="29"/>
      <c r="G234" s="29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2:21" ht="15.75" customHeight="1" x14ac:dyDescent="0.2">
      <c r="B235" s="2"/>
      <c r="C235" s="29"/>
      <c r="D235" s="29"/>
      <c r="E235" s="29"/>
      <c r="F235" s="29"/>
      <c r="G235" s="29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2:21" ht="15.75" customHeight="1" x14ac:dyDescent="0.2">
      <c r="B236" s="2"/>
      <c r="C236" s="29"/>
      <c r="D236" s="29"/>
      <c r="E236" s="29"/>
      <c r="F236" s="29"/>
      <c r="G236" s="29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2:21" ht="15.75" customHeight="1" x14ac:dyDescent="0.2">
      <c r="B237" s="2"/>
      <c r="C237" s="29"/>
      <c r="D237" s="29"/>
      <c r="E237" s="29"/>
      <c r="F237" s="29"/>
      <c r="G237" s="29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2:21" ht="15.75" customHeight="1" x14ac:dyDescent="0.2">
      <c r="B238" s="2"/>
      <c r="C238" s="29"/>
      <c r="D238" s="29"/>
      <c r="E238" s="29"/>
      <c r="F238" s="29"/>
      <c r="G238" s="29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2:21" ht="15.75" customHeight="1" x14ac:dyDescent="0.2">
      <c r="B239" s="2"/>
      <c r="C239" s="29"/>
      <c r="D239" s="29"/>
      <c r="E239" s="29"/>
      <c r="F239" s="29"/>
      <c r="G239" s="29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2:21" ht="15.75" customHeight="1" x14ac:dyDescent="0.2">
      <c r="B240" s="2"/>
      <c r="C240" s="29"/>
      <c r="D240" s="29"/>
      <c r="E240" s="29"/>
      <c r="F240" s="29"/>
      <c r="G240" s="29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2:21" ht="15.75" customHeight="1" x14ac:dyDescent="0.2">
      <c r="B241" s="2"/>
      <c r="C241" s="29"/>
      <c r="D241" s="29"/>
      <c r="E241" s="29"/>
      <c r="F241" s="29"/>
      <c r="G241" s="29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2:21" ht="15.75" customHeight="1" x14ac:dyDescent="0.2">
      <c r="B242" s="2"/>
      <c r="C242" s="29"/>
      <c r="D242" s="29"/>
      <c r="E242" s="29"/>
      <c r="F242" s="29"/>
      <c r="G242" s="29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2:21" ht="15.75" customHeight="1" x14ac:dyDescent="0.2">
      <c r="B243" s="2"/>
      <c r="C243" s="29"/>
      <c r="D243" s="29"/>
      <c r="E243" s="29"/>
      <c r="F243" s="29"/>
      <c r="G243" s="29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2:21" ht="15.75" customHeight="1" x14ac:dyDescent="0.2">
      <c r="B244" s="2"/>
      <c r="C244" s="29"/>
      <c r="D244" s="29"/>
      <c r="E244" s="29"/>
      <c r="F244" s="29"/>
      <c r="G244" s="29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2:21" ht="15.75" customHeight="1" x14ac:dyDescent="0.2">
      <c r="B245" s="2"/>
      <c r="C245" s="29"/>
      <c r="D245" s="29"/>
      <c r="E245" s="29"/>
      <c r="F245" s="29"/>
      <c r="G245" s="29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2:21" ht="15.75" customHeight="1" x14ac:dyDescent="0.2">
      <c r="B246" s="2"/>
      <c r="C246" s="29"/>
      <c r="D246" s="29"/>
      <c r="E246" s="29"/>
      <c r="F246" s="29"/>
      <c r="G246" s="29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2:21" ht="15.75" customHeight="1" x14ac:dyDescent="0.2">
      <c r="B247" s="2"/>
      <c r="C247" s="29"/>
      <c r="D247" s="29"/>
      <c r="E247" s="29"/>
      <c r="F247" s="29"/>
      <c r="G247" s="29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2:21" ht="15.75" customHeight="1" x14ac:dyDescent="0.2">
      <c r="B248" s="2"/>
      <c r="C248" s="29"/>
      <c r="D248" s="29"/>
      <c r="E248" s="29"/>
      <c r="F248" s="29"/>
      <c r="G248" s="29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2:21" ht="15.75" customHeight="1" x14ac:dyDescent="0.2">
      <c r="B249" s="2"/>
      <c r="C249" s="29"/>
      <c r="D249" s="29"/>
      <c r="E249" s="29"/>
      <c r="F249" s="29"/>
      <c r="G249" s="29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2:21" ht="15.75" customHeight="1" x14ac:dyDescent="0.2">
      <c r="B250" s="2"/>
      <c r="C250" s="29"/>
      <c r="D250" s="29"/>
      <c r="E250" s="29"/>
      <c r="F250" s="29"/>
      <c r="G250" s="29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2:21" ht="15.75" customHeight="1" x14ac:dyDescent="0.2">
      <c r="B251" s="2"/>
      <c r="C251" s="29"/>
      <c r="D251" s="29"/>
      <c r="E251" s="29"/>
      <c r="F251" s="29"/>
      <c r="G251" s="29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2:21" ht="15.75" customHeight="1" x14ac:dyDescent="0.2">
      <c r="B252" s="2"/>
      <c r="C252" s="29"/>
      <c r="D252" s="29"/>
      <c r="E252" s="29"/>
      <c r="F252" s="29"/>
      <c r="G252" s="29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2:21" ht="15.75" customHeight="1" x14ac:dyDescent="0.2">
      <c r="B253" s="2"/>
      <c r="C253" s="29"/>
      <c r="D253" s="29"/>
      <c r="E253" s="29"/>
      <c r="F253" s="29"/>
      <c r="G253" s="29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2:21" ht="15.75" customHeight="1" x14ac:dyDescent="0.2">
      <c r="B254" s="2"/>
      <c r="C254" s="29"/>
      <c r="D254" s="29"/>
      <c r="E254" s="29"/>
      <c r="F254" s="29"/>
      <c r="G254" s="29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2:21" ht="15.75" customHeight="1" x14ac:dyDescent="0.2">
      <c r="B255" s="2"/>
      <c r="C255" s="29"/>
      <c r="D255" s="29"/>
      <c r="E255" s="29"/>
      <c r="F255" s="29"/>
      <c r="G255" s="29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2:21" ht="15.75" customHeight="1" x14ac:dyDescent="0.2">
      <c r="B256" s="2"/>
      <c r="C256" s="29"/>
      <c r="D256" s="29"/>
      <c r="E256" s="29"/>
      <c r="F256" s="29"/>
      <c r="G256" s="29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2:21" ht="15.75" customHeight="1" x14ac:dyDescent="0.2">
      <c r="B257" s="2"/>
      <c r="C257" s="29"/>
      <c r="D257" s="29"/>
      <c r="E257" s="29"/>
      <c r="F257" s="29"/>
      <c r="G257" s="29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2:21" ht="15.75" customHeight="1" x14ac:dyDescent="0.2">
      <c r="B258" s="2"/>
      <c r="C258" s="29"/>
      <c r="D258" s="29"/>
      <c r="E258" s="29"/>
      <c r="F258" s="29"/>
      <c r="G258" s="29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2:21" ht="15.75" customHeight="1" x14ac:dyDescent="0.2">
      <c r="B259" s="2"/>
      <c r="C259" s="29"/>
      <c r="D259" s="29"/>
      <c r="E259" s="29"/>
      <c r="F259" s="29"/>
      <c r="G259" s="29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2:21" ht="15.75" customHeight="1" x14ac:dyDescent="0.2">
      <c r="B260" s="2"/>
      <c r="C260" s="29"/>
      <c r="D260" s="29"/>
      <c r="E260" s="29"/>
      <c r="F260" s="29"/>
      <c r="G260" s="29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2:21" ht="15.75" customHeight="1" x14ac:dyDescent="0.2">
      <c r="B261" s="2"/>
      <c r="C261" s="29"/>
      <c r="D261" s="29"/>
      <c r="E261" s="29"/>
      <c r="F261" s="29"/>
      <c r="G261" s="29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2:21" ht="15.75" customHeight="1" x14ac:dyDescent="0.2">
      <c r="B262" s="2"/>
      <c r="C262" s="29"/>
      <c r="D262" s="29"/>
      <c r="E262" s="29"/>
      <c r="F262" s="29"/>
      <c r="G262" s="29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2:21" ht="15.75" customHeight="1" x14ac:dyDescent="0.2">
      <c r="B263" s="2"/>
      <c r="C263" s="29"/>
      <c r="D263" s="29"/>
      <c r="E263" s="29"/>
      <c r="F263" s="29"/>
      <c r="G263" s="29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2:21" ht="15.75" customHeight="1" x14ac:dyDescent="0.2">
      <c r="B264" s="2"/>
      <c r="C264" s="29"/>
      <c r="D264" s="29"/>
      <c r="E264" s="29"/>
      <c r="F264" s="29"/>
      <c r="G264" s="29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2:21" ht="15.75" customHeight="1" x14ac:dyDescent="0.2">
      <c r="B265" s="2"/>
      <c r="C265" s="29"/>
      <c r="D265" s="29"/>
      <c r="E265" s="29"/>
      <c r="F265" s="29"/>
      <c r="G265" s="29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2:21" ht="15.75" customHeight="1" x14ac:dyDescent="0.2">
      <c r="B266" s="2"/>
      <c r="C266" s="29"/>
      <c r="D266" s="29"/>
      <c r="E266" s="29"/>
      <c r="F266" s="29"/>
      <c r="G266" s="29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2:21" ht="15.75" customHeight="1" x14ac:dyDescent="0.2">
      <c r="B267" s="2"/>
      <c r="C267" s="29"/>
      <c r="D267" s="29"/>
      <c r="E267" s="29"/>
      <c r="F267" s="29"/>
      <c r="G267" s="29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2:21" ht="15.75" customHeight="1" x14ac:dyDescent="0.2">
      <c r="B268" s="2"/>
      <c r="C268" s="29"/>
      <c r="D268" s="29"/>
      <c r="E268" s="29"/>
      <c r="F268" s="29"/>
      <c r="G268" s="29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2:21" ht="15.75" customHeight="1" x14ac:dyDescent="0.2">
      <c r="B269" s="2"/>
      <c r="C269" s="29"/>
      <c r="D269" s="29"/>
      <c r="E269" s="29"/>
      <c r="F269" s="29"/>
      <c r="G269" s="29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2:21" ht="15.75" customHeight="1" x14ac:dyDescent="0.2">
      <c r="B270" s="2"/>
      <c r="C270" s="29"/>
      <c r="D270" s="29"/>
      <c r="E270" s="29"/>
      <c r="F270" s="29"/>
      <c r="G270" s="29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2:21" ht="15.75" customHeight="1" x14ac:dyDescent="0.2">
      <c r="B271" s="2"/>
      <c r="C271" s="29"/>
      <c r="D271" s="29"/>
      <c r="E271" s="29"/>
      <c r="F271" s="29"/>
      <c r="G271" s="29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2:21" ht="15.75" customHeight="1" x14ac:dyDescent="0.2">
      <c r="B272" s="2"/>
      <c r="C272" s="29"/>
      <c r="D272" s="29"/>
      <c r="E272" s="29"/>
      <c r="F272" s="29"/>
      <c r="G272" s="29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2:21" ht="15.75" customHeight="1" x14ac:dyDescent="0.2">
      <c r="B273" s="2"/>
      <c r="C273" s="29"/>
      <c r="D273" s="29"/>
      <c r="E273" s="29"/>
      <c r="F273" s="29"/>
      <c r="G273" s="29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2:21" ht="15.75" customHeight="1" x14ac:dyDescent="0.2">
      <c r="B274" s="2"/>
      <c r="C274" s="29"/>
      <c r="D274" s="29"/>
      <c r="E274" s="29"/>
      <c r="F274" s="29"/>
      <c r="G274" s="29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2:21" ht="15.75" customHeight="1" x14ac:dyDescent="0.2">
      <c r="B275" s="2"/>
      <c r="C275" s="29"/>
      <c r="D275" s="29"/>
      <c r="E275" s="29"/>
      <c r="F275" s="29"/>
      <c r="G275" s="29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2:21" ht="15.75" customHeight="1" x14ac:dyDescent="0.2">
      <c r="B276" s="2"/>
      <c r="C276" s="29"/>
      <c r="D276" s="29"/>
      <c r="E276" s="29"/>
      <c r="F276" s="29"/>
      <c r="G276" s="29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2:21" ht="15.75" customHeight="1" x14ac:dyDescent="0.2">
      <c r="B277" s="2"/>
      <c r="C277" s="29"/>
      <c r="D277" s="29"/>
      <c r="E277" s="29"/>
      <c r="F277" s="29"/>
      <c r="G277" s="29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2:21" ht="15.75" customHeight="1" x14ac:dyDescent="0.2">
      <c r="B278" s="2"/>
      <c r="C278" s="29"/>
      <c r="D278" s="29"/>
      <c r="E278" s="29"/>
      <c r="F278" s="29"/>
      <c r="G278" s="29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2:21" ht="15.75" customHeight="1" x14ac:dyDescent="0.2">
      <c r="B279" s="2"/>
      <c r="C279" s="29"/>
      <c r="D279" s="29"/>
      <c r="E279" s="29"/>
      <c r="F279" s="29"/>
      <c r="G279" s="29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2:21" ht="15.75" customHeight="1" x14ac:dyDescent="0.2">
      <c r="B280" s="2"/>
      <c r="C280" s="29"/>
      <c r="D280" s="29"/>
      <c r="E280" s="29"/>
      <c r="F280" s="29"/>
      <c r="G280" s="29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2:21" ht="15.75" customHeight="1" x14ac:dyDescent="0.2">
      <c r="B281" s="2"/>
      <c r="C281" s="29"/>
      <c r="D281" s="29"/>
      <c r="E281" s="29"/>
      <c r="F281" s="29"/>
      <c r="G281" s="29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2:21" ht="15.75" customHeight="1" x14ac:dyDescent="0.2">
      <c r="B282" s="2"/>
      <c r="C282" s="29"/>
      <c r="D282" s="29"/>
      <c r="E282" s="29"/>
      <c r="F282" s="29"/>
      <c r="G282" s="29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2:21" ht="15.75" customHeight="1" x14ac:dyDescent="0.2">
      <c r="B283" s="2"/>
      <c r="C283" s="29"/>
      <c r="D283" s="29"/>
      <c r="E283" s="29"/>
      <c r="F283" s="29"/>
      <c r="G283" s="29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2:21" ht="15.75" customHeight="1" x14ac:dyDescent="0.2">
      <c r="B284" s="2"/>
      <c r="C284" s="29"/>
      <c r="D284" s="29"/>
      <c r="E284" s="29"/>
      <c r="F284" s="29"/>
      <c r="G284" s="29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2:21" ht="15.75" customHeight="1" x14ac:dyDescent="0.2">
      <c r="B285" s="2"/>
      <c r="C285" s="29"/>
      <c r="D285" s="29"/>
      <c r="E285" s="29"/>
      <c r="F285" s="29"/>
      <c r="G285" s="29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2:21" ht="15.75" customHeight="1" x14ac:dyDescent="0.2">
      <c r="B286" s="2"/>
      <c r="C286" s="29"/>
      <c r="D286" s="29"/>
      <c r="E286" s="29"/>
      <c r="F286" s="29"/>
      <c r="G286" s="29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2:21" ht="15.75" customHeight="1" x14ac:dyDescent="0.2">
      <c r="B287" s="2"/>
      <c r="C287" s="29"/>
      <c r="D287" s="29"/>
      <c r="E287" s="29"/>
      <c r="F287" s="29"/>
      <c r="G287" s="29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2:21" ht="15.75" customHeight="1" x14ac:dyDescent="0.2">
      <c r="B288" s="2"/>
      <c r="C288" s="29"/>
      <c r="D288" s="29"/>
      <c r="E288" s="29"/>
      <c r="F288" s="29"/>
      <c r="G288" s="29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2:21" ht="15.75" customHeight="1" x14ac:dyDescent="0.2">
      <c r="B289" s="2"/>
      <c r="C289" s="29"/>
      <c r="D289" s="29"/>
      <c r="E289" s="29"/>
      <c r="F289" s="29"/>
      <c r="G289" s="29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2:21" ht="15.75" customHeight="1" x14ac:dyDescent="0.2">
      <c r="B290" s="2"/>
      <c r="C290" s="29"/>
      <c r="D290" s="29"/>
      <c r="E290" s="29"/>
      <c r="F290" s="29"/>
      <c r="G290" s="29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2:21" ht="15.75" customHeight="1" x14ac:dyDescent="0.2">
      <c r="B291" s="2"/>
      <c r="C291" s="29"/>
      <c r="D291" s="29"/>
      <c r="E291" s="29"/>
      <c r="F291" s="29"/>
      <c r="G291" s="29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2:21" ht="15.75" customHeight="1" x14ac:dyDescent="0.2">
      <c r="B292" s="2"/>
      <c r="C292" s="29"/>
      <c r="D292" s="29"/>
      <c r="E292" s="29"/>
      <c r="F292" s="29"/>
      <c r="G292" s="29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2:21" ht="15.75" customHeight="1" x14ac:dyDescent="0.2">
      <c r="B293" s="2"/>
      <c r="C293" s="29"/>
      <c r="D293" s="29"/>
      <c r="E293" s="29"/>
      <c r="F293" s="29"/>
      <c r="G293" s="29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2:21" ht="15.75" customHeight="1" x14ac:dyDescent="0.2">
      <c r="B294" s="2"/>
      <c r="C294" s="29"/>
      <c r="D294" s="29"/>
      <c r="E294" s="29"/>
      <c r="F294" s="29"/>
      <c r="G294" s="29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2:21" ht="15.75" customHeight="1" x14ac:dyDescent="0.2">
      <c r="B295" s="2"/>
      <c r="C295" s="29"/>
      <c r="D295" s="29"/>
      <c r="E295" s="29"/>
      <c r="F295" s="29"/>
      <c r="G295" s="29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2:21" ht="15.75" customHeight="1" x14ac:dyDescent="0.2">
      <c r="B296" s="2"/>
      <c r="C296" s="29"/>
      <c r="D296" s="29"/>
      <c r="E296" s="29"/>
      <c r="F296" s="29"/>
      <c r="G296" s="29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2:21" ht="15.75" customHeight="1" x14ac:dyDescent="0.2">
      <c r="B297" s="2"/>
      <c r="C297" s="29"/>
      <c r="D297" s="29"/>
      <c r="E297" s="29"/>
      <c r="F297" s="29"/>
      <c r="G297" s="29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2:21" ht="15.75" customHeight="1" x14ac:dyDescent="0.2">
      <c r="B298" s="2"/>
      <c r="C298" s="29"/>
      <c r="D298" s="29"/>
      <c r="E298" s="29"/>
      <c r="F298" s="29"/>
      <c r="G298" s="29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2:21" ht="15.75" customHeight="1" x14ac:dyDescent="0.2">
      <c r="B299" s="2"/>
      <c r="C299" s="29"/>
      <c r="D299" s="29"/>
      <c r="E299" s="29"/>
      <c r="F299" s="29"/>
      <c r="G299" s="29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2:21" ht="15.75" customHeight="1" x14ac:dyDescent="0.2">
      <c r="B300" s="2"/>
      <c r="C300" s="29"/>
      <c r="D300" s="29"/>
      <c r="E300" s="29"/>
      <c r="F300" s="29"/>
      <c r="G300" s="29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2:21" ht="15.75" customHeight="1" x14ac:dyDescent="0.2">
      <c r="B301" s="2"/>
      <c r="C301" s="29"/>
      <c r="D301" s="29"/>
      <c r="E301" s="29"/>
      <c r="F301" s="29"/>
      <c r="G301" s="29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2:21" ht="15.75" customHeight="1" x14ac:dyDescent="0.2">
      <c r="B302" s="2"/>
      <c r="C302" s="29"/>
      <c r="D302" s="29"/>
      <c r="E302" s="29"/>
      <c r="F302" s="29"/>
      <c r="G302" s="29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2:21" ht="15.75" customHeight="1" x14ac:dyDescent="0.2">
      <c r="B303" s="2"/>
      <c r="C303" s="29"/>
      <c r="D303" s="29"/>
      <c r="E303" s="29"/>
      <c r="F303" s="29"/>
      <c r="G303" s="29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2:21" ht="15.75" customHeight="1" x14ac:dyDescent="0.2">
      <c r="B304" s="2"/>
      <c r="C304" s="29"/>
      <c r="D304" s="29"/>
      <c r="E304" s="29"/>
      <c r="F304" s="29"/>
      <c r="G304" s="29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2:21" ht="15.75" customHeight="1" x14ac:dyDescent="0.2">
      <c r="B305" s="2"/>
      <c r="C305" s="29"/>
      <c r="D305" s="29"/>
      <c r="E305" s="29"/>
      <c r="F305" s="29"/>
      <c r="G305" s="29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2:21" ht="15.75" customHeight="1" x14ac:dyDescent="0.2">
      <c r="B306" s="2"/>
      <c r="C306" s="29"/>
      <c r="D306" s="29"/>
      <c r="E306" s="29"/>
      <c r="F306" s="29"/>
      <c r="G306" s="29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2:21" ht="15.75" customHeight="1" x14ac:dyDescent="0.2">
      <c r="B307" s="2"/>
      <c r="C307" s="29"/>
      <c r="D307" s="29"/>
      <c r="E307" s="29"/>
      <c r="F307" s="29"/>
      <c r="G307" s="29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2:21" ht="15.75" customHeight="1" x14ac:dyDescent="0.2">
      <c r="B308" s="2"/>
      <c r="C308" s="29"/>
      <c r="D308" s="29"/>
      <c r="E308" s="29"/>
      <c r="F308" s="29"/>
      <c r="G308" s="29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2:21" ht="15.75" customHeight="1" x14ac:dyDescent="0.2">
      <c r="B309" s="2"/>
      <c r="C309" s="29"/>
      <c r="D309" s="29"/>
      <c r="E309" s="29"/>
      <c r="F309" s="29"/>
      <c r="G309" s="29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2:21" ht="15.75" customHeight="1" x14ac:dyDescent="0.2">
      <c r="B310" s="2"/>
      <c r="C310" s="29"/>
      <c r="D310" s="29"/>
      <c r="E310" s="29"/>
      <c r="F310" s="29"/>
      <c r="G310" s="29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2:21" ht="15.75" customHeight="1" x14ac:dyDescent="0.2">
      <c r="B311" s="2"/>
      <c r="C311" s="29"/>
      <c r="D311" s="29"/>
      <c r="E311" s="29"/>
      <c r="F311" s="29"/>
      <c r="G311" s="29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2:21" ht="15.75" customHeight="1" x14ac:dyDescent="0.2">
      <c r="B312" s="2"/>
      <c r="C312" s="29"/>
      <c r="D312" s="29"/>
      <c r="E312" s="29"/>
      <c r="F312" s="29"/>
      <c r="G312" s="29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2:21" ht="15.75" customHeight="1" x14ac:dyDescent="0.2">
      <c r="B313" s="2"/>
      <c r="C313" s="29"/>
      <c r="D313" s="29"/>
      <c r="E313" s="29"/>
      <c r="F313" s="29"/>
      <c r="G313" s="29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2:21" ht="15.75" customHeight="1" x14ac:dyDescent="0.2">
      <c r="B314" s="2"/>
      <c r="C314" s="29"/>
      <c r="D314" s="29"/>
      <c r="E314" s="29"/>
      <c r="F314" s="29"/>
      <c r="G314" s="29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2:21" ht="15.75" customHeight="1" x14ac:dyDescent="0.2">
      <c r="B315" s="2"/>
      <c r="C315" s="29"/>
      <c r="D315" s="29"/>
      <c r="E315" s="29"/>
      <c r="F315" s="29"/>
      <c r="G315" s="29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2:21" ht="15.75" customHeight="1" x14ac:dyDescent="0.2">
      <c r="B316" s="2"/>
      <c r="C316" s="29"/>
      <c r="D316" s="29"/>
      <c r="E316" s="29"/>
      <c r="F316" s="29"/>
      <c r="G316" s="29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2:21" ht="15.75" customHeight="1" x14ac:dyDescent="0.2">
      <c r="B317" s="2"/>
      <c r="C317" s="29"/>
      <c r="D317" s="29"/>
      <c r="E317" s="29"/>
      <c r="F317" s="29"/>
      <c r="G317" s="29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2:21" ht="15.75" customHeight="1" x14ac:dyDescent="0.2">
      <c r="B318" s="2"/>
      <c r="C318" s="29"/>
      <c r="D318" s="29"/>
      <c r="E318" s="29"/>
      <c r="F318" s="29"/>
      <c r="G318" s="29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2:21" ht="15.75" customHeight="1" x14ac:dyDescent="0.2">
      <c r="B319" s="2"/>
      <c r="C319" s="29"/>
      <c r="D319" s="29"/>
      <c r="E319" s="29"/>
      <c r="F319" s="29"/>
      <c r="G319" s="29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2:21" ht="15.75" customHeight="1" x14ac:dyDescent="0.2">
      <c r="B320" s="2"/>
      <c r="C320" s="29"/>
      <c r="D320" s="29"/>
      <c r="E320" s="29"/>
      <c r="F320" s="29"/>
      <c r="G320" s="29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2:21" ht="15.75" customHeight="1" x14ac:dyDescent="0.2">
      <c r="B321" s="2"/>
      <c r="C321" s="29"/>
      <c r="D321" s="29"/>
      <c r="E321" s="29"/>
      <c r="F321" s="29"/>
      <c r="G321" s="29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2:21" ht="15.75" customHeight="1" x14ac:dyDescent="0.2">
      <c r="B322" s="2"/>
      <c r="C322" s="29"/>
      <c r="D322" s="29"/>
      <c r="E322" s="29"/>
      <c r="F322" s="29"/>
      <c r="G322" s="29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2:21" ht="15.75" customHeight="1" x14ac:dyDescent="0.2">
      <c r="B323" s="2"/>
      <c r="C323" s="29"/>
      <c r="D323" s="29"/>
      <c r="E323" s="29"/>
      <c r="F323" s="29"/>
      <c r="G323" s="29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2:21" ht="15.75" customHeight="1" x14ac:dyDescent="0.2">
      <c r="B324" s="2"/>
      <c r="C324" s="29"/>
      <c r="D324" s="29"/>
      <c r="E324" s="29"/>
      <c r="F324" s="29"/>
      <c r="G324" s="29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2:21" ht="15.75" customHeight="1" x14ac:dyDescent="0.2">
      <c r="B325" s="2"/>
      <c r="C325" s="29"/>
      <c r="D325" s="29"/>
      <c r="E325" s="29"/>
      <c r="F325" s="29"/>
      <c r="G325" s="29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2:21" ht="15.75" customHeight="1" x14ac:dyDescent="0.2">
      <c r="B326" s="2"/>
      <c r="C326" s="29"/>
      <c r="D326" s="29"/>
      <c r="E326" s="29"/>
      <c r="F326" s="29"/>
      <c r="G326" s="29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2:21" ht="15.75" customHeight="1" x14ac:dyDescent="0.2">
      <c r="B327" s="2"/>
      <c r="C327" s="29"/>
      <c r="D327" s="29"/>
      <c r="E327" s="29"/>
      <c r="F327" s="29"/>
      <c r="G327" s="29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2:21" ht="15.75" customHeight="1" x14ac:dyDescent="0.2">
      <c r="B328" s="2"/>
      <c r="C328" s="29"/>
      <c r="D328" s="29"/>
      <c r="E328" s="29"/>
      <c r="F328" s="29"/>
      <c r="G328" s="29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2:21" ht="15.75" customHeight="1" x14ac:dyDescent="0.2">
      <c r="B329" s="2"/>
      <c r="C329" s="29"/>
      <c r="D329" s="29"/>
      <c r="E329" s="29"/>
      <c r="F329" s="29"/>
      <c r="G329" s="29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2:21" ht="15.75" customHeight="1" x14ac:dyDescent="0.2">
      <c r="B330" s="2"/>
      <c r="C330" s="29"/>
      <c r="D330" s="29"/>
      <c r="E330" s="29"/>
      <c r="F330" s="29"/>
      <c r="G330" s="29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2:21" ht="15.75" customHeight="1" x14ac:dyDescent="0.2">
      <c r="B331" s="2"/>
      <c r="C331" s="29"/>
      <c r="D331" s="29"/>
      <c r="E331" s="29"/>
      <c r="F331" s="29"/>
      <c r="G331" s="29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2:21" ht="15.75" customHeight="1" x14ac:dyDescent="0.2">
      <c r="B332" s="2"/>
      <c r="C332" s="29"/>
      <c r="D332" s="29"/>
      <c r="E332" s="29"/>
      <c r="F332" s="29"/>
      <c r="G332" s="29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2:21" ht="15.75" customHeight="1" x14ac:dyDescent="0.2">
      <c r="B333" s="2"/>
      <c r="C333" s="29"/>
      <c r="D333" s="29"/>
      <c r="E333" s="29"/>
      <c r="F333" s="29"/>
      <c r="G333" s="29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2:21" ht="15.75" customHeight="1" x14ac:dyDescent="0.2">
      <c r="B334" s="2"/>
      <c r="C334" s="29"/>
      <c r="D334" s="29"/>
      <c r="E334" s="29"/>
      <c r="F334" s="29"/>
      <c r="G334" s="29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2:21" ht="15.75" customHeight="1" x14ac:dyDescent="0.2">
      <c r="B335" s="2"/>
      <c r="C335" s="29"/>
      <c r="D335" s="29"/>
      <c r="E335" s="29"/>
      <c r="F335" s="29"/>
      <c r="G335" s="29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2:21" ht="15.75" customHeight="1" x14ac:dyDescent="0.2">
      <c r="B336" s="2"/>
      <c r="C336" s="29"/>
      <c r="D336" s="29"/>
      <c r="E336" s="29"/>
      <c r="F336" s="29"/>
      <c r="G336" s="29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2:21" ht="15.75" customHeight="1" x14ac:dyDescent="0.2">
      <c r="B337" s="2"/>
      <c r="C337" s="29"/>
      <c r="D337" s="29"/>
      <c r="E337" s="29"/>
      <c r="F337" s="29"/>
      <c r="G337" s="29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2:21" ht="15.75" customHeight="1" x14ac:dyDescent="0.2">
      <c r="B338" s="2"/>
      <c r="C338" s="29"/>
      <c r="D338" s="29"/>
      <c r="E338" s="29"/>
      <c r="F338" s="29"/>
      <c r="G338" s="29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2:21" ht="15.75" customHeight="1" x14ac:dyDescent="0.2">
      <c r="B339" s="2"/>
      <c r="C339" s="29"/>
      <c r="D339" s="29"/>
      <c r="E339" s="29"/>
      <c r="F339" s="29"/>
      <c r="G339" s="29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2:21" ht="15.75" customHeight="1" x14ac:dyDescent="0.2">
      <c r="B340" s="2"/>
      <c r="C340" s="29"/>
      <c r="D340" s="29"/>
      <c r="E340" s="29"/>
      <c r="F340" s="29"/>
      <c r="G340" s="29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2:21" ht="15.75" customHeight="1" x14ac:dyDescent="0.2">
      <c r="B341" s="2"/>
      <c r="C341" s="29"/>
      <c r="D341" s="29"/>
      <c r="E341" s="29"/>
      <c r="F341" s="29"/>
      <c r="G341" s="29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2:21" ht="15.75" customHeight="1" x14ac:dyDescent="0.2">
      <c r="B342" s="2"/>
      <c r="C342" s="29"/>
      <c r="D342" s="29"/>
      <c r="E342" s="29"/>
      <c r="F342" s="29"/>
      <c r="G342" s="29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2:21" ht="15.75" customHeight="1" x14ac:dyDescent="0.2">
      <c r="B343" s="2"/>
      <c r="C343" s="29"/>
      <c r="D343" s="29"/>
      <c r="E343" s="29"/>
      <c r="F343" s="29"/>
      <c r="G343" s="29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2:21" ht="15.75" customHeight="1" x14ac:dyDescent="0.2">
      <c r="B344" s="2"/>
      <c r="C344" s="29"/>
      <c r="D344" s="29"/>
      <c r="E344" s="29"/>
      <c r="F344" s="29"/>
      <c r="G344" s="29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2:21" ht="15.75" customHeight="1" x14ac:dyDescent="0.2">
      <c r="B345" s="2"/>
      <c r="C345" s="29"/>
      <c r="D345" s="29"/>
      <c r="E345" s="29"/>
      <c r="F345" s="29"/>
      <c r="G345" s="29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2:21" ht="15.75" customHeight="1" x14ac:dyDescent="0.2">
      <c r="B346" s="2"/>
      <c r="C346" s="29"/>
      <c r="D346" s="29"/>
      <c r="E346" s="29"/>
      <c r="F346" s="29"/>
      <c r="G346" s="29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2:21" ht="15.75" customHeight="1" x14ac:dyDescent="0.2">
      <c r="B347" s="2"/>
      <c r="C347" s="29"/>
      <c r="D347" s="29"/>
      <c r="E347" s="29"/>
      <c r="F347" s="29"/>
      <c r="G347" s="29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2:21" ht="15.75" customHeight="1" x14ac:dyDescent="0.2">
      <c r="B348" s="2"/>
      <c r="C348" s="29"/>
      <c r="D348" s="29"/>
      <c r="E348" s="29"/>
      <c r="F348" s="29"/>
      <c r="G348" s="29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2:21" ht="15.75" customHeight="1" x14ac:dyDescent="0.2">
      <c r="B349" s="2"/>
      <c r="C349" s="29"/>
      <c r="D349" s="29"/>
      <c r="E349" s="29"/>
      <c r="F349" s="29"/>
      <c r="G349" s="29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2:21" ht="15.75" customHeight="1" x14ac:dyDescent="0.2">
      <c r="B350" s="2"/>
      <c r="C350" s="29"/>
      <c r="D350" s="29"/>
      <c r="E350" s="29"/>
      <c r="F350" s="29"/>
      <c r="G350" s="29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2:21" ht="15.75" customHeight="1" x14ac:dyDescent="0.2">
      <c r="B351" s="2"/>
      <c r="C351" s="29"/>
      <c r="D351" s="29"/>
      <c r="E351" s="29"/>
      <c r="F351" s="29"/>
      <c r="G351" s="29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2:21" ht="15.75" customHeight="1" x14ac:dyDescent="0.2">
      <c r="B352" s="2"/>
      <c r="C352" s="29"/>
      <c r="D352" s="29"/>
      <c r="E352" s="29"/>
      <c r="F352" s="29"/>
      <c r="G352" s="29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2:21" ht="15.75" customHeight="1" x14ac:dyDescent="0.2">
      <c r="B353" s="2"/>
      <c r="C353" s="29"/>
      <c r="D353" s="29"/>
      <c r="E353" s="29"/>
      <c r="F353" s="29"/>
      <c r="G353" s="29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2:21" ht="15.75" customHeight="1" x14ac:dyDescent="0.2">
      <c r="B354" s="2"/>
      <c r="C354" s="29"/>
      <c r="D354" s="29"/>
      <c r="E354" s="29"/>
      <c r="F354" s="29"/>
      <c r="G354" s="29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2:21" ht="15.75" customHeight="1" x14ac:dyDescent="0.2">
      <c r="B355" s="2"/>
      <c r="C355" s="29"/>
      <c r="D355" s="29"/>
      <c r="E355" s="29"/>
      <c r="F355" s="29"/>
      <c r="G355" s="29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2:21" ht="15.75" customHeight="1" x14ac:dyDescent="0.2">
      <c r="B356" s="2"/>
      <c r="C356" s="29"/>
      <c r="D356" s="29"/>
      <c r="E356" s="29"/>
      <c r="F356" s="29"/>
      <c r="G356" s="29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2:21" ht="15.75" customHeight="1" x14ac:dyDescent="0.2">
      <c r="B357" s="2"/>
      <c r="C357" s="29"/>
      <c r="D357" s="29"/>
      <c r="E357" s="29"/>
      <c r="F357" s="29"/>
      <c r="G357" s="29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2:21" ht="15.75" customHeight="1" x14ac:dyDescent="0.2">
      <c r="B358" s="2"/>
      <c r="C358" s="29"/>
      <c r="D358" s="29"/>
      <c r="E358" s="29"/>
      <c r="F358" s="29"/>
      <c r="G358" s="29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2:21" ht="15.75" customHeight="1" x14ac:dyDescent="0.2">
      <c r="B359" s="2"/>
      <c r="C359" s="29"/>
      <c r="D359" s="29"/>
      <c r="E359" s="29"/>
      <c r="F359" s="29"/>
      <c r="G359" s="29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2:21" ht="15.75" customHeight="1" x14ac:dyDescent="0.2">
      <c r="B360" s="2"/>
      <c r="C360" s="29"/>
      <c r="D360" s="29"/>
      <c r="E360" s="29"/>
      <c r="F360" s="29"/>
      <c r="G360" s="29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2:21" ht="15.75" customHeight="1" x14ac:dyDescent="0.2">
      <c r="B361" s="2"/>
      <c r="C361" s="29"/>
      <c r="D361" s="29"/>
      <c r="E361" s="29"/>
      <c r="F361" s="29"/>
      <c r="G361" s="29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2:21" ht="15.75" customHeight="1" x14ac:dyDescent="0.2">
      <c r="B362" s="2"/>
      <c r="C362" s="29"/>
      <c r="D362" s="29"/>
      <c r="E362" s="29"/>
      <c r="F362" s="29"/>
      <c r="G362" s="29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2:21" ht="15.75" customHeight="1" x14ac:dyDescent="0.2">
      <c r="B363" s="2"/>
      <c r="C363" s="29"/>
      <c r="D363" s="29"/>
      <c r="E363" s="29"/>
      <c r="F363" s="29"/>
      <c r="G363" s="29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2:21" ht="15.75" customHeight="1" x14ac:dyDescent="0.2">
      <c r="B364" s="2"/>
      <c r="C364" s="29"/>
      <c r="D364" s="29"/>
      <c r="E364" s="29"/>
      <c r="F364" s="29"/>
      <c r="G364" s="29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2:21" ht="15.75" customHeight="1" x14ac:dyDescent="0.2">
      <c r="B365" s="2"/>
      <c r="C365" s="29"/>
      <c r="D365" s="29"/>
      <c r="E365" s="29"/>
      <c r="F365" s="29"/>
      <c r="G365" s="29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2:21" ht="15.75" customHeight="1" x14ac:dyDescent="0.2">
      <c r="B366" s="2"/>
      <c r="C366" s="29"/>
      <c r="D366" s="29"/>
      <c r="E366" s="29"/>
      <c r="F366" s="29"/>
      <c r="G366" s="29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2:21" ht="15.75" customHeight="1" x14ac:dyDescent="0.2">
      <c r="B367" s="2"/>
      <c r="C367" s="29"/>
      <c r="D367" s="29"/>
      <c r="E367" s="29"/>
      <c r="F367" s="29"/>
      <c r="G367" s="29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2:21" ht="15.75" customHeight="1" x14ac:dyDescent="0.2">
      <c r="B368" s="2"/>
      <c r="C368" s="29"/>
      <c r="D368" s="29"/>
      <c r="E368" s="29"/>
      <c r="F368" s="29"/>
      <c r="G368" s="29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2:21" ht="15.75" customHeight="1" x14ac:dyDescent="0.2">
      <c r="B369" s="2"/>
      <c r="C369" s="29"/>
      <c r="D369" s="29"/>
      <c r="E369" s="29"/>
      <c r="F369" s="29"/>
      <c r="G369" s="29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2:21" ht="15.75" customHeight="1" x14ac:dyDescent="0.2">
      <c r="B370" s="2"/>
      <c r="C370" s="29"/>
      <c r="D370" s="29"/>
      <c r="E370" s="29"/>
      <c r="F370" s="29"/>
      <c r="G370" s="29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2:21" ht="15.75" customHeight="1" x14ac:dyDescent="0.2">
      <c r="B371" s="2"/>
      <c r="C371" s="29"/>
      <c r="D371" s="29"/>
      <c r="E371" s="29"/>
      <c r="F371" s="29"/>
      <c r="G371" s="29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2:21" ht="15.75" customHeight="1" x14ac:dyDescent="0.2">
      <c r="B372" s="2"/>
      <c r="C372" s="29"/>
      <c r="D372" s="29"/>
      <c r="E372" s="29"/>
      <c r="F372" s="29"/>
      <c r="G372" s="29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2:21" ht="15.75" customHeight="1" x14ac:dyDescent="0.2">
      <c r="B373" s="2"/>
      <c r="C373" s="29"/>
      <c r="D373" s="29"/>
      <c r="E373" s="29"/>
      <c r="F373" s="29"/>
      <c r="G373" s="29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2:21" ht="15.75" customHeight="1" x14ac:dyDescent="0.2">
      <c r="B374" s="2"/>
      <c r="C374" s="29"/>
      <c r="D374" s="29"/>
      <c r="E374" s="29"/>
      <c r="F374" s="29"/>
      <c r="G374" s="29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2:21" ht="15.75" customHeight="1" x14ac:dyDescent="0.2">
      <c r="B375" s="2"/>
      <c r="C375" s="29"/>
      <c r="D375" s="29"/>
      <c r="E375" s="29"/>
      <c r="F375" s="29"/>
      <c r="G375" s="29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2:21" ht="15.75" customHeight="1" x14ac:dyDescent="0.2">
      <c r="B376" s="2"/>
      <c r="C376" s="29"/>
      <c r="D376" s="29"/>
      <c r="E376" s="29"/>
      <c r="F376" s="29"/>
      <c r="G376" s="29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2:21" ht="15.75" customHeight="1" x14ac:dyDescent="0.2">
      <c r="B377" s="2"/>
      <c r="C377" s="29"/>
      <c r="D377" s="29"/>
      <c r="E377" s="29"/>
      <c r="F377" s="29"/>
      <c r="G377" s="29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2:21" ht="15.75" customHeight="1" x14ac:dyDescent="0.2">
      <c r="B378" s="2"/>
      <c r="C378" s="29"/>
      <c r="D378" s="29"/>
      <c r="E378" s="29"/>
      <c r="F378" s="29"/>
      <c r="G378" s="29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2:21" ht="15.75" customHeight="1" x14ac:dyDescent="0.2">
      <c r="B379" s="2"/>
      <c r="C379" s="29"/>
      <c r="D379" s="29"/>
      <c r="E379" s="29"/>
      <c r="F379" s="29"/>
      <c r="G379" s="29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2:21" ht="15.75" customHeight="1" x14ac:dyDescent="0.2">
      <c r="B380" s="2"/>
      <c r="C380" s="29"/>
      <c r="D380" s="29"/>
      <c r="E380" s="29"/>
      <c r="F380" s="29"/>
      <c r="G380" s="29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2:21" ht="15.75" customHeight="1" x14ac:dyDescent="0.2">
      <c r="B381" s="2"/>
      <c r="C381" s="29"/>
      <c r="D381" s="29"/>
      <c r="E381" s="29"/>
      <c r="F381" s="29"/>
      <c r="G381" s="29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2:21" ht="15.75" customHeight="1" x14ac:dyDescent="0.2">
      <c r="B382" s="2"/>
      <c r="C382" s="29"/>
      <c r="D382" s="29"/>
      <c r="E382" s="29"/>
      <c r="F382" s="29"/>
      <c r="G382" s="29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2:21" ht="15.75" customHeight="1" x14ac:dyDescent="0.2">
      <c r="B383" s="2"/>
      <c r="C383" s="29"/>
      <c r="D383" s="29"/>
      <c r="E383" s="29"/>
      <c r="F383" s="29"/>
      <c r="G383" s="29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2:21" ht="15.75" customHeight="1" x14ac:dyDescent="0.2">
      <c r="B384" s="2"/>
      <c r="C384" s="29"/>
      <c r="D384" s="29"/>
      <c r="E384" s="29"/>
      <c r="F384" s="29"/>
      <c r="G384" s="29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2:21" ht="15.75" customHeight="1" x14ac:dyDescent="0.2">
      <c r="B385" s="2"/>
      <c r="C385" s="29"/>
      <c r="D385" s="29"/>
      <c r="E385" s="29"/>
      <c r="F385" s="29"/>
      <c r="G385" s="29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2:21" ht="15.75" customHeight="1" x14ac:dyDescent="0.2">
      <c r="B386" s="2"/>
      <c r="C386" s="29"/>
      <c r="D386" s="29"/>
      <c r="E386" s="29"/>
      <c r="F386" s="29"/>
      <c r="G386" s="29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2:21" ht="15.75" customHeight="1" x14ac:dyDescent="0.2">
      <c r="B387" s="2"/>
      <c r="C387" s="29"/>
      <c r="D387" s="29"/>
      <c r="E387" s="29"/>
      <c r="F387" s="29"/>
      <c r="G387" s="29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2:21" ht="15.75" customHeight="1" x14ac:dyDescent="0.2">
      <c r="B388" s="2"/>
      <c r="C388" s="29"/>
      <c r="D388" s="29"/>
      <c r="E388" s="29"/>
      <c r="F388" s="29"/>
      <c r="G388" s="29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2:21" ht="15.75" customHeight="1" x14ac:dyDescent="0.2">
      <c r="B389" s="2"/>
      <c r="C389" s="29"/>
      <c r="D389" s="29"/>
      <c r="E389" s="29"/>
      <c r="F389" s="29"/>
      <c r="G389" s="29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2:21" ht="15.75" customHeight="1" x14ac:dyDescent="0.2">
      <c r="B390" s="2"/>
      <c r="C390" s="29"/>
      <c r="D390" s="29"/>
      <c r="E390" s="29"/>
      <c r="F390" s="29"/>
      <c r="G390" s="29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2:21" ht="15.75" customHeight="1" x14ac:dyDescent="0.2">
      <c r="B391" s="2"/>
      <c r="C391" s="29"/>
      <c r="D391" s="29"/>
      <c r="E391" s="29"/>
      <c r="F391" s="29"/>
      <c r="G391" s="29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2:21" ht="15.75" customHeight="1" x14ac:dyDescent="0.2">
      <c r="B392" s="2"/>
      <c r="C392" s="29"/>
      <c r="D392" s="29"/>
      <c r="E392" s="29"/>
      <c r="F392" s="29"/>
      <c r="G392" s="29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2:21" ht="15.75" customHeight="1" x14ac:dyDescent="0.2">
      <c r="B393" s="2"/>
      <c r="C393" s="29"/>
      <c r="D393" s="29"/>
      <c r="E393" s="29"/>
      <c r="F393" s="29"/>
      <c r="G393" s="29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2:21" ht="15.75" customHeight="1" x14ac:dyDescent="0.2">
      <c r="B394" s="2"/>
      <c r="C394" s="29"/>
      <c r="D394" s="29"/>
      <c r="E394" s="29"/>
      <c r="F394" s="29"/>
      <c r="G394" s="29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2:21" ht="15.75" customHeight="1" x14ac:dyDescent="0.2">
      <c r="B395" s="2"/>
      <c r="C395" s="29"/>
      <c r="D395" s="29"/>
      <c r="E395" s="29"/>
      <c r="F395" s="29"/>
      <c r="G395" s="29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2:21" ht="15.75" customHeight="1" x14ac:dyDescent="0.2">
      <c r="B396" s="2"/>
      <c r="C396" s="29"/>
      <c r="D396" s="29"/>
      <c r="E396" s="29"/>
      <c r="F396" s="29"/>
      <c r="G396" s="29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2:21" ht="15.75" customHeight="1" x14ac:dyDescent="0.2">
      <c r="B397" s="2"/>
      <c r="C397" s="29"/>
      <c r="D397" s="29"/>
      <c r="E397" s="29"/>
      <c r="F397" s="29"/>
      <c r="G397" s="29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2:21" ht="15.75" customHeight="1" x14ac:dyDescent="0.2">
      <c r="B398" s="2"/>
      <c r="C398" s="29"/>
      <c r="D398" s="29"/>
      <c r="E398" s="29"/>
      <c r="F398" s="29"/>
      <c r="G398" s="29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2:21" ht="15.75" customHeight="1" x14ac:dyDescent="0.2">
      <c r="B399" s="2"/>
      <c r="C399" s="29"/>
      <c r="D399" s="29"/>
      <c r="E399" s="29"/>
      <c r="F399" s="29"/>
      <c r="G399" s="29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2:21" ht="15.75" customHeight="1" x14ac:dyDescent="0.2">
      <c r="B400" s="2"/>
      <c r="C400" s="29"/>
      <c r="D400" s="29"/>
      <c r="E400" s="29"/>
      <c r="F400" s="29"/>
      <c r="G400" s="29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2:21" ht="15.75" customHeight="1" x14ac:dyDescent="0.2">
      <c r="B401" s="2"/>
      <c r="C401" s="29"/>
      <c r="D401" s="29"/>
      <c r="E401" s="29"/>
      <c r="F401" s="29"/>
      <c r="G401" s="29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2:21" ht="15.75" customHeight="1" x14ac:dyDescent="0.2">
      <c r="B402" s="2"/>
      <c r="C402" s="29"/>
      <c r="D402" s="29"/>
      <c r="E402" s="29"/>
      <c r="F402" s="29"/>
      <c r="G402" s="29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2:21" ht="15.75" customHeight="1" x14ac:dyDescent="0.2">
      <c r="B403" s="2"/>
      <c r="C403" s="29"/>
      <c r="D403" s="29"/>
      <c r="E403" s="29"/>
      <c r="F403" s="29"/>
      <c r="G403" s="29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2:21" ht="15.75" customHeight="1" x14ac:dyDescent="0.2">
      <c r="B404" s="2"/>
      <c r="C404" s="29"/>
      <c r="D404" s="29"/>
      <c r="E404" s="29"/>
      <c r="F404" s="29"/>
      <c r="G404" s="29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2:21" ht="15.75" customHeight="1" x14ac:dyDescent="0.2">
      <c r="B405" s="2"/>
      <c r="C405" s="29"/>
      <c r="D405" s="29"/>
      <c r="E405" s="29"/>
      <c r="F405" s="29"/>
      <c r="G405" s="29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2:21" ht="15.75" customHeight="1" x14ac:dyDescent="0.2">
      <c r="B406" s="2"/>
      <c r="C406" s="29"/>
      <c r="D406" s="29"/>
      <c r="E406" s="29"/>
      <c r="F406" s="29"/>
      <c r="G406" s="29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2:21" ht="15.75" customHeight="1" x14ac:dyDescent="0.2">
      <c r="B407" s="2"/>
      <c r="C407" s="29"/>
      <c r="D407" s="29"/>
      <c r="E407" s="29"/>
      <c r="F407" s="29"/>
      <c r="G407" s="29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2:21" ht="15.75" customHeight="1" x14ac:dyDescent="0.2">
      <c r="B408" s="2"/>
      <c r="C408" s="29"/>
      <c r="D408" s="29"/>
      <c r="E408" s="29"/>
      <c r="F408" s="29"/>
      <c r="G408" s="29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2:21" ht="15.75" customHeight="1" x14ac:dyDescent="0.2">
      <c r="B409" s="2"/>
      <c r="C409" s="29"/>
      <c r="D409" s="29"/>
      <c r="E409" s="29"/>
      <c r="F409" s="29"/>
      <c r="G409" s="29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2:21" ht="15.75" customHeight="1" x14ac:dyDescent="0.2">
      <c r="B410" s="2"/>
      <c r="C410" s="29"/>
      <c r="D410" s="29"/>
      <c r="E410" s="29"/>
      <c r="F410" s="29"/>
      <c r="G410" s="29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2:21" ht="15.75" customHeight="1" x14ac:dyDescent="0.2">
      <c r="B411" s="2"/>
      <c r="C411" s="29"/>
      <c r="D411" s="29"/>
      <c r="E411" s="29"/>
      <c r="F411" s="29"/>
      <c r="G411" s="29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2:21" ht="15.75" customHeight="1" x14ac:dyDescent="0.2">
      <c r="B412" s="2"/>
      <c r="C412" s="29"/>
      <c r="D412" s="29"/>
      <c r="E412" s="29"/>
      <c r="F412" s="29"/>
      <c r="G412" s="29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2:21" ht="15.75" customHeight="1" x14ac:dyDescent="0.2">
      <c r="B413" s="2"/>
      <c r="C413" s="29"/>
      <c r="D413" s="29"/>
      <c r="E413" s="29"/>
      <c r="F413" s="29"/>
      <c r="G413" s="29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2:21" ht="15.75" customHeight="1" x14ac:dyDescent="0.2">
      <c r="B414" s="2"/>
      <c r="C414" s="29"/>
      <c r="D414" s="29"/>
      <c r="E414" s="29"/>
      <c r="F414" s="29"/>
      <c r="G414" s="29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2:21" ht="15.75" customHeight="1" x14ac:dyDescent="0.2">
      <c r="B415" s="2"/>
      <c r="C415" s="29"/>
      <c r="D415" s="29"/>
      <c r="E415" s="29"/>
      <c r="F415" s="29"/>
      <c r="G415" s="29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2:21" ht="15.75" customHeight="1" x14ac:dyDescent="0.2">
      <c r="B416" s="2"/>
      <c r="C416" s="29"/>
      <c r="D416" s="29"/>
      <c r="E416" s="29"/>
      <c r="F416" s="29"/>
      <c r="G416" s="29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2:21" ht="15.75" customHeight="1" x14ac:dyDescent="0.2">
      <c r="B417" s="2"/>
      <c r="C417" s="29"/>
      <c r="D417" s="29"/>
      <c r="E417" s="29"/>
      <c r="F417" s="29"/>
      <c r="G417" s="29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2:21" ht="15.75" customHeight="1" x14ac:dyDescent="0.2">
      <c r="B418" s="2"/>
      <c r="C418" s="29"/>
      <c r="D418" s="29"/>
      <c r="E418" s="29"/>
      <c r="F418" s="29"/>
      <c r="G418" s="29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2:21" ht="15.75" customHeight="1" x14ac:dyDescent="0.2">
      <c r="B419" s="2"/>
      <c r="C419" s="29"/>
      <c r="D419" s="29"/>
      <c r="E419" s="29"/>
      <c r="F419" s="29"/>
      <c r="G419" s="29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2:21" ht="15.75" customHeight="1" x14ac:dyDescent="0.2">
      <c r="B420" s="2"/>
      <c r="C420" s="29"/>
      <c r="D420" s="29"/>
      <c r="E420" s="29"/>
      <c r="F420" s="29"/>
      <c r="G420" s="29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2:21" ht="15.75" customHeight="1" x14ac:dyDescent="0.2">
      <c r="B421" s="2"/>
      <c r="C421" s="29"/>
      <c r="D421" s="29"/>
      <c r="E421" s="29"/>
      <c r="F421" s="29"/>
      <c r="G421" s="29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2:21" ht="15.75" customHeight="1" x14ac:dyDescent="0.2">
      <c r="B422" s="2"/>
      <c r="C422" s="29"/>
      <c r="D422" s="29"/>
      <c r="E422" s="29"/>
      <c r="F422" s="29"/>
      <c r="G422" s="29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2:21" ht="15.75" customHeight="1" x14ac:dyDescent="0.2">
      <c r="B423" s="2"/>
      <c r="C423" s="29"/>
      <c r="D423" s="29"/>
      <c r="E423" s="29"/>
      <c r="F423" s="29"/>
      <c r="G423" s="29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2:21" ht="15.75" customHeight="1" x14ac:dyDescent="0.2">
      <c r="B424" s="2"/>
      <c r="C424" s="29"/>
      <c r="D424" s="29"/>
      <c r="E424" s="29"/>
      <c r="F424" s="29"/>
      <c r="G424" s="29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2:21" ht="15.75" customHeight="1" x14ac:dyDescent="0.2">
      <c r="B425" s="2"/>
      <c r="C425" s="29"/>
      <c r="D425" s="29"/>
      <c r="E425" s="29"/>
      <c r="F425" s="29"/>
      <c r="G425" s="29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2:21" ht="15.75" customHeight="1" x14ac:dyDescent="0.2">
      <c r="B426" s="2"/>
      <c r="C426" s="29"/>
      <c r="D426" s="29"/>
      <c r="E426" s="29"/>
      <c r="F426" s="29"/>
      <c r="G426" s="29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2:21" ht="15.75" customHeight="1" x14ac:dyDescent="0.2">
      <c r="B427" s="2"/>
      <c r="C427" s="29"/>
      <c r="D427" s="29"/>
      <c r="E427" s="29"/>
      <c r="F427" s="29"/>
      <c r="G427" s="29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2:21" ht="15.75" customHeight="1" x14ac:dyDescent="0.2">
      <c r="B428" s="2"/>
      <c r="C428" s="29"/>
      <c r="D428" s="29"/>
      <c r="E428" s="29"/>
      <c r="F428" s="29"/>
      <c r="G428" s="29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2:21" ht="15.75" customHeight="1" x14ac:dyDescent="0.2">
      <c r="B429" s="2"/>
      <c r="C429" s="29"/>
      <c r="D429" s="29"/>
      <c r="E429" s="29"/>
      <c r="F429" s="29"/>
      <c r="G429" s="29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2:21" ht="15.75" customHeight="1" x14ac:dyDescent="0.2">
      <c r="B430" s="2"/>
      <c r="C430" s="29"/>
      <c r="D430" s="29"/>
      <c r="E430" s="29"/>
      <c r="F430" s="29"/>
      <c r="G430" s="29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2:21" ht="15.75" customHeight="1" x14ac:dyDescent="0.2">
      <c r="B431" s="2"/>
      <c r="C431" s="29"/>
      <c r="D431" s="29"/>
      <c r="E431" s="29"/>
      <c r="F431" s="29"/>
      <c r="G431" s="29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2:21" ht="15.75" customHeight="1" x14ac:dyDescent="0.2">
      <c r="B432" s="2"/>
      <c r="C432" s="29"/>
      <c r="D432" s="29"/>
      <c r="E432" s="29"/>
      <c r="F432" s="29"/>
      <c r="G432" s="29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2:21" ht="15.75" customHeight="1" x14ac:dyDescent="0.2">
      <c r="B433" s="2"/>
      <c r="C433" s="29"/>
      <c r="D433" s="29"/>
      <c r="E433" s="29"/>
      <c r="F433" s="29"/>
      <c r="G433" s="29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2:21" ht="15.75" customHeight="1" x14ac:dyDescent="0.2">
      <c r="B434" s="2"/>
      <c r="C434" s="29"/>
      <c r="D434" s="29"/>
      <c r="E434" s="29"/>
      <c r="F434" s="29"/>
      <c r="G434" s="29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2:21" ht="15.75" customHeight="1" x14ac:dyDescent="0.2">
      <c r="B435" s="2"/>
      <c r="C435" s="29"/>
      <c r="D435" s="29"/>
      <c r="E435" s="29"/>
      <c r="F435" s="29"/>
      <c r="G435" s="29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2:21" ht="15.75" customHeight="1" x14ac:dyDescent="0.2">
      <c r="B436" s="2"/>
      <c r="C436" s="29"/>
      <c r="D436" s="29"/>
      <c r="E436" s="29"/>
      <c r="F436" s="29"/>
      <c r="G436" s="29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2:21" ht="15.75" customHeight="1" x14ac:dyDescent="0.2">
      <c r="B437" s="2"/>
      <c r="C437" s="29"/>
      <c r="D437" s="29"/>
      <c r="E437" s="29"/>
      <c r="F437" s="29"/>
      <c r="G437" s="29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2:21" ht="15.75" customHeight="1" x14ac:dyDescent="0.2">
      <c r="B438" s="2"/>
      <c r="C438" s="29"/>
      <c r="D438" s="29"/>
      <c r="E438" s="29"/>
      <c r="F438" s="29"/>
      <c r="G438" s="29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2:21" ht="15.75" customHeight="1" x14ac:dyDescent="0.2">
      <c r="B439" s="2"/>
      <c r="C439" s="29"/>
      <c r="D439" s="29"/>
      <c r="E439" s="29"/>
      <c r="F439" s="29"/>
      <c r="G439" s="29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2:21" ht="15.75" customHeight="1" x14ac:dyDescent="0.2">
      <c r="B440" s="2"/>
      <c r="C440" s="29"/>
      <c r="D440" s="29"/>
      <c r="E440" s="29"/>
      <c r="F440" s="29"/>
      <c r="G440" s="29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2:21" ht="15.75" customHeight="1" x14ac:dyDescent="0.2">
      <c r="B441" s="2"/>
      <c r="C441" s="29"/>
      <c r="D441" s="29"/>
      <c r="E441" s="29"/>
      <c r="F441" s="29"/>
      <c r="G441" s="29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2:21" ht="15.75" customHeight="1" x14ac:dyDescent="0.2">
      <c r="B442" s="2"/>
      <c r="C442" s="29"/>
      <c r="D442" s="29"/>
      <c r="E442" s="29"/>
      <c r="F442" s="29"/>
      <c r="G442" s="29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2:21" ht="15.75" customHeight="1" x14ac:dyDescent="0.2">
      <c r="B443" s="2"/>
      <c r="C443" s="29"/>
      <c r="D443" s="29"/>
      <c r="E443" s="29"/>
      <c r="F443" s="29"/>
      <c r="G443" s="29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2:21" ht="15.75" customHeight="1" x14ac:dyDescent="0.2">
      <c r="B444" s="2"/>
      <c r="C444" s="29"/>
      <c r="D444" s="29"/>
      <c r="E444" s="29"/>
      <c r="F444" s="29"/>
      <c r="G444" s="29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2:21" ht="15.75" customHeight="1" x14ac:dyDescent="0.2">
      <c r="B445" s="2"/>
      <c r="C445" s="29"/>
      <c r="D445" s="29"/>
      <c r="E445" s="29"/>
      <c r="F445" s="29"/>
      <c r="G445" s="29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2:21" ht="15.75" customHeight="1" x14ac:dyDescent="0.2">
      <c r="B446" s="2"/>
      <c r="C446" s="29"/>
      <c r="D446" s="29"/>
      <c r="E446" s="29"/>
      <c r="F446" s="29"/>
      <c r="G446" s="29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2:21" ht="15.75" customHeight="1" x14ac:dyDescent="0.2">
      <c r="B447" s="2"/>
      <c r="C447" s="29"/>
      <c r="D447" s="29"/>
      <c r="E447" s="29"/>
      <c r="F447" s="29"/>
      <c r="G447" s="29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2:21" ht="15.75" customHeight="1" x14ac:dyDescent="0.2">
      <c r="B448" s="2"/>
      <c r="C448" s="29"/>
      <c r="D448" s="29"/>
      <c r="E448" s="29"/>
      <c r="F448" s="29"/>
      <c r="G448" s="29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2:21" ht="15.75" customHeight="1" x14ac:dyDescent="0.2">
      <c r="B449" s="2"/>
      <c r="C449" s="29"/>
      <c r="D449" s="29"/>
      <c r="E449" s="29"/>
      <c r="F449" s="29"/>
      <c r="G449" s="29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2:21" ht="15.75" customHeight="1" x14ac:dyDescent="0.2">
      <c r="B450" s="2"/>
      <c r="C450" s="29"/>
      <c r="D450" s="29"/>
      <c r="E450" s="29"/>
      <c r="F450" s="29"/>
      <c r="G450" s="29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2:21" ht="15.75" customHeight="1" x14ac:dyDescent="0.2">
      <c r="B451" s="2"/>
      <c r="C451" s="29"/>
      <c r="D451" s="29"/>
      <c r="E451" s="29"/>
      <c r="F451" s="29"/>
      <c r="G451" s="29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2:21" ht="15.75" customHeight="1" x14ac:dyDescent="0.2">
      <c r="B452" s="2"/>
      <c r="C452" s="29"/>
      <c r="D452" s="29"/>
      <c r="E452" s="29"/>
      <c r="F452" s="29"/>
      <c r="G452" s="29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2:21" ht="15.75" customHeight="1" x14ac:dyDescent="0.2">
      <c r="B453" s="2"/>
      <c r="C453" s="29"/>
      <c r="D453" s="29"/>
      <c r="E453" s="29"/>
      <c r="F453" s="29"/>
      <c r="G453" s="29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2:21" ht="15.75" customHeight="1" x14ac:dyDescent="0.2">
      <c r="B454" s="2"/>
      <c r="C454" s="29"/>
      <c r="D454" s="29"/>
      <c r="E454" s="29"/>
      <c r="F454" s="29"/>
      <c r="G454" s="29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2:21" ht="15.75" customHeight="1" x14ac:dyDescent="0.2">
      <c r="B455" s="2"/>
      <c r="C455" s="29"/>
      <c r="D455" s="29"/>
      <c r="E455" s="29"/>
      <c r="F455" s="29"/>
      <c r="G455" s="29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2:21" ht="15.75" customHeight="1" x14ac:dyDescent="0.2">
      <c r="B456" s="2"/>
      <c r="C456" s="29"/>
      <c r="D456" s="29"/>
      <c r="E456" s="29"/>
      <c r="F456" s="29"/>
      <c r="G456" s="29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2:21" ht="15.75" customHeight="1" x14ac:dyDescent="0.2">
      <c r="B457" s="2"/>
      <c r="C457" s="29"/>
      <c r="D457" s="29"/>
      <c r="E457" s="29"/>
      <c r="F457" s="29"/>
      <c r="G457" s="29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2:21" ht="15.75" customHeight="1" x14ac:dyDescent="0.2">
      <c r="B458" s="2"/>
      <c r="C458" s="29"/>
      <c r="D458" s="29"/>
      <c r="E458" s="29"/>
      <c r="F458" s="29"/>
      <c r="G458" s="29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2:21" ht="15.75" customHeight="1" x14ac:dyDescent="0.2">
      <c r="B459" s="2"/>
      <c r="C459" s="29"/>
      <c r="D459" s="29"/>
      <c r="E459" s="29"/>
      <c r="F459" s="29"/>
      <c r="G459" s="29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2:21" ht="15.75" customHeight="1" x14ac:dyDescent="0.2">
      <c r="B460" s="2"/>
      <c r="C460" s="29"/>
      <c r="D460" s="29"/>
      <c r="E460" s="29"/>
      <c r="F460" s="29"/>
      <c r="G460" s="29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2:21" ht="15.75" customHeight="1" x14ac:dyDescent="0.2">
      <c r="B461" s="2"/>
      <c r="C461" s="29"/>
      <c r="D461" s="29"/>
      <c r="E461" s="29"/>
      <c r="F461" s="29"/>
      <c r="G461" s="29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2:21" ht="15.75" customHeight="1" x14ac:dyDescent="0.2">
      <c r="B462" s="2"/>
      <c r="C462" s="29"/>
      <c r="D462" s="29"/>
      <c r="E462" s="29"/>
      <c r="F462" s="29"/>
      <c r="G462" s="29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2:21" ht="15.75" customHeight="1" x14ac:dyDescent="0.2">
      <c r="B463" s="2"/>
      <c r="C463" s="29"/>
      <c r="D463" s="29"/>
      <c r="E463" s="29"/>
      <c r="F463" s="29"/>
      <c r="G463" s="29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2:21" ht="15.75" customHeight="1" x14ac:dyDescent="0.2">
      <c r="B464" s="2"/>
      <c r="C464" s="29"/>
      <c r="D464" s="29"/>
      <c r="E464" s="29"/>
      <c r="F464" s="29"/>
      <c r="G464" s="29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2:21" ht="15.75" customHeight="1" x14ac:dyDescent="0.2">
      <c r="B465" s="2"/>
      <c r="C465" s="29"/>
      <c r="D465" s="29"/>
      <c r="E465" s="29"/>
      <c r="F465" s="29"/>
      <c r="G465" s="29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2:21" ht="15.75" customHeight="1" x14ac:dyDescent="0.2">
      <c r="B466" s="2"/>
      <c r="C466" s="29"/>
      <c r="D466" s="29"/>
      <c r="E466" s="29"/>
      <c r="F466" s="29"/>
      <c r="G466" s="29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2:21" ht="15.75" customHeight="1" x14ac:dyDescent="0.2">
      <c r="B467" s="2"/>
      <c r="C467" s="29"/>
      <c r="D467" s="29"/>
      <c r="E467" s="29"/>
      <c r="F467" s="29"/>
      <c r="G467" s="29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2:21" ht="15.75" customHeight="1" x14ac:dyDescent="0.2">
      <c r="B468" s="2"/>
      <c r="C468" s="29"/>
      <c r="D468" s="29"/>
      <c r="E468" s="29"/>
      <c r="F468" s="29"/>
      <c r="G468" s="29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2:21" ht="15.75" customHeight="1" x14ac:dyDescent="0.2">
      <c r="B469" s="2"/>
      <c r="C469" s="29"/>
      <c r="D469" s="29"/>
      <c r="E469" s="29"/>
      <c r="F469" s="29"/>
      <c r="G469" s="29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2:21" ht="15.75" customHeight="1" x14ac:dyDescent="0.2">
      <c r="B470" s="2"/>
      <c r="C470" s="29"/>
      <c r="D470" s="29"/>
      <c r="E470" s="29"/>
      <c r="F470" s="29"/>
      <c r="G470" s="29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2:21" ht="15.75" customHeight="1" x14ac:dyDescent="0.2">
      <c r="B471" s="2"/>
      <c r="C471" s="29"/>
      <c r="D471" s="29"/>
      <c r="E471" s="29"/>
      <c r="F471" s="29"/>
      <c r="G471" s="29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2:21" ht="15.75" customHeight="1" x14ac:dyDescent="0.2">
      <c r="B472" s="2"/>
      <c r="C472" s="29"/>
      <c r="D472" s="29"/>
      <c r="E472" s="29"/>
      <c r="F472" s="29"/>
      <c r="G472" s="29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2:21" ht="15.75" customHeight="1" x14ac:dyDescent="0.2">
      <c r="B473" s="2"/>
      <c r="C473" s="29"/>
      <c r="D473" s="29"/>
      <c r="E473" s="29"/>
      <c r="F473" s="29"/>
      <c r="G473" s="29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2:21" ht="15.75" customHeight="1" x14ac:dyDescent="0.2">
      <c r="B474" s="2"/>
      <c r="C474" s="29"/>
      <c r="D474" s="29"/>
      <c r="E474" s="29"/>
      <c r="F474" s="29"/>
      <c r="G474" s="29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2:21" ht="15.75" customHeight="1" x14ac:dyDescent="0.2">
      <c r="B475" s="2"/>
      <c r="C475" s="29"/>
      <c r="D475" s="29"/>
      <c r="E475" s="29"/>
      <c r="F475" s="29"/>
      <c r="G475" s="29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2:21" ht="15.75" customHeight="1" x14ac:dyDescent="0.2">
      <c r="B476" s="2"/>
      <c r="C476" s="29"/>
      <c r="D476" s="29"/>
      <c r="E476" s="29"/>
      <c r="F476" s="29"/>
      <c r="G476" s="29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2:21" ht="15.75" customHeight="1" x14ac:dyDescent="0.2">
      <c r="B477" s="2"/>
      <c r="C477" s="29"/>
      <c r="D477" s="29"/>
      <c r="E477" s="29"/>
      <c r="F477" s="29"/>
      <c r="G477" s="29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2:21" ht="15.75" customHeight="1" x14ac:dyDescent="0.2">
      <c r="B478" s="2"/>
      <c r="C478" s="29"/>
      <c r="D478" s="29"/>
      <c r="E478" s="29"/>
      <c r="F478" s="29"/>
      <c r="G478" s="29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2:21" ht="15.75" customHeight="1" x14ac:dyDescent="0.2">
      <c r="B479" s="2"/>
      <c r="C479" s="29"/>
      <c r="D479" s="29"/>
      <c r="E479" s="29"/>
      <c r="F479" s="29"/>
      <c r="G479" s="29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2:21" ht="15.75" customHeight="1" x14ac:dyDescent="0.2">
      <c r="B480" s="2"/>
      <c r="C480" s="29"/>
      <c r="D480" s="29"/>
      <c r="E480" s="29"/>
      <c r="F480" s="29"/>
      <c r="G480" s="29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2:21" ht="15.75" customHeight="1" x14ac:dyDescent="0.2">
      <c r="B481" s="2"/>
      <c r="C481" s="29"/>
      <c r="D481" s="29"/>
      <c r="E481" s="29"/>
      <c r="F481" s="29"/>
      <c r="G481" s="29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2:21" ht="15.75" customHeight="1" x14ac:dyDescent="0.2">
      <c r="B482" s="2"/>
      <c r="C482" s="29"/>
      <c r="D482" s="29"/>
      <c r="E482" s="29"/>
      <c r="F482" s="29"/>
      <c r="G482" s="29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2:21" ht="15.75" customHeight="1" x14ac:dyDescent="0.2">
      <c r="B483" s="2"/>
      <c r="C483" s="29"/>
      <c r="D483" s="29"/>
      <c r="E483" s="29"/>
      <c r="F483" s="29"/>
      <c r="G483" s="29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2:21" ht="15.75" customHeight="1" x14ac:dyDescent="0.2">
      <c r="B484" s="2"/>
      <c r="C484" s="29"/>
      <c r="D484" s="29"/>
      <c r="E484" s="29"/>
      <c r="F484" s="29"/>
      <c r="G484" s="29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2:21" ht="15.75" customHeight="1" x14ac:dyDescent="0.2">
      <c r="B485" s="2"/>
      <c r="C485" s="29"/>
      <c r="D485" s="29"/>
      <c r="E485" s="29"/>
      <c r="F485" s="29"/>
      <c r="G485" s="29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2:21" ht="15.75" customHeight="1" x14ac:dyDescent="0.2">
      <c r="B486" s="2"/>
      <c r="C486" s="29"/>
      <c r="D486" s="29"/>
      <c r="E486" s="29"/>
      <c r="F486" s="29"/>
      <c r="G486" s="29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2:21" ht="15.75" customHeight="1" x14ac:dyDescent="0.2">
      <c r="B487" s="2"/>
      <c r="C487" s="29"/>
      <c r="D487" s="29"/>
      <c r="E487" s="29"/>
      <c r="F487" s="29"/>
      <c r="G487" s="29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2:21" ht="15.75" customHeight="1" x14ac:dyDescent="0.2">
      <c r="B488" s="2"/>
      <c r="C488" s="29"/>
      <c r="D488" s="29"/>
      <c r="E488" s="29"/>
      <c r="F488" s="29"/>
      <c r="G488" s="29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2:21" ht="15.75" customHeight="1" x14ac:dyDescent="0.2">
      <c r="B489" s="2"/>
      <c r="C489" s="29"/>
      <c r="D489" s="29"/>
      <c r="E489" s="29"/>
      <c r="F489" s="29"/>
      <c r="G489" s="29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2:21" ht="15.75" customHeight="1" x14ac:dyDescent="0.2">
      <c r="B490" s="2"/>
      <c r="C490" s="29"/>
      <c r="D490" s="29"/>
      <c r="E490" s="29"/>
      <c r="F490" s="29"/>
      <c r="G490" s="29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2:21" ht="15.75" customHeight="1" x14ac:dyDescent="0.2">
      <c r="B491" s="2"/>
      <c r="C491" s="29"/>
      <c r="D491" s="29"/>
      <c r="E491" s="29"/>
      <c r="F491" s="29"/>
      <c r="G491" s="29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2:21" ht="15.75" customHeight="1" x14ac:dyDescent="0.2">
      <c r="B492" s="2"/>
      <c r="C492" s="29"/>
      <c r="D492" s="29"/>
      <c r="E492" s="29"/>
      <c r="F492" s="29"/>
      <c r="G492" s="29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2:21" ht="15.75" customHeight="1" x14ac:dyDescent="0.2">
      <c r="B493" s="2"/>
      <c r="C493" s="29"/>
      <c r="D493" s="29"/>
      <c r="E493" s="29"/>
      <c r="F493" s="29"/>
      <c r="G493" s="29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2:21" ht="15.75" customHeight="1" x14ac:dyDescent="0.2">
      <c r="B494" s="2"/>
      <c r="C494" s="29"/>
      <c r="D494" s="29"/>
      <c r="E494" s="29"/>
      <c r="F494" s="29"/>
      <c r="G494" s="29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2:21" ht="15.75" customHeight="1" x14ac:dyDescent="0.2">
      <c r="B495" s="2"/>
      <c r="C495" s="29"/>
      <c r="D495" s="29"/>
      <c r="E495" s="29"/>
      <c r="F495" s="29"/>
      <c r="G495" s="29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2:21" ht="15.75" customHeight="1" x14ac:dyDescent="0.2">
      <c r="B496" s="2"/>
      <c r="C496" s="29"/>
      <c r="D496" s="29"/>
      <c r="E496" s="29"/>
      <c r="F496" s="29"/>
      <c r="G496" s="29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2:21" ht="15.75" customHeight="1" x14ac:dyDescent="0.2">
      <c r="B497" s="2"/>
      <c r="C497" s="29"/>
      <c r="D497" s="29"/>
      <c r="E497" s="29"/>
      <c r="F497" s="29"/>
      <c r="G497" s="29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2:21" ht="15.75" customHeight="1" x14ac:dyDescent="0.2">
      <c r="B498" s="2"/>
      <c r="C498" s="29"/>
      <c r="D498" s="29"/>
      <c r="E498" s="29"/>
      <c r="F498" s="29"/>
      <c r="G498" s="29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2:21" ht="15.75" customHeight="1" x14ac:dyDescent="0.2">
      <c r="B499" s="2"/>
      <c r="C499" s="29"/>
      <c r="D499" s="29"/>
      <c r="E499" s="29"/>
      <c r="F499" s="29"/>
      <c r="G499" s="29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2:21" ht="15.75" customHeight="1" x14ac:dyDescent="0.2">
      <c r="B500" s="2"/>
      <c r="C500" s="29"/>
      <c r="D500" s="29"/>
      <c r="E500" s="29"/>
      <c r="F500" s="29"/>
      <c r="G500" s="29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2:21" ht="15.75" customHeight="1" x14ac:dyDescent="0.2">
      <c r="B501" s="2"/>
      <c r="C501" s="29"/>
      <c r="D501" s="29"/>
      <c r="E501" s="29"/>
      <c r="F501" s="29"/>
      <c r="G501" s="29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2:21" ht="15.75" customHeight="1" x14ac:dyDescent="0.2">
      <c r="B502" s="2"/>
      <c r="C502" s="29"/>
      <c r="D502" s="29"/>
      <c r="E502" s="29"/>
      <c r="F502" s="29"/>
      <c r="G502" s="29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2:21" ht="15.75" customHeight="1" x14ac:dyDescent="0.2">
      <c r="B503" s="2"/>
      <c r="C503" s="29"/>
      <c r="D503" s="29"/>
      <c r="E503" s="29"/>
      <c r="F503" s="29"/>
      <c r="G503" s="29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2:21" ht="15.75" customHeight="1" x14ac:dyDescent="0.2">
      <c r="B504" s="2"/>
      <c r="C504" s="29"/>
      <c r="D504" s="29"/>
      <c r="E504" s="29"/>
      <c r="F504" s="29"/>
      <c r="G504" s="29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2:21" ht="15.75" customHeight="1" x14ac:dyDescent="0.2">
      <c r="B505" s="2"/>
      <c r="C505" s="29"/>
      <c r="D505" s="29"/>
      <c r="E505" s="29"/>
      <c r="F505" s="29"/>
      <c r="G505" s="29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2:21" ht="15.75" customHeight="1" x14ac:dyDescent="0.2">
      <c r="B506" s="2"/>
      <c r="C506" s="29"/>
      <c r="D506" s="29"/>
      <c r="E506" s="29"/>
      <c r="F506" s="29"/>
      <c r="G506" s="29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2:21" ht="15.75" customHeight="1" x14ac:dyDescent="0.2">
      <c r="B507" s="2"/>
      <c r="C507" s="29"/>
      <c r="D507" s="29"/>
      <c r="E507" s="29"/>
      <c r="F507" s="29"/>
      <c r="G507" s="29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2:21" ht="15.75" customHeight="1" x14ac:dyDescent="0.2">
      <c r="B508" s="2"/>
      <c r="C508" s="29"/>
      <c r="D508" s="29"/>
      <c r="E508" s="29"/>
      <c r="F508" s="29"/>
      <c r="G508" s="29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2:21" ht="15.75" customHeight="1" x14ac:dyDescent="0.2">
      <c r="B509" s="2"/>
      <c r="C509" s="29"/>
      <c r="D509" s="29"/>
      <c r="E509" s="29"/>
      <c r="F509" s="29"/>
      <c r="G509" s="29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2:21" ht="15.75" customHeight="1" x14ac:dyDescent="0.2">
      <c r="B510" s="2"/>
      <c r="C510" s="29"/>
      <c r="D510" s="29"/>
      <c r="E510" s="29"/>
      <c r="F510" s="29"/>
      <c r="G510" s="29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2:21" ht="15.75" customHeight="1" x14ac:dyDescent="0.2">
      <c r="B511" s="2"/>
      <c r="C511" s="29"/>
      <c r="D511" s="29"/>
      <c r="E511" s="29"/>
      <c r="F511" s="29"/>
      <c r="G511" s="29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2:21" ht="15.75" customHeight="1" x14ac:dyDescent="0.2">
      <c r="B512" s="2"/>
      <c r="C512" s="29"/>
      <c r="D512" s="29"/>
      <c r="E512" s="29"/>
      <c r="F512" s="29"/>
      <c r="G512" s="29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2:21" ht="15.75" customHeight="1" x14ac:dyDescent="0.2">
      <c r="B513" s="2"/>
      <c r="C513" s="29"/>
      <c r="D513" s="29"/>
      <c r="E513" s="29"/>
      <c r="F513" s="29"/>
      <c r="G513" s="29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2:21" ht="15.75" customHeight="1" x14ac:dyDescent="0.2">
      <c r="B514" s="2"/>
      <c r="C514" s="29"/>
      <c r="D514" s="29"/>
      <c r="E514" s="29"/>
      <c r="F514" s="29"/>
      <c r="G514" s="29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2:21" ht="15.75" customHeight="1" x14ac:dyDescent="0.2">
      <c r="B515" s="2"/>
      <c r="C515" s="29"/>
      <c r="D515" s="29"/>
      <c r="E515" s="29"/>
      <c r="F515" s="29"/>
      <c r="G515" s="29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2:21" ht="15.75" customHeight="1" x14ac:dyDescent="0.2">
      <c r="B516" s="2"/>
      <c r="C516" s="29"/>
      <c r="D516" s="29"/>
      <c r="E516" s="29"/>
      <c r="F516" s="29"/>
      <c r="G516" s="29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2:21" ht="15.75" customHeight="1" x14ac:dyDescent="0.2">
      <c r="B517" s="2"/>
      <c r="C517" s="29"/>
      <c r="D517" s="29"/>
      <c r="E517" s="29"/>
      <c r="F517" s="29"/>
      <c r="G517" s="29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2:21" ht="15.75" customHeight="1" x14ac:dyDescent="0.2">
      <c r="B518" s="2"/>
      <c r="C518" s="29"/>
      <c r="D518" s="29"/>
      <c r="E518" s="29"/>
      <c r="F518" s="29"/>
      <c r="G518" s="29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2:21" ht="15.75" customHeight="1" x14ac:dyDescent="0.2">
      <c r="B519" s="2"/>
      <c r="C519" s="29"/>
      <c r="D519" s="29"/>
      <c r="E519" s="29"/>
      <c r="F519" s="29"/>
      <c r="G519" s="29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2:21" ht="15.75" customHeight="1" x14ac:dyDescent="0.2">
      <c r="B520" s="2"/>
      <c r="C520" s="29"/>
      <c r="D520" s="29"/>
      <c r="E520" s="29"/>
      <c r="F520" s="29"/>
      <c r="G520" s="29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2:21" ht="15.75" customHeight="1" x14ac:dyDescent="0.2">
      <c r="B521" s="2"/>
      <c r="C521" s="29"/>
      <c r="D521" s="29"/>
      <c r="E521" s="29"/>
      <c r="F521" s="29"/>
      <c r="G521" s="29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2:21" ht="15.75" customHeight="1" x14ac:dyDescent="0.2">
      <c r="B522" s="2"/>
      <c r="C522" s="29"/>
      <c r="D522" s="29"/>
      <c r="E522" s="29"/>
      <c r="F522" s="29"/>
      <c r="G522" s="29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2:21" ht="15.75" customHeight="1" x14ac:dyDescent="0.2">
      <c r="B523" s="2"/>
      <c r="C523" s="29"/>
      <c r="D523" s="29"/>
      <c r="E523" s="29"/>
      <c r="F523" s="29"/>
      <c r="G523" s="29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2:21" ht="15.75" customHeight="1" x14ac:dyDescent="0.2">
      <c r="B524" s="2"/>
      <c r="C524" s="29"/>
      <c r="D524" s="29"/>
      <c r="E524" s="29"/>
      <c r="F524" s="29"/>
      <c r="G524" s="29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2:21" ht="15.75" customHeight="1" x14ac:dyDescent="0.2">
      <c r="B525" s="2"/>
      <c r="C525" s="29"/>
      <c r="D525" s="29"/>
      <c r="E525" s="29"/>
      <c r="F525" s="29"/>
      <c r="G525" s="29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2:21" ht="15.75" customHeight="1" x14ac:dyDescent="0.2">
      <c r="B526" s="2"/>
      <c r="C526" s="29"/>
      <c r="D526" s="29"/>
      <c r="E526" s="29"/>
      <c r="F526" s="29"/>
      <c r="G526" s="29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2:21" ht="15.75" customHeight="1" x14ac:dyDescent="0.2">
      <c r="B527" s="2"/>
      <c r="C527" s="29"/>
      <c r="D527" s="29"/>
      <c r="E527" s="29"/>
      <c r="F527" s="29"/>
      <c r="G527" s="29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2:21" ht="15.75" customHeight="1" x14ac:dyDescent="0.2">
      <c r="B528" s="2"/>
      <c r="C528" s="29"/>
      <c r="D528" s="29"/>
      <c r="E528" s="29"/>
      <c r="F528" s="29"/>
      <c r="G528" s="29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2:21" ht="15.75" customHeight="1" x14ac:dyDescent="0.2">
      <c r="B529" s="2"/>
      <c r="C529" s="29"/>
      <c r="D529" s="29"/>
      <c r="E529" s="29"/>
      <c r="F529" s="29"/>
      <c r="G529" s="29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2:21" ht="15.75" customHeight="1" x14ac:dyDescent="0.2">
      <c r="B530" s="2"/>
      <c r="C530" s="29"/>
      <c r="D530" s="29"/>
      <c r="E530" s="29"/>
      <c r="F530" s="29"/>
      <c r="G530" s="29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2:21" ht="15.75" customHeight="1" x14ac:dyDescent="0.2">
      <c r="B531" s="2"/>
      <c r="C531" s="29"/>
      <c r="D531" s="29"/>
      <c r="E531" s="29"/>
      <c r="F531" s="29"/>
      <c r="G531" s="29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2:21" ht="15.75" customHeight="1" x14ac:dyDescent="0.2">
      <c r="B532" s="2"/>
      <c r="C532" s="29"/>
      <c r="D532" s="29"/>
      <c r="E532" s="29"/>
      <c r="F532" s="29"/>
      <c r="G532" s="29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2:21" ht="15.75" customHeight="1" x14ac:dyDescent="0.2">
      <c r="B533" s="2"/>
      <c r="C533" s="29"/>
      <c r="D533" s="29"/>
      <c r="E533" s="29"/>
      <c r="F533" s="29"/>
      <c r="G533" s="29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2:21" ht="15.75" customHeight="1" x14ac:dyDescent="0.2">
      <c r="B534" s="2"/>
      <c r="C534" s="29"/>
      <c r="D534" s="29"/>
      <c r="E534" s="29"/>
      <c r="F534" s="29"/>
      <c r="G534" s="29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2:21" ht="15.75" customHeight="1" x14ac:dyDescent="0.2">
      <c r="B535" s="2"/>
      <c r="C535" s="29"/>
      <c r="D535" s="29"/>
      <c r="E535" s="29"/>
      <c r="F535" s="29"/>
      <c r="G535" s="29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2:21" ht="15.75" customHeight="1" x14ac:dyDescent="0.2">
      <c r="B536" s="2"/>
      <c r="C536" s="29"/>
      <c r="D536" s="29"/>
      <c r="E536" s="29"/>
      <c r="F536" s="29"/>
      <c r="G536" s="29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2:21" ht="15.75" customHeight="1" x14ac:dyDescent="0.2">
      <c r="B537" s="2"/>
      <c r="C537" s="29"/>
      <c r="D537" s="29"/>
      <c r="E537" s="29"/>
      <c r="F537" s="29"/>
      <c r="G537" s="29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2:21" ht="15.75" customHeight="1" x14ac:dyDescent="0.2">
      <c r="B538" s="2"/>
      <c r="C538" s="29"/>
      <c r="D538" s="29"/>
      <c r="E538" s="29"/>
      <c r="F538" s="29"/>
      <c r="G538" s="29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2:21" ht="15.75" customHeight="1" x14ac:dyDescent="0.2">
      <c r="B539" s="2"/>
      <c r="C539" s="29"/>
      <c r="D539" s="29"/>
      <c r="E539" s="29"/>
      <c r="F539" s="29"/>
      <c r="G539" s="29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2:21" ht="15.75" customHeight="1" x14ac:dyDescent="0.2">
      <c r="B540" s="2"/>
      <c r="C540" s="29"/>
      <c r="D540" s="29"/>
      <c r="E540" s="29"/>
      <c r="F540" s="29"/>
      <c r="G540" s="29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2:21" ht="15.75" customHeight="1" x14ac:dyDescent="0.2">
      <c r="B541" s="2"/>
      <c r="C541" s="29"/>
      <c r="D541" s="29"/>
      <c r="E541" s="29"/>
      <c r="F541" s="29"/>
      <c r="G541" s="29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2:21" ht="15.75" customHeight="1" x14ac:dyDescent="0.2">
      <c r="B542" s="2"/>
      <c r="C542" s="29"/>
      <c r="D542" s="29"/>
      <c r="E542" s="29"/>
      <c r="F542" s="29"/>
      <c r="G542" s="29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2:21" ht="15.75" customHeight="1" x14ac:dyDescent="0.2">
      <c r="B543" s="2"/>
      <c r="C543" s="29"/>
      <c r="D543" s="29"/>
      <c r="E543" s="29"/>
      <c r="F543" s="29"/>
      <c r="G543" s="29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2:21" ht="15.75" customHeight="1" x14ac:dyDescent="0.2">
      <c r="B544" s="2"/>
      <c r="C544" s="29"/>
      <c r="D544" s="29"/>
      <c r="E544" s="29"/>
      <c r="F544" s="29"/>
      <c r="G544" s="29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2:21" ht="15.75" customHeight="1" x14ac:dyDescent="0.2">
      <c r="B545" s="2"/>
      <c r="C545" s="29"/>
      <c r="D545" s="29"/>
      <c r="E545" s="29"/>
      <c r="F545" s="29"/>
      <c r="G545" s="29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2:21" ht="15.75" customHeight="1" x14ac:dyDescent="0.2">
      <c r="B546" s="2"/>
      <c r="C546" s="29"/>
      <c r="D546" s="29"/>
      <c r="E546" s="29"/>
      <c r="F546" s="29"/>
      <c r="G546" s="29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2:21" ht="15.75" customHeight="1" x14ac:dyDescent="0.2">
      <c r="B547" s="2"/>
      <c r="C547" s="29"/>
      <c r="D547" s="29"/>
      <c r="E547" s="29"/>
      <c r="F547" s="29"/>
      <c r="G547" s="29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2:21" ht="15.75" customHeight="1" x14ac:dyDescent="0.2">
      <c r="B548" s="2"/>
      <c r="C548" s="29"/>
      <c r="D548" s="29"/>
      <c r="E548" s="29"/>
      <c r="F548" s="29"/>
      <c r="G548" s="29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2:21" ht="15.75" customHeight="1" x14ac:dyDescent="0.2">
      <c r="B549" s="2"/>
      <c r="C549" s="29"/>
      <c r="D549" s="29"/>
      <c r="E549" s="29"/>
      <c r="F549" s="29"/>
      <c r="G549" s="29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2:21" ht="15.75" customHeight="1" x14ac:dyDescent="0.2">
      <c r="B550" s="2"/>
      <c r="C550" s="29"/>
      <c r="D550" s="29"/>
      <c r="E550" s="29"/>
      <c r="F550" s="29"/>
      <c r="G550" s="29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2:21" ht="15.75" customHeight="1" x14ac:dyDescent="0.2">
      <c r="B551" s="2"/>
      <c r="C551" s="29"/>
      <c r="D551" s="29"/>
      <c r="E551" s="29"/>
      <c r="F551" s="29"/>
      <c r="G551" s="29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2:21" ht="15.75" customHeight="1" x14ac:dyDescent="0.2">
      <c r="B552" s="2"/>
      <c r="C552" s="29"/>
      <c r="D552" s="29"/>
      <c r="E552" s="29"/>
      <c r="F552" s="29"/>
      <c r="G552" s="29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2:21" ht="15.75" customHeight="1" x14ac:dyDescent="0.2">
      <c r="B553" s="2"/>
      <c r="C553" s="29"/>
      <c r="D553" s="29"/>
      <c r="E553" s="29"/>
      <c r="F553" s="29"/>
      <c r="G553" s="29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2:21" ht="15.75" customHeight="1" x14ac:dyDescent="0.2">
      <c r="B554" s="2"/>
      <c r="C554" s="29"/>
      <c r="D554" s="29"/>
      <c r="E554" s="29"/>
      <c r="F554" s="29"/>
      <c r="G554" s="29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2:21" ht="15.75" customHeight="1" x14ac:dyDescent="0.2">
      <c r="B555" s="2"/>
      <c r="C555" s="29"/>
      <c r="D555" s="29"/>
      <c r="E555" s="29"/>
      <c r="F555" s="29"/>
      <c r="G555" s="29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2:21" ht="15.75" customHeight="1" x14ac:dyDescent="0.2">
      <c r="B556" s="2"/>
      <c r="C556" s="29"/>
      <c r="D556" s="29"/>
      <c r="E556" s="29"/>
      <c r="F556" s="29"/>
      <c r="G556" s="29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2:21" ht="15.75" customHeight="1" x14ac:dyDescent="0.2">
      <c r="B557" s="2"/>
      <c r="C557" s="29"/>
      <c r="D557" s="29"/>
      <c r="E557" s="29"/>
      <c r="F557" s="29"/>
      <c r="G557" s="29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2:21" ht="15.75" customHeight="1" x14ac:dyDescent="0.2">
      <c r="B558" s="2"/>
      <c r="C558" s="29"/>
      <c r="D558" s="29"/>
      <c r="E558" s="29"/>
      <c r="F558" s="29"/>
      <c r="G558" s="29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2:21" ht="15.75" customHeight="1" x14ac:dyDescent="0.2">
      <c r="B559" s="2"/>
      <c r="C559" s="29"/>
      <c r="D559" s="29"/>
      <c r="E559" s="29"/>
      <c r="F559" s="29"/>
      <c r="G559" s="29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2:21" ht="15.75" customHeight="1" x14ac:dyDescent="0.2">
      <c r="B560" s="2"/>
      <c r="C560" s="29"/>
      <c r="D560" s="29"/>
      <c r="E560" s="29"/>
      <c r="F560" s="29"/>
      <c r="G560" s="29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2:21" ht="15.75" customHeight="1" x14ac:dyDescent="0.2">
      <c r="B561" s="2"/>
      <c r="C561" s="29"/>
      <c r="D561" s="29"/>
      <c r="E561" s="29"/>
      <c r="F561" s="29"/>
      <c r="G561" s="29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2:21" ht="15.75" customHeight="1" x14ac:dyDescent="0.2">
      <c r="B562" s="2"/>
      <c r="C562" s="29"/>
      <c r="D562" s="29"/>
      <c r="E562" s="29"/>
      <c r="F562" s="29"/>
      <c r="G562" s="29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2:21" ht="15.75" customHeight="1" x14ac:dyDescent="0.2">
      <c r="B563" s="2"/>
      <c r="C563" s="29"/>
      <c r="D563" s="29"/>
      <c r="E563" s="29"/>
      <c r="F563" s="29"/>
      <c r="G563" s="29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2:21" ht="15.75" customHeight="1" x14ac:dyDescent="0.2">
      <c r="B564" s="2"/>
      <c r="C564" s="29"/>
      <c r="D564" s="29"/>
      <c r="E564" s="29"/>
      <c r="F564" s="29"/>
      <c r="G564" s="29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2:21" ht="15.75" customHeight="1" x14ac:dyDescent="0.2">
      <c r="B565" s="2"/>
      <c r="C565" s="29"/>
      <c r="D565" s="29"/>
      <c r="E565" s="29"/>
      <c r="F565" s="29"/>
      <c r="G565" s="29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2:21" ht="15.75" customHeight="1" x14ac:dyDescent="0.2">
      <c r="B566" s="2"/>
      <c r="C566" s="29"/>
      <c r="D566" s="29"/>
      <c r="E566" s="29"/>
      <c r="F566" s="29"/>
      <c r="G566" s="29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2:21" ht="15.75" customHeight="1" x14ac:dyDescent="0.2">
      <c r="B567" s="2"/>
      <c r="C567" s="29"/>
      <c r="D567" s="29"/>
      <c r="E567" s="29"/>
      <c r="F567" s="29"/>
      <c r="G567" s="29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2:21" ht="15.75" customHeight="1" x14ac:dyDescent="0.2">
      <c r="B568" s="2"/>
      <c r="C568" s="29"/>
      <c r="D568" s="29"/>
      <c r="E568" s="29"/>
      <c r="F568" s="29"/>
      <c r="G568" s="29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2:21" ht="15.75" customHeight="1" x14ac:dyDescent="0.2">
      <c r="B569" s="2"/>
      <c r="C569" s="29"/>
      <c r="D569" s="29"/>
      <c r="E569" s="29"/>
      <c r="F569" s="29"/>
      <c r="G569" s="29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2:21" ht="15.75" customHeight="1" x14ac:dyDescent="0.2">
      <c r="B570" s="2"/>
      <c r="C570" s="29"/>
      <c r="D570" s="29"/>
      <c r="E570" s="29"/>
      <c r="F570" s="29"/>
      <c r="G570" s="29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2:21" ht="15.75" customHeight="1" x14ac:dyDescent="0.2">
      <c r="B571" s="2"/>
      <c r="C571" s="29"/>
      <c r="D571" s="29"/>
      <c r="E571" s="29"/>
      <c r="F571" s="29"/>
      <c r="G571" s="29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2:21" ht="15.75" customHeight="1" x14ac:dyDescent="0.2">
      <c r="B572" s="2"/>
      <c r="C572" s="29"/>
      <c r="D572" s="29"/>
      <c r="E572" s="29"/>
      <c r="F572" s="29"/>
      <c r="G572" s="29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2:21" ht="15.75" customHeight="1" x14ac:dyDescent="0.2">
      <c r="B573" s="2"/>
      <c r="C573" s="29"/>
      <c r="D573" s="29"/>
      <c r="E573" s="29"/>
      <c r="F573" s="29"/>
      <c r="G573" s="29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2:21" ht="15.75" customHeight="1" x14ac:dyDescent="0.2">
      <c r="B574" s="2"/>
      <c r="C574" s="29"/>
      <c r="D574" s="29"/>
      <c r="E574" s="29"/>
      <c r="F574" s="29"/>
      <c r="G574" s="29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2:21" ht="15.75" customHeight="1" x14ac:dyDescent="0.2">
      <c r="B575" s="2"/>
      <c r="C575" s="29"/>
      <c r="D575" s="29"/>
      <c r="E575" s="29"/>
      <c r="F575" s="29"/>
      <c r="G575" s="29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2:21" ht="15.75" customHeight="1" x14ac:dyDescent="0.2">
      <c r="B576" s="2"/>
      <c r="C576" s="29"/>
      <c r="D576" s="29"/>
      <c r="E576" s="29"/>
      <c r="F576" s="29"/>
      <c r="G576" s="29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2:21" ht="15.75" customHeight="1" x14ac:dyDescent="0.2">
      <c r="B577" s="2"/>
      <c r="C577" s="29"/>
      <c r="D577" s="29"/>
      <c r="E577" s="29"/>
      <c r="F577" s="29"/>
      <c r="G577" s="29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2:21" ht="15.75" customHeight="1" x14ac:dyDescent="0.2">
      <c r="B578" s="2"/>
      <c r="C578" s="29"/>
      <c r="D578" s="29"/>
      <c r="E578" s="29"/>
      <c r="F578" s="29"/>
      <c r="G578" s="29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2:21" ht="15.75" customHeight="1" x14ac:dyDescent="0.2">
      <c r="B579" s="2"/>
      <c r="C579" s="29"/>
      <c r="D579" s="29"/>
      <c r="E579" s="29"/>
      <c r="F579" s="29"/>
      <c r="G579" s="29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2:21" ht="15.75" customHeight="1" x14ac:dyDescent="0.2">
      <c r="B580" s="2"/>
      <c r="C580" s="29"/>
      <c r="D580" s="29"/>
      <c r="E580" s="29"/>
      <c r="F580" s="29"/>
      <c r="G580" s="29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2:21" ht="15.75" customHeight="1" x14ac:dyDescent="0.2">
      <c r="B581" s="2"/>
      <c r="C581" s="29"/>
      <c r="D581" s="29"/>
      <c r="E581" s="29"/>
      <c r="F581" s="29"/>
      <c r="G581" s="29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2:21" ht="15.75" customHeight="1" x14ac:dyDescent="0.2">
      <c r="B582" s="2"/>
      <c r="C582" s="29"/>
      <c r="D582" s="29"/>
      <c r="E582" s="29"/>
      <c r="F582" s="29"/>
      <c r="G582" s="29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2:21" ht="15.75" customHeight="1" x14ac:dyDescent="0.2">
      <c r="B583" s="2"/>
      <c r="C583" s="29"/>
      <c r="D583" s="29"/>
      <c r="E583" s="29"/>
      <c r="F583" s="29"/>
      <c r="G583" s="29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2:21" ht="15.75" customHeight="1" x14ac:dyDescent="0.2">
      <c r="B584" s="2"/>
      <c r="C584" s="29"/>
      <c r="D584" s="29"/>
      <c r="E584" s="29"/>
      <c r="F584" s="29"/>
      <c r="G584" s="29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2:21" ht="15.75" customHeight="1" x14ac:dyDescent="0.2">
      <c r="B585" s="2"/>
      <c r="C585" s="29"/>
      <c r="D585" s="29"/>
      <c r="E585" s="29"/>
      <c r="F585" s="29"/>
      <c r="G585" s="29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2:21" ht="15.75" customHeight="1" x14ac:dyDescent="0.2">
      <c r="B586" s="2"/>
      <c r="C586" s="29"/>
      <c r="D586" s="29"/>
      <c r="E586" s="29"/>
      <c r="F586" s="29"/>
      <c r="G586" s="29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2:21" ht="15.75" customHeight="1" x14ac:dyDescent="0.2">
      <c r="B587" s="2"/>
      <c r="C587" s="29"/>
      <c r="D587" s="29"/>
      <c r="E587" s="29"/>
      <c r="F587" s="29"/>
      <c r="G587" s="29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2:21" ht="15.75" customHeight="1" x14ac:dyDescent="0.2">
      <c r="B588" s="2"/>
      <c r="C588" s="29"/>
      <c r="D588" s="29"/>
      <c r="E588" s="29"/>
      <c r="F588" s="29"/>
      <c r="G588" s="29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2:21" ht="15.75" customHeight="1" x14ac:dyDescent="0.2">
      <c r="B589" s="2"/>
      <c r="C589" s="29"/>
      <c r="D589" s="29"/>
      <c r="E589" s="29"/>
      <c r="F589" s="29"/>
      <c r="G589" s="29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2:21" ht="15.75" customHeight="1" x14ac:dyDescent="0.2">
      <c r="B590" s="2"/>
      <c r="C590" s="29"/>
      <c r="D590" s="29"/>
      <c r="E590" s="29"/>
      <c r="F590" s="29"/>
      <c r="G590" s="29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2:21" ht="15.75" customHeight="1" x14ac:dyDescent="0.2">
      <c r="B591" s="2"/>
      <c r="C591" s="29"/>
      <c r="D591" s="29"/>
      <c r="E591" s="29"/>
      <c r="F591" s="29"/>
      <c r="G591" s="29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2:21" ht="15.75" customHeight="1" x14ac:dyDescent="0.2">
      <c r="B592" s="2"/>
      <c r="C592" s="29"/>
      <c r="D592" s="29"/>
      <c r="E592" s="29"/>
      <c r="F592" s="29"/>
      <c r="G592" s="29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2:21" ht="15.75" customHeight="1" x14ac:dyDescent="0.2">
      <c r="B593" s="2"/>
      <c r="C593" s="29"/>
      <c r="D593" s="29"/>
      <c r="E593" s="29"/>
      <c r="F593" s="29"/>
      <c r="G593" s="29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2:21" ht="15.75" customHeight="1" x14ac:dyDescent="0.2">
      <c r="B594" s="2"/>
      <c r="C594" s="29"/>
      <c r="D594" s="29"/>
      <c r="E594" s="29"/>
      <c r="F594" s="29"/>
      <c r="G594" s="29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2:21" ht="15.75" customHeight="1" x14ac:dyDescent="0.2">
      <c r="B595" s="2"/>
      <c r="C595" s="29"/>
      <c r="D595" s="29"/>
      <c r="E595" s="29"/>
      <c r="F595" s="29"/>
      <c r="G595" s="29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2:21" ht="15.75" customHeight="1" x14ac:dyDescent="0.2">
      <c r="B596" s="2"/>
      <c r="C596" s="29"/>
      <c r="D596" s="29"/>
      <c r="E596" s="29"/>
      <c r="F596" s="29"/>
      <c r="G596" s="29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2:21" ht="15.75" customHeight="1" x14ac:dyDescent="0.2">
      <c r="B597" s="2"/>
      <c r="C597" s="29"/>
      <c r="D597" s="29"/>
      <c r="E597" s="29"/>
      <c r="F597" s="29"/>
      <c r="G597" s="29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2:21" ht="15.75" customHeight="1" x14ac:dyDescent="0.2">
      <c r="B598" s="2"/>
      <c r="C598" s="29"/>
      <c r="D598" s="29"/>
      <c r="E598" s="29"/>
      <c r="F598" s="29"/>
      <c r="G598" s="29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2:21" ht="15.75" customHeight="1" x14ac:dyDescent="0.2">
      <c r="B599" s="2"/>
      <c r="C599" s="29"/>
      <c r="D599" s="29"/>
      <c r="E599" s="29"/>
      <c r="F599" s="29"/>
      <c r="G599" s="29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2:21" ht="15.75" customHeight="1" x14ac:dyDescent="0.2">
      <c r="B600" s="2"/>
      <c r="C600" s="29"/>
      <c r="D600" s="29"/>
      <c r="E600" s="29"/>
      <c r="F600" s="29"/>
      <c r="G600" s="29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2:21" ht="15.75" customHeight="1" x14ac:dyDescent="0.2">
      <c r="B601" s="2"/>
      <c r="C601" s="29"/>
      <c r="D601" s="29"/>
      <c r="E601" s="29"/>
      <c r="F601" s="29"/>
      <c r="G601" s="29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2:21" ht="15.75" customHeight="1" x14ac:dyDescent="0.2">
      <c r="B602" s="2"/>
      <c r="C602" s="29"/>
      <c r="D602" s="29"/>
      <c r="E602" s="29"/>
      <c r="F602" s="29"/>
      <c r="G602" s="29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2:21" ht="15.75" customHeight="1" x14ac:dyDescent="0.2">
      <c r="B603" s="2"/>
      <c r="C603" s="29"/>
      <c r="D603" s="29"/>
      <c r="E603" s="29"/>
      <c r="F603" s="29"/>
      <c r="G603" s="29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2:21" ht="15.75" customHeight="1" x14ac:dyDescent="0.2">
      <c r="B604" s="2"/>
      <c r="C604" s="29"/>
      <c r="D604" s="29"/>
      <c r="E604" s="29"/>
      <c r="F604" s="29"/>
      <c r="G604" s="29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2:21" ht="15.75" customHeight="1" x14ac:dyDescent="0.2">
      <c r="B605" s="2"/>
      <c r="C605" s="29"/>
      <c r="D605" s="29"/>
      <c r="E605" s="29"/>
      <c r="F605" s="29"/>
      <c r="G605" s="29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2:21" ht="15.75" customHeight="1" x14ac:dyDescent="0.2">
      <c r="B606" s="2"/>
      <c r="C606" s="29"/>
      <c r="D606" s="29"/>
      <c r="E606" s="29"/>
      <c r="F606" s="29"/>
      <c r="G606" s="29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2:21" ht="15.75" customHeight="1" x14ac:dyDescent="0.2">
      <c r="B607" s="2"/>
      <c r="C607" s="29"/>
      <c r="D607" s="29"/>
      <c r="E607" s="29"/>
      <c r="F607" s="29"/>
      <c r="G607" s="29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2:21" ht="15.75" customHeight="1" x14ac:dyDescent="0.2">
      <c r="B608" s="2"/>
      <c r="C608" s="29"/>
      <c r="D608" s="29"/>
      <c r="E608" s="29"/>
      <c r="F608" s="29"/>
      <c r="G608" s="29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2:21" ht="15.75" customHeight="1" x14ac:dyDescent="0.2">
      <c r="B609" s="2"/>
      <c r="C609" s="29"/>
      <c r="D609" s="29"/>
      <c r="E609" s="29"/>
      <c r="F609" s="29"/>
      <c r="G609" s="29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2:21" ht="15.75" customHeight="1" x14ac:dyDescent="0.2">
      <c r="B610" s="2"/>
      <c r="C610" s="29"/>
      <c r="D610" s="29"/>
      <c r="E610" s="29"/>
      <c r="F610" s="29"/>
      <c r="G610" s="29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2:21" ht="15.75" customHeight="1" x14ac:dyDescent="0.2">
      <c r="B611" s="2"/>
      <c r="C611" s="29"/>
      <c r="D611" s="29"/>
      <c r="E611" s="29"/>
      <c r="F611" s="29"/>
      <c r="G611" s="29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2:21" ht="15.75" customHeight="1" x14ac:dyDescent="0.2">
      <c r="B612" s="2"/>
      <c r="C612" s="29"/>
      <c r="D612" s="29"/>
      <c r="E612" s="29"/>
      <c r="F612" s="29"/>
      <c r="G612" s="29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2:21" ht="15.75" customHeight="1" x14ac:dyDescent="0.2">
      <c r="B613" s="2"/>
      <c r="C613" s="29"/>
      <c r="D613" s="29"/>
      <c r="E613" s="29"/>
      <c r="F613" s="29"/>
      <c r="G613" s="29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2:21" ht="15.75" customHeight="1" x14ac:dyDescent="0.2">
      <c r="B614" s="2"/>
      <c r="C614" s="29"/>
      <c r="D614" s="29"/>
      <c r="E614" s="29"/>
      <c r="F614" s="29"/>
      <c r="G614" s="29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2:21" ht="15.75" customHeight="1" x14ac:dyDescent="0.2">
      <c r="B615" s="2"/>
      <c r="C615" s="29"/>
      <c r="D615" s="29"/>
      <c r="E615" s="29"/>
      <c r="F615" s="29"/>
      <c r="G615" s="29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2:21" ht="15.75" customHeight="1" x14ac:dyDescent="0.2">
      <c r="B616" s="2"/>
      <c r="C616" s="29"/>
      <c r="D616" s="29"/>
      <c r="E616" s="29"/>
      <c r="F616" s="29"/>
      <c r="G616" s="29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2:21" ht="15.75" customHeight="1" x14ac:dyDescent="0.2">
      <c r="B617" s="2"/>
      <c r="C617" s="29"/>
      <c r="D617" s="29"/>
      <c r="E617" s="29"/>
      <c r="F617" s="29"/>
      <c r="G617" s="29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2:21" ht="15.75" customHeight="1" x14ac:dyDescent="0.2">
      <c r="B618" s="2"/>
      <c r="C618" s="29"/>
      <c r="D618" s="29"/>
      <c r="E618" s="29"/>
      <c r="F618" s="29"/>
      <c r="G618" s="29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2:21" ht="15.75" customHeight="1" x14ac:dyDescent="0.2">
      <c r="B619" s="2"/>
      <c r="C619" s="29"/>
      <c r="D619" s="29"/>
      <c r="E619" s="29"/>
      <c r="F619" s="29"/>
      <c r="G619" s="29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2:21" ht="15.75" customHeight="1" x14ac:dyDescent="0.2">
      <c r="B620" s="2"/>
      <c r="C620" s="29"/>
      <c r="D620" s="29"/>
      <c r="E620" s="29"/>
      <c r="F620" s="29"/>
      <c r="G620" s="29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2:21" ht="15.75" customHeight="1" x14ac:dyDescent="0.2">
      <c r="B621" s="2"/>
      <c r="C621" s="29"/>
      <c r="D621" s="29"/>
      <c r="E621" s="29"/>
      <c r="F621" s="29"/>
      <c r="G621" s="29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2:21" ht="15.75" customHeight="1" x14ac:dyDescent="0.2">
      <c r="B622" s="2"/>
      <c r="C622" s="29"/>
      <c r="D622" s="29"/>
      <c r="E622" s="29"/>
      <c r="F622" s="29"/>
      <c r="G622" s="29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2:21" ht="15.75" customHeight="1" x14ac:dyDescent="0.2">
      <c r="B623" s="2"/>
      <c r="C623" s="29"/>
      <c r="D623" s="29"/>
      <c r="E623" s="29"/>
      <c r="F623" s="29"/>
      <c r="G623" s="29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2:21" ht="15.75" customHeight="1" x14ac:dyDescent="0.2">
      <c r="B624" s="2"/>
      <c r="C624" s="29"/>
      <c r="D624" s="29"/>
      <c r="E624" s="29"/>
      <c r="F624" s="29"/>
      <c r="G624" s="29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2:21" ht="15.75" customHeight="1" x14ac:dyDescent="0.2">
      <c r="B625" s="2"/>
      <c r="C625" s="29"/>
      <c r="D625" s="29"/>
      <c r="E625" s="29"/>
      <c r="F625" s="29"/>
      <c r="G625" s="29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2:21" ht="15.75" customHeight="1" x14ac:dyDescent="0.2">
      <c r="B626" s="2"/>
      <c r="C626" s="29"/>
      <c r="D626" s="29"/>
      <c r="E626" s="29"/>
      <c r="F626" s="29"/>
      <c r="G626" s="29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2:21" ht="15.75" customHeight="1" x14ac:dyDescent="0.2">
      <c r="B627" s="2"/>
      <c r="C627" s="29"/>
      <c r="D627" s="29"/>
      <c r="E627" s="29"/>
      <c r="F627" s="29"/>
      <c r="G627" s="29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2:21" ht="15.75" customHeight="1" x14ac:dyDescent="0.2">
      <c r="B628" s="2"/>
      <c r="C628" s="29"/>
      <c r="D628" s="29"/>
      <c r="E628" s="29"/>
      <c r="F628" s="29"/>
      <c r="G628" s="29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2:21" ht="15.75" customHeight="1" x14ac:dyDescent="0.2">
      <c r="B629" s="2"/>
      <c r="C629" s="29"/>
      <c r="D629" s="29"/>
      <c r="E629" s="29"/>
      <c r="F629" s="29"/>
      <c r="G629" s="29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2:21" ht="15.75" customHeight="1" x14ac:dyDescent="0.2">
      <c r="B630" s="2"/>
      <c r="C630" s="29"/>
      <c r="D630" s="29"/>
      <c r="E630" s="29"/>
      <c r="F630" s="29"/>
      <c r="G630" s="29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2:21" ht="15.75" customHeight="1" x14ac:dyDescent="0.2">
      <c r="B631" s="2"/>
      <c r="C631" s="29"/>
      <c r="D631" s="29"/>
      <c r="E631" s="29"/>
      <c r="F631" s="29"/>
      <c r="G631" s="29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2:21" ht="15.75" customHeight="1" x14ac:dyDescent="0.2">
      <c r="B632" s="2"/>
      <c r="C632" s="29"/>
      <c r="D632" s="29"/>
      <c r="E632" s="29"/>
      <c r="F632" s="29"/>
      <c r="G632" s="29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2:21" ht="15.75" customHeight="1" x14ac:dyDescent="0.2">
      <c r="B633" s="2"/>
      <c r="C633" s="29"/>
      <c r="D633" s="29"/>
      <c r="E633" s="29"/>
      <c r="F633" s="29"/>
      <c r="G633" s="29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2:21" ht="15.75" customHeight="1" x14ac:dyDescent="0.2">
      <c r="B634" s="2"/>
      <c r="C634" s="29"/>
      <c r="D634" s="29"/>
      <c r="E634" s="29"/>
      <c r="F634" s="29"/>
      <c r="G634" s="29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2:21" ht="15.75" customHeight="1" x14ac:dyDescent="0.2">
      <c r="B635" s="2"/>
      <c r="C635" s="29"/>
      <c r="D635" s="29"/>
      <c r="E635" s="29"/>
      <c r="F635" s="29"/>
      <c r="G635" s="29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2:21" ht="15.75" customHeight="1" x14ac:dyDescent="0.2">
      <c r="B636" s="2"/>
      <c r="C636" s="29"/>
      <c r="D636" s="29"/>
      <c r="E636" s="29"/>
      <c r="F636" s="29"/>
      <c r="G636" s="29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2:21" ht="15.75" customHeight="1" x14ac:dyDescent="0.2">
      <c r="B637" s="2"/>
      <c r="C637" s="29"/>
      <c r="D637" s="29"/>
      <c r="E637" s="29"/>
      <c r="F637" s="29"/>
      <c r="G637" s="29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2:21" ht="15.75" customHeight="1" x14ac:dyDescent="0.2">
      <c r="B638" s="2"/>
      <c r="C638" s="29"/>
      <c r="D638" s="29"/>
      <c r="E638" s="29"/>
      <c r="F638" s="29"/>
      <c r="G638" s="29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2:21" ht="15.75" customHeight="1" x14ac:dyDescent="0.2">
      <c r="B639" s="2"/>
      <c r="C639" s="29"/>
      <c r="D639" s="29"/>
      <c r="E639" s="29"/>
      <c r="F639" s="29"/>
      <c r="G639" s="29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2:21" ht="15.75" customHeight="1" x14ac:dyDescent="0.2">
      <c r="B640" s="2"/>
      <c r="C640" s="29"/>
      <c r="D640" s="29"/>
      <c r="E640" s="29"/>
      <c r="F640" s="29"/>
      <c r="G640" s="29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2:21" ht="15.75" customHeight="1" x14ac:dyDescent="0.2">
      <c r="B641" s="2"/>
      <c r="C641" s="29"/>
      <c r="D641" s="29"/>
      <c r="E641" s="29"/>
      <c r="F641" s="29"/>
      <c r="G641" s="29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2:21" ht="15.75" customHeight="1" x14ac:dyDescent="0.2"/>
    <row r="643" spans="2:21" ht="15.75" customHeight="1" x14ac:dyDescent="0.2"/>
    <row r="644" spans="2:21" ht="15.75" customHeight="1" x14ac:dyDescent="0.2"/>
    <row r="645" spans="2:21" ht="15.75" customHeight="1" x14ac:dyDescent="0.2"/>
    <row r="646" spans="2:21" ht="15.75" customHeight="1" x14ac:dyDescent="0.2"/>
    <row r="647" spans="2:21" ht="15.75" customHeight="1" x14ac:dyDescent="0.2"/>
    <row r="648" spans="2:21" ht="15.75" customHeight="1" x14ac:dyDescent="0.2"/>
    <row r="649" spans="2:21" ht="15.75" customHeight="1" x14ac:dyDescent="0.2"/>
    <row r="650" spans="2:21" ht="15.75" customHeight="1" x14ac:dyDescent="0.2"/>
    <row r="651" spans="2:21" ht="15.75" customHeight="1" x14ac:dyDescent="0.2"/>
    <row r="652" spans="2:21" ht="15.75" customHeight="1" x14ac:dyDescent="0.2"/>
    <row r="653" spans="2:21" ht="15.75" customHeight="1" x14ac:dyDescent="0.2"/>
    <row r="654" spans="2:21" ht="15.75" customHeight="1" x14ac:dyDescent="0.2"/>
    <row r="655" spans="2:21" ht="15.75" customHeight="1" x14ac:dyDescent="0.2"/>
    <row r="656" spans="2:21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</sheetData>
  <mergeCells count="2">
    <mergeCell ref="A4:G4"/>
    <mergeCell ref="A5:G5"/>
  </mergeCells>
  <pageMargins left="0.26" right="0.16" top="0.15748031496062992" bottom="0.15748031496062992" header="0.15748031496062992" footer="0.15748031496062992"/>
  <pageSetup paperSize="9" scale="7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74"/>
  <sheetViews>
    <sheetView zoomScaleNormal="100" workbookViewId="0">
      <selection activeCell="B13" sqref="B13"/>
    </sheetView>
  </sheetViews>
  <sheetFormatPr defaultRowHeight="12.75" x14ac:dyDescent="0.2"/>
  <cols>
    <col min="1" max="1" width="21.85546875" customWidth="1"/>
    <col min="2" max="2" width="13.42578125" customWidth="1"/>
    <col min="3" max="3" width="10.5703125" customWidth="1"/>
    <col min="4" max="4" width="9.140625" customWidth="1"/>
    <col min="5" max="5" width="10.7109375" customWidth="1"/>
    <col min="6" max="6" width="7" customWidth="1"/>
    <col min="7" max="7" width="11.85546875" customWidth="1"/>
    <col min="8" max="8" width="10.140625" customWidth="1"/>
    <col min="9" max="9" width="9.140625" customWidth="1"/>
    <col min="10" max="10" width="10" style="96" customWidth="1"/>
    <col min="11" max="11" width="10.5703125" style="96" customWidth="1"/>
    <col min="12" max="12" width="10.85546875" style="96" customWidth="1"/>
    <col min="13" max="13" width="10.7109375" style="96" customWidth="1"/>
    <col min="14" max="14" width="12.28515625" style="96" customWidth="1"/>
    <col min="15" max="15" width="11" style="96" customWidth="1"/>
    <col min="16" max="18" width="12.7109375" customWidth="1"/>
    <col min="19" max="19" width="10.28515625" customWidth="1"/>
  </cols>
  <sheetData>
    <row r="1" spans="1:16" x14ac:dyDescent="0.2">
      <c r="A1" s="54"/>
      <c r="B1" s="54"/>
      <c r="C1" s="54"/>
      <c r="D1" s="54"/>
      <c r="E1" s="54"/>
      <c r="F1" s="54"/>
      <c r="G1" s="54"/>
      <c r="H1" s="54"/>
      <c r="I1" s="54"/>
      <c r="J1" s="139"/>
      <c r="K1" s="139"/>
      <c r="L1" s="139"/>
      <c r="M1" s="139"/>
      <c r="N1" s="139"/>
      <c r="O1" s="85" t="s">
        <v>1324</v>
      </c>
    </row>
    <row r="2" spans="1:16" x14ac:dyDescent="0.2">
      <c r="A2" s="54"/>
      <c r="B2" s="54"/>
      <c r="C2" s="54"/>
      <c r="D2" s="54"/>
      <c r="E2" s="54"/>
      <c r="F2" s="54"/>
      <c r="G2" s="54"/>
      <c r="H2" s="54"/>
      <c r="I2" s="54"/>
      <c r="J2" s="139"/>
      <c r="K2" s="139"/>
      <c r="L2" s="139"/>
      <c r="M2" s="139"/>
      <c r="N2" s="139"/>
      <c r="O2" s="769" t="str">
        <f>'1.Bev-kiad.'!F2</f>
        <v>a 11/2023.(V.26.) önkormányzati rendelethez</v>
      </c>
    </row>
    <row r="3" spans="1:16" x14ac:dyDescent="0.2">
      <c r="A3" s="54"/>
      <c r="B3" s="54"/>
      <c r="C3" s="54"/>
      <c r="D3" s="54"/>
      <c r="E3" s="54"/>
      <c r="F3" s="54"/>
      <c r="G3" s="54"/>
      <c r="H3" s="54"/>
      <c r="I3" s="54"/>
      <c r="J3" s="139"/>
      <c r="K3" s="139"/>
      <c r="L3" s="139"/>
      <c r="M3" s="139"/>
      <c r="N3" s="139"/>
      <c r="O3" s="183" t="s">
        <v>1308</v>
      </c>
    </row>
    <row r="4" spans="1:16" ht="16.5" customHeight="1" x14ac:dyDescent="0.2">
      <c r="A4" s="845" t="s">
        <v>116</v>
      </c>
      <c r="B4" s="856"/>
      <c r="C4" s="856"/>
      <c r="D4" s="856"/>
      <c r="E4" s="856"/>
      <c r="F4" s="856"/>
      <c r="G4" s="856"/>
      <c r="H4" s="856"/>
      <c r="I4" s="856"/>
      <c r="J4" s="856"/>
      <c r="K4" s="856"/>
      <c r="L4" s="856"/>
      <c r="M4" s="856"/>
      <c r="N4" s="856"/>
      <c r="O4" s="856"/>
    </row>
    <row r="5" spans="1:16" ht="30.75" customHeight="1" x14ac:dyDescent="0.2">
      <c r="A5" s="903" t="s">
        <v>1185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5"/>
      <c r="O5" s="855"/>
      <c r="P5" s="140"/>
    </row>
    <row r="6" spans="1:16" ht="12" customHeight="1" x14ac:dyDescent="0.2">
      <c r="A6" s="855"/>
      <c r="B6" s="855"/>
      <c r="C6" s="855"/>
      <c r="D6" s="855"/>
      <c r="E6" s="855"/>
      <c r="F6" s="855"/>
      <c r="G6" s="855"/>
      <c r="H6" s="855"/>
      <c r="I6" s="855"/>
      <c r="J6" s="855"/>
      <c r="K6" s="855"/>
      <c r="L6" s="855"/>
      <c r="M6" s="855"/>
      <c r="N6" s="855"/>
      <c r="O6" s="855"/>
    </row>
    <row r="7" spans="1:16" ht="12.95" customHeight="1" thickBot="1" x14ac:dyDescent="0.25">
      <c r="A7" s="3"/>
      <c r="B7" s="3"/>
      <c r="C7" s="3"/>
      <c r="D7" s="3"/>
      <c r="E7" s="3"/>
      <c r="F7" s="3"/>
      <c r="G7" s="3"/>
      <c r="H7" s="3"/>
      <c r="I7" s="3"/>
      <c r="J7" s="87"/>
      <c r="K7" s="87"/>
      <c r="L7" s="87"/>
      <c r="M7" s="87"/>
      <c r="N7" s="87"/>
      <c r="O7" s="85" t="s">
        <v>0</v>
      </c>
    </row>
    <row r="8" spans="1:16" ht="43.5" customHeight="1" x14ac:dyDescent="0.2">
      <c r="A8" s="915" t="s">
        <v>106</v>
      </c>
      <c r="B8" s="897" t="s">
        <v>107</v>
      </c>
      <c r="C8" s="897" t="s">
        <v>108</v>
      </c>
      <c r="D8" s="907" t="s">
        <v>115</v>
      </c>
      <c r="E8" s="897" t="s">
        <v>109</v>
      </c>
      <c r="F8" s="437"/>
      <c r="G8" s="907" t="s">
        <v>1187</v>
      </c>
      <c r="H8" s="900" t="s">
        <v>110</v>
      </c>
      <c r="I8" s="901"/>
      <c r="J8" s="901"/>
      <c r="K8" s="902"/>
      <c r="L8" s="907" t="s">
        <v>908</v>
      </c>
      <c r="M8" s="910" t="s">
        <v>1322</v>
      </c>
      <c r="N8" s="910" t="s">
        <v>1186</v>
      </c>
      <c r="O8" s="904" t="s">
        <v>398</v>
      </c>
    </row>
    <row r="9" spans="1:16" ht="51" customHeight="1" x14ac:dyDescent="0.2">
      <c r="A9" s="916"/>
      <c r="B9" s="898"/>
      <c r="C9" s="898"/>
      <c r="D9" s="908"/>
      <c r="E9" s="898"/>
      <c r="F9" s="180" t="s">
        <v>381</v>
      </c>
      <c r="G9" s="908"/>
      <c r="H9" s="913" t="s">
        <v>112</v>
      </c>
      <c r="I9" s="914"/>
      <c r="J9" s="898" t="s">
        <v>111</v>
      </c>
      <c r="K9" s="898" t="s">
        <v>382</v>
      </c>
      <c r="L9" s="908"/>
      <c r="M9" s="911"/>
      <c r="N9" s="911"/>
      <c r="O9" s="905"/>
    </row>
    <row r="10" spans="1:16" ht="41.25" customHeight="1" thickBot="1" x14ac:dyDescent="0.25">
      <c r="A10" s="917"/>
      <c r="B10" s="899"/>
      <c r="C10" s="899"/>
      <c r="D10" s="909"/>
      <c r="E10" s="899"/>
      <c r="F10" s="438"/>
      <c r="G10" s="909"/>
      <c r="H10" s="439" t="s">
        <v>113</v>
      </c>
      <c r="I10" s="439" t="s">
        <v>114</v>
      </c>
      <c r="J10" s="899"/>
      <c r="K10" s="899"/>
      <c r="L10" s="909"/>
      <c r="M10" s="912"/>
      <c r="N10" s="912"/>
      <c r="O10" s="906"/>
    </row>
    <row r="11" spans="1:16" ht="25.5" x14ac:dyDescent="0.2">
      <c r="A11" s="434" t="s">
        <v>509</v>
      </c>
      <c r="B11" s="440" t="s">
        <v>510</v>
      </c>
      <c r="C11" s="80">
        <v>680000</v>
      </c>
      <c r="D11" s="145" t="s">
        <v>511</v>
      </c>
      <c r="E11" s="80">
        <v>680000</v>
      </c>
      <c r="F11" s="80">
        <v>0</v>
      </c>
      <c r="G11" s="80">
        <v>665000</v>
      </c>
      <c r="H11" s="80">
        <f>SUM(K11)</f>
        <v>665000</v>
      </c>
      <c r="I11" s="12">
        <v>0</v>
      </c>
      <c r="J11" s="80">
        <v>0</v>
      </c>
      <c r="K11" s="80">
        <f>(665000+'3.felh'!C24)</f>
        <v>665000</v>
      </c>
      <c r="L11" s="80">
        <v>0</v>
      </c>
      <c r="M11" s="80">
        <f>SUM('3.felh'!C68+'8.Önk.'!AQ112)</f>
        <v>680975</v>
      </c>
      <c r="N11" s="738" t="s">
        <v>66</v>
      </c>
      <c r="O11" s="441" t="s">
        <v>66</v>
      </c>
    </row>
    <row r="12" spans="1:16" ht="36" x14ac:dyDescent="0.2">
      <c r="A12" s="20" t="s">
        <v>935</v>
      </c>
      <c r="B12" s="440" t="s">
        <v>1325</v>
      </c>
      <c r="C12" s="80">
        <v>230000</v>
      </c>
      <c r="D12" s="145" t="s">
        <v>511</v>
      </c>
      <c r="E12" s="80">
        <v>230000</v>
      </c>
      <c r="F12" s="80">
        <v>0</v>
      </c>
      <c r="G12" s="80">
        <v>221049</v>
      </c>
      <c r="H12" s="80">
        <v>221049</v>
      </c>
      <c r="I12" s="12">
        <v>0</v>
      </c>
      <c r="J12" s="80">
        <v>0</v>
      </c>
      <c r="K12" s="80">
        <v>221049</v>
      </c>
      <c r="L12" s="80">
        <v>0</v>
      </c>
      <c r="M12" s="80">
        <f>SUM('3.felh'!C46+'3.felh'!C47+'8.Önk.'!AQ112)</f>
        <v>309560</v>
      </c>
      <c r="N12" s="583" t="s">
        <v>66</v>
      </c>
      <c r="O12" s="441" t="s">
        <v>66</v>
      </c>
    </row>
    <row r="13" spans="1:16" ht="38.25" customHeight="1" thickBot="1" x14ac:dyDescent="0.25">
      <c r="A13" s="20" t="s">
        <v>1321</v>
      </c>
      <c r="B13" s="440" t="s">
        <v>1320</v>
      </c>
      <c r="C13" s="80">
        <v>238522</v>
      </c>
      <c r="D13" s="145" t="s">
        <v>511</v>
      </c>
      <c r="E13" s="80">
        <v>238522</v>
      </c>
      <c r="F13" s="80">
        <v>0</v>
      </c>
      <c r="G13" s="80">
        <v>227589</v>
      </c>
      <c r="H13" s="80">
        <v>227589</v>
      </c>
      <c r="I13" s="12">
        <v>0</v>
      </c>
      <c r="J13" s="80">
        <v>0</v>
      </c>
      <c r="K13" s="80">
        <v>227589</v>
      </c>
      <c r="L13" s="80">
        <v>0</v>
      </c>
      <c r="M13" s="80">
        <v>0</v>
      </c>
      <c r="N13" s="583" t="s">
        <v>66</v>
      </c>
      <c r="O13" s="441" t="s">
        <v>66</v>
      </c>
    </row>
    <row r="14" spans="1:16" ht="19.5" customHeight="1" thickBot="1" x14ac:dyDescent="0.25">
      <c r="A14" s="141" t="s">
        <v>70</v>
      </c>
      <c r="B14" s="142"/>
      <c r="C14" s="143">
        <f>SUM(C11:C13)</f>
        <v>1148522</v>
      </c>
      <c r="D14" s="142"/>
      <c r="E14" s="143">
        <f>SUM(E11:E13)</f>
        <v>1148522</v>
      </c>
      <c r="F14" s="143">
        <f>SUM(F11:F13)</f>
        <v>0</v>
      </c>
      <c r="G14" s="185">
        <f>SUM(E14:F14)</f>
        <v>1148522</v>
      </c>
      <c r="H14" s="143">
        <f>SUM(H11:H13)</f>
        <v>1113638</v>
      </c>
      <c r="I14" s="143">
        <f>SUM(I11:I13)</f>
        <v>0</v>
      </c>
      <c r="J14" s="143">
        <f>SUM(J11:J13)</f>
        <v>0</v>
      </c>
      <c r="K14" s="143">
        <f>SUM(K11:K13)</f>
        <v>1113638</v>
      </c>
      <c r="L14" s="143"/>
      <c r="M14" s="185">
        <f>SUM(M11:M13)</f>
        <v>990535</v>
      </c>
      <c r="N14" s="185"/>
      <c r="O14" s="144"/>
    </row>
    <row r="15" spans="1:16" ht="12.95" customHeight="1" x14ac:dyDescent="0.2">
      <c r="J15"/>
      <c r="K15" s="37">
        <f>SUM(H14:J14)</f>
        <v>1113638</v>
      </c>
      <c r="L15" s="76"/>
      <c r="M15"/>
      <c r="N15"/>
      <c r="O15"/>
    </row>
    <row r="16" spans="1:16" ht="12.95" customHeight="1" x14ac:dyDescent="0.2">
      <c r="B16" s="76"/>
      <c r="C16" s="76"/>
      <c r="D16" s="76"/>
      <c r="E16" s="76"/>
      <c r="F16" s="76"/>
      <c r="G16" s="76"/>
      <c r="H16" s="76"/>
      <c r="I16" s="76"/>
      <c r="J16" s="95"/>
      <c r="K16" s="95"/>
      <c r="L16" s="95"/>
      <c r="M16" s="95"/>
      <c r="N16" s="95"/>
      <c r="O16" s="95"/>
    </row>
    <row r="17" spans="2:15" ht="12.95" customHeight="1" x14ac:dyDescent="0.2">
      <c r="B17" s="76"/>
      <c r="C17" s="76"/>
      <c r="D17" s="76"/>
      <c r="E17" s="76"/>
      <c r="F17" s="76"/>
      <c r="G17" s="76"/>
      <c r="H17" s="76"/>
      <c r="I17" s="76"/>
      <c r="J17" s="95"/>
      <c r="K17" s="95"/>
      <c r="L17" s="95"/>
      <c r="M17" s="95"/>
      <c r="N17" s="95"/>
      <c r="O17" s="95"/>
    </row>
    <row r="18" spans="2:15" ht="12.95" customHeight="1" x14ac:dyDescent="0.2">
      <c r="B18" s="76"/>
      <c r="C18" s="76"/>
      <c r="D18" s="76"/>
      <c r="E18" s="76"/>
      <c r="F18" s="76"/>
      <c r="G18" s="76"/>
      <c r="H18" s="76"/>
      <c r="I18" s="76"/>
      <c r="J18" s="95"/>
      <c r="K18" s="95"/>
      <c r="L18" s="95"/>
      <c r="M18" s="95"/>
      <c r="N18" s="95"/>
      <c r="O18" s="95"/>
    </row>
    <row r="19" spans="2:15" ht="12.95" customHeight="1" x14ac:dyDescent="0.2">
      <c r="B19" s="76"/>
      <c r="C19" s="76"/>
      <c r="D19" s="76"/>
      <c r="E19" s="76"/>
      <c r="F19" s="76"/>
      <c r="G19" s="76"/>
      <c r="H19" s="76"/>
      <c r="I19" s="76"/>
      <c r="J19" s="95"/>
      <c r="K19" s="95"/>
      <c r="L19" s="95"/>
      <c r="M19" s="95"/>
      <c r="N19" s="95"/>
      <c r="O19" s="95"/>
    </row>
    <row r="20" spans="2:15" ht="12.95" customHeight="1" x14ac:dyDescent="0.2">
      <c r="B20" s="76"/>
      <c r="C20" s="76"/>
      <c r="D20" s="76"/>
      <c r="E20" s="76"/>
      <c r="F20" s="76"/>
      <c r="G20" s="76"/>
      <c r="H20" s="76"/>
      <c r="I20" s="76"/>
      <c r="J20" s="95"/>
      <c r="K20" s="95"/>
      <c r="L20" s="95"/>
      <c r="M20" s="95"/>
      <c r="N20" s="95"/>
      <c r="O20" s="95"/>
    </row>
    <row r="21" spans="2:15" ht="12.95" customHeight="1" x14ac:dyDescent="0.2">
      <c r="B21" s="76"/>
      <c r="C21" s="76"/>
      <c r="D21" s="76"/>
      <c r="E21" s="76"/>
      <c r="F21" s="76"/>
      <c r="G21" s="76"/>
      <c r="H21" s="76"/>
      <c r="I21" s="76"/>
      <c r="J21" s="95"/>
      <c r="K21" s="95"/>
      <c r="L21" s="95"/>
      <c r="M21" s="95"/>
      <c r="N21" s="95"/>
      <c r="O21" s="95"/>
    </row>
    <row r="22" spans="2:15" ht="12.95" customHeight="1" x14ac:dyDescent="0.2">
      <c r="B22" s="76"/>
      <c r="C22" s="76"/>
      <c r="D22" s="76"/>
      <c r="E22" s="76"/>
      <c r="F22" s="76"/>
      <c r="G22" s="76"/>
      <c r="H22" s="76"/>
      <c r="I22" s="76"/>
      <c r="J22" s="95"/>
      <c r="K22" s="95"/>
      <c r="L22" s="95"/>
      <c r="M22" s="95"/>
      <c r="N22" s="95"/>
      <c r="O22" s="95"/>
    </row>
    <row r="23" spans="2:15" ht="12.95" customHeight="1" x14ac:dyDescent="0.2">
      <c r="B23" s="76"/>
      <c r="C23" s="76"/>
      <c r="D23" s="76"/>
      <c r="E23" s="76"/>
      <c r="F23" s="76"/>
      <c r="G23" s="76"/>
      <c r="H23" s="76"/>
      <c r="I23" s="76"/>
      <c r="J23" s="95"/>
      <c r="K23" s="95"/>
      <c r="L23" s="95"/>
      <c r="M23" s="95"/>
      <c r="N23" s="95"/>
      <c r="O23" s="95"/>
    </row>
    <row r="24" spans="2:15" ht="12.95" customHeight="1" x14ac:dyDescent="0.2">
      <c r="B24" s="76"/>
      <c r="C24" s="76"/>
      <c r="D24" s="76"/>
      <c r="E24" s="76"/>
      <c r="F24" s="76"/>
      <c r="G24" s="76"/>
      <c r="H24" s="76"/>
      <c r="I24" s="76"/>
      <c r="J24" s="95"/>
      <c r="K24" s="95"/>
      <c r="L24" s="95"/>
      <c r="M24" s="95"/>
      <c r="N24" s="95"/>
      <c r="O24" s="95"/>
    </row>
    <row r="25" spans="2:15" ht="12.95" customHeight="1" x14ac:dyDescent="0.2">
      <c r="B25" s="76"/>
      <c r="C25" s="76"/>
      <c r="D25" s="76"/>
      <c r="E25" s="76"/>
      <c r="F25" s="76"/>
      <c r="G25" s="76"/>
      <c r="H25" s="76"/>
      <c r="I25" s="76"/>
      <c r="J25" s="95"/>
      <c r="K25" s="95"/>
      <c r="L25" s="95"/>
      <c r="M25" s="95"/>
      <c r="N25" s="95"/>
      <c r="O25" s="95"/>
    </row>
    <row r="26" spans="2:15" ht="12.95" customHeight="1" x14ac:dyDescent="0.2">
      <c r="B26" s="76"/>
      <c r="C26" s="76"/>
      <c r="D26" s="76"/>
      <c r="E26" s="76"/>
      <c r="F26" s="76"/>
      <c r="G26" s="76"/>
      <c r="H26" s="76"/>
      <c r="I26" s="76"/>
      <c r="J26" s="95"/>
      <c r="K26" s="95"/>
      <c r="L26" s="95"/>
      <c r="M26" s="95"/>
      <c r="N26" s="95"/>
      <c r="O26" s="95"/>
    </row>
    <row r="27" spans="2:15" ht="12.95" customHeight="1" x14ac:dyDescent="0.2">
      <c r="B27" s="76"/>
      <c r="C27" s="76"/>
      <c r="D27" s="76"/>
      <c r="E27" s="76"/>
      <c r="F27" s="76"/>
      <c r="G27" s="76"/>
      <c r="H27" s="76"/>
      <c r="I27" s="76"/>
      <c r="J27" s="95"/>
      <c r="K27" s="95"/>
      <c r="L27" s="95"/>
      <c r="M27" s="95"/>
      <c r="N27" s="95"/>
      <c r="O27" s="95"/>
    </row>
    <row r="28" spans="2:15" ht="12.95" customHeight="1" x14ac:dyDescent="0.2">
      <c r="B28" s="76"/>
      <c r="C28" s="76"/>
      <c r="D28" s="76"/>
      <c r="E28" s="76"/>
      <c r="F28" s="76"/>
      <c r="G28" s="76"/>
      <c r="H28" s="76"/>
      <c r="I28" s="76"/>
      <c r="J28" s="95"/>
      <c r="K28" s="95"/>
      <c r="L28" s="95"/>
      <c r="M28" s="95"/>
      <c r="N28" s="95"/>
      <c r="O28" s="95"/>
    </row>
    <row r="29" spans="2:15" ht="12.95" customHeight="1" x14ac:dyDescent="0.2">
      <c r="B29" s="76"/>
      <c r="C29" s="76"/>
      <c r="D29" s="76"/>
      <c r="E29" s="76"/>
      <c r="F29" s="76"/>
      <c r="G29" s="76"/>
      <c r="H29" s="76"/>
      <c r="I29" s="76"/>
      <c r="J29" s="95"/>
      <c r="K29" s="95"/>
      <c r="L29" s="95"/>
      <c r="M29" s="95"/>
      <c r="N29" s="95"/>
      <c r="O29" s="95"/>
    </row>
    <row r="30" spans="2:15" ht="12.95" customHeight="1" x14ac:dyDescent="0.2">
      <c r="B30" s="76"/>
      <c r="C30" s="76"/>
      <c r="D30" s="76"/>
      <c r="E30" s="76"/>
      <c r="F30" s="76"/>
      <c r="G30" s="76"/>
      <c r="H30" s="76"/>
      <c r="I30" s="76"/>
      <c r="J30" s="95"/>
      <c r="K30" s="95"/>
      <c r="L30" s="95"/>
      <c r="M30" s="95"/>
      <c r="N30" s="95"/>
      <c r="O30" s="95"/>
    </row>
    <row r="31" spans="2:15" ht="12.95" customHeight="1" x14ac:dyDescent="0.2">
      <c r="B31" s="76"/>
      <c r="C31" s="76"/>
      <c r="D31" s="76"/>
      <c r="E31" s="76"/>
      <c r="F31" s="76"/>
      <c r="G31" s="76"/>
      <c r="H31" s="76"/>
      <c r="I31" s="76"/>
      <c r="J31" s="95"/>
      <c r="K31" s="95"/>
      <c r="L31" s="95"/>
      <c r="M31" s="95"/>
      <c r="N31" s="95"/>
      <c r="O31" s="95"/>
    </row>
    <row r="32" spans="2:15" ht="12.95" customHeight="1" x14ac:dyDescent="0.2">
      <c r="B32" s="76"/>
      <c r="C32" s="76"/>
      <c r="D32" s="76"/>
      <c r="E32" s="76"/>
      <c r="F32" s="76"/>
      <c r="G32" s="76"/>
      <c r="H32" s="76"/>
      <c r="I32" s="76"/>
      <c r="J32" s="95"/>
      <c r="K32" s="95"/>
      <c r="L32" s="95"/>
      <c r="M32" s="95"/>
      <c r="N32" s="95"/>
      <c r="O32" s="95"/>
    </row>
    <row r="33" spans="2:15" ht="12.95" customHeight="1" x14ac:dyDescent="0.2">
      <c r="B33" s="76"/>
      <c r="C33" s="76"/>
      <c r="D33" s="76"/>
      <c r="E33" s="76"/>
      <c r="F33" s="76"/>
      <c r="G33" s="76"/>
      <c r="H33" s="76"/>
      <c r="I33" s="76"/>
      <c r="J33" s="95"/>
      <c r="K33" s="95"/>
      <c r="L33" s="95"/>
      <c r="M33" s="95"/>
      <c r="N33" s="95"/>
      <c r="O33" s="95"/>
    </row>
    <row r="34" spans="2:15" ht="12.95" customHeight="1" x14ac:dyDescent="0.2">
      <c r="B34" s="76"/>
      <c r="C34" s="76"/>
      <c r="D34" s="76"/>
      <c r="E34" s="76"/>
      <c r="F34" s="76"/>
      <c r="G34" s="76"/>
      <c r="H34" s="76"/>
      <c r="I34" s="76"/>
      <c r="J34" s="95"/>
      <c r="K34" s="95"/>
      <c r="L34" s="95"/>
      <c r="M34" s="95"/>
      <c r="N34" s="95"/>
      <c r="O34" s="95"/>
    </row>
    <row r="35" spans="2:15" ht="12.95" customHeight="1" x14ac:dyDescent="0.2">
      <c r="B35" s="76"/>
      <c r="C35" s="76"/>
      <c r="D35" s="76"/>
      <c r="E35" s="76"/>
      <c r="F35" s="76"/>
      <c r="G35" s="76"/>
      <c r="H35" s="76"/>
      <c r="I35" s="76"/>
      <c r="J35" s="95"/>
      <c r="K35" s="95"/>
      <c r="L35" s="95"/>
      <c r="M35" s="95"/>
      <c r="N35" s="95"/>
      <c r="O35" s="95"/>
    </row>
    <row r="36" spans="2:15" ht="12.95" customHeight="1" x14ac:dyDescent="0.2">
      <c r="B36" s="76"/>
      <c r="C36" s="76"/>
      <c r="D36" s="76"/>
      <c r="E36" s="76"/>
      <c r="F36" s="76"/>
      <c r="G36" s="76"/>
      <c r="H36" s="76"/>
      <c r="I36" s="76"/>
      <c r="J36" s="95"/>
      <c r="K36" s="95"/>
      <c r="L36" s="95"/>
      <c r="M36" s="95"/>
      <c r="N36" s="95"/>
      <c r="O36" s="95"/>
    </row>
    <row r="37" spans="2:15" ht="12.95" customHeight="1" x14ac:dyDescent="0.2">
      <c r="B37" s="76"/>
      <c r="C37" s="76"/>
      <c r="D37" s="76"/>
      <c r="E37" s="76"/>
      <c r="F37" s="76"/>
      <c r="G37" s="76"/>
      <c r="H37" s="76"/>
      <c r="I37" s="76"/>
      <c r="J37" s="95"/>
      <c r="K37" s="95"/>
      <c r="L37" s="95"/>
      <c r="M37" s="95"/>
      <c r="N37" s="95"/>
      <c r="O37" s="95"/>
    </row>
    <row r="38" spans="2:15" ht="12.95" customHeight="1" x14ac:dyDescent="0.2">
      <c r="B38" s="76"/>
      <c r="C38" s="76"/>
      <c r="D38" s="76"/>
      <c r="E38" s="76"/>
      <c r="F38" s="76"/>
      <c r="G38" s="76"/>
      <c r="H38" s="76"/>
      <c r="I38" s="76"/>
      <c r="J38" s="95"/>
      <c r="K38" s="95"/>
      <c r="L38" s="95"/>
      <c r="M38" s="95"/>
      <c r="N38" s="95"/>
      <c r="O38" s="95"/>
    </row>
    <row r="39" spans="2:15" ht="12.95" customHeight="1" x14ac:dyDescent="0.2">
      <c r="B39" s="76"/>
      <c r="C39" s="76"/>
      <c r="D39" s="76"/>
      <c r="E39" s="76"/>
      <c r="F39" s="76"/>
      <c r="G39" s="76"/>
      <c r="H39" s="76"/>
      <c r="I39" s="76"/>
      <c r="J39" s="95"/>
      <c r="K39" s="95"/>
      <c r="L39" s="95"/>
      <c r="M39" s="95"/>
      <c r="N39" s="95"/>
      <c r="O39" s="95"/>
    </row>
    <row r="40" spans="2:15" ht="12.95" customHeight="1" x14ac:dyDescent="0.2">
      <c r="B40" s="76"/>
      <c r="C40" s="76"/>
      <c r="D40" s="76"/>
      <c r="E40" s="76"/>
      <c r="F40" s="76"/>
      <c r="G40" s="76"/>
      <c r="H40" s="76"/>
      <c r="I40" s="76"/>
      <c r="J40" s="95"/>
      <c r="K40" s="95"/>
      <c r="L40" s="95"/>
      <c r="M40" s="95"/>
      <c r="N40" s="95"/>
      <c r="O40" s="95"/>
    </row>
    <row r="41" spans="2:15" ht="12.95" customHeight="1" x14ac:dyDescent="0.2">
      <c r="B41" s="76"/>
      <c r="C41" s="76"/>
      <c r="D41" s="76"/>
      <c r="E41" s="76"/>
      <c r="F41" s="76"/>
      <c r="G41" s="76"/>
      <c r="H41" s="76"/>
      <c r="I41" s="76"/>
      <c r="J41" s="95"/>
      <c r="K41" s="95"/>
      <c r="L41" s="95"/>
      <c r="M41" s="95"/>
      <c r="N41" s="95"/>
      <c r="O41" s="95"/>
    </row>
    <row r="42" spans="2:15" ht="12.95" customHeight="1" x14ac:dyDescent="0.2">
      <c r="B42" s="76"/>
      <c r="C42" s="76"/>
      <c r="D42" s="76"/>
      <c r="E42" s="76"/>
      <c r="F42" s="76"/>
      <c r="G42" s="76"/>
      <c r="H42" s="76"/>
      <c r="I42" s="76"/>
      <c r="J42" s="95"/>
      <c r="K42" s="95"/>
      <c r="L42" s="95"/>
      <c r="M42" s="95"/>
      <c r="N42" s="95"/>
      <c r="O42" s="95"/>
    </row>
    <row r="43" spans="2:15" ht="12.95" customHeight="1" x14ac:dyDescent="0.2">
      <c r="B43" s="76"/>
      <c r="C43" s="76"/>
      <c r="D43" s="76"/>
      <c r="E43" s="76"/>
      <c r="F43" s="76"/>
      <c r="G43" s="76"/>
      <c r="H43" s="76"/>
      <c r="I43" s="76"/>
      <c r="J43" s="95"/>
      <c r="K43" s="95"/>
      <c r="L43" s="95"/>
      <c r="M43" s="95"/>
      <c r="N43" s="95"/>
      <c r="O43" s="95"/>
    </row>
    <row r="44" spans="2:15" ht="12.95" customHeight="1" x14ac:dyDescent="0.2">
      <c r="B44" s="76"/>
      <c r="C44" s="76"/>
      <c r="D44" s="76"/>
      <c r="E44" s="76"/>
      <c r="F44" s="76"/>
      <c r="G44" s="76"/>
      <c r="H44" s="76"/>
      <c r="I44" s="76"/>
      <c r="J44" s="95"/>
      <c r="K44" s="95"/>
      <c r="L44" s="95"/>
      <c r="M44" s="95"/>
      <c r="N44" s="95"/>
      <c r="O44" s="95"/>
    </row>
    <row r="45" spans="2:15" ht="12.95" customHeight="1" x14ac:dyDescent="0.2">
      <c r="B45" s="76"/>
      <c r="C45" s="76"/>
      <c r="D45" s="76"/>
      <c r="E45" s="76"/>
      <c r="F45" s="76"/>
      <c r="G45" s="76"/>
      <c r="H45" s="76"/>
      <c r="I45" s="76"/>
      <c r="J45" s="95"/>
      <c r="K45" s="95"/>
      <c r="L45" s="95"/>
      <c r="M45" s="95"/>
      <c r="N45" s="95"/>
      <c r="O45" s="95"/>
    </row>
    <row r="46" spans="2:15" ht="12.95" customHeight="1" x14ac:dyDescent="0.2">
      <c r="B46" s="76"/>
      <c r="C46" s="76"/>
      <c r="D46" s="76"/>
      <c r="E46" s="76"/>
      <c r="F46" s="76"/>
      <c r="G46" s="76"/>
      <c r="H46" s="76"/>
      <c r="I46" s="76"/>
      <c r="J46" s="95"/>
      <c r="K46" s="95"/>
      <c r="L46" s="95"/>
      <c r="M46" s="95"/>
      <c r="N46" s="95"/>
      <c r="O46" s="95"/>
    </row>
    <row r="47" spans="2:15" ht="12.95" customHeight="1" x14ac:dyDescent="0.2">
      <c r="B47" s="76"/>
      <c r="C47" s="76"/>
      <c r="D47" s="76"/>
      <c r="E47" s="76"/>
      <c r="F47" s="76"/>
      <c r="G47" s="76"/>
      <c r="H47" s="76"/>
      <c r="I47" s="76"/>
      <c r="J47" s="95"/>
      <c r="K47" s="95"/>
      <c r="L47" s="95"/>
      <c r="M47" s="95"/>
      <c r="N47" s="95"/>
      <c r="O47" s="95"/>
    </row>
    <row r="48" spans="2:15" ht="12.95" customHeight="1" x14ac:dyDescent="0.2">
      <c r="B48" s="76"/>
      <c r="C48" s="76"/>
      <c r="D48" s="76"/>
      <c r="E48" s="76"/>
      <c r="F48" s="76"/>
      <c r="G48" s="76"/>
      <c r="H48" s="76"/>
      <c r="I48" s="76"/>
      <c r="J48" s="95"/>
      <c r="K48" s="95"/>
      <c r="L48" s="95"/>
      <c r="M48" s="95"/>
      <c r="N48" s="95"/>
      <c r="O48" s="95"/>
    </row>
    <row r="49" spans="2:15" ht="12.95" customHeight="1" x14ac:dyDescent="0.2">
      <c r="B49" s="76"/>
      <c r="C49" s="76"/>
      <c r="D49" s="76"/>
      <c r="E49" s="76"/>
      <c r="F49" s="76"/>
      <c r="G49" s="76"/>
      <c r="H49" s="76"/>
      <c r="I49" s="76"/>
      <c r="J49" s="95"/>
      <c r="K49" s="95"/>
      <c r="L49" s="95"/>
      <c r="M49" s="95"/>
      <c r="N49" s="95"/>
      <c r="O49" s="95"/>
    </row>
    <row r="50" spans="2:15" ht="12.95" customHeight="1" x14ac:dyDescent="0.2">
      <c r="B50" s="76"/>
      <c r="C50" s="76"/>
      <c r="D50" s="76"/>
      <c r="E50" s="76"/>
      <c r="F50" s="76"/>
      <c r="G50" s="76"/>
      <c r="H50" s="76"/>
      <c r="I50" s="76"/>
      <c r="J50" s="95"/>
      <c r="K50" s="95"/>
      <c r="L50" s="95"/>
      <c r="M50" s="95"/>
      <c r="N50" s="95"/>
      <c r="O50" s="95"/>
    </row>
    <row r="51" spans="2:15" ht="12.95" customHeight="1" x14ac:dyDescent="0.2">
      <c r="B51" s="76"/>
      <c r="C51" s="76"/>
      <c r="D51" s="76"/>
      <c r="E51" s="76"/>
      <c r="F51" s="76"/>
      <c r="G51" s="76"/>
      <c r="H51" s="76"/>
      <c r="I51" s="76"/>
      <c r="J51" s="95"/>
      <c r="K51" s="95"/>
      <c r="L51" s="95"/>
      <c r="M51" s="95"/>
      <c r="N51" s="95"/>
      <c r="O51" s="95"/>
    </row>
    <row r="52" spans="2:15" ht="12.95" customHeight="1" x14ac:dyDescent="0.2">
      <c r="B52" s="76"/>
      <c r="C52" s="76"/>
      <c r="D52" s="76"/>
      <c r="E52" s="76"/>
      <c r="F52" s="76"/>
      <c r="G52" s="76"/>
      <c r="H52" s="76"/>
      <c r="I52" s="76"/>
      <c r="J52" s="95"/>
      <c r="K52" s="95"/>
      <c r="L52" s="95"/>
      <c r="M52" s="95"/>
      <c r="N52" s="95"/>
      <c r="O52" s="95"/>
    </row>
    <row r="53" spans="2:15" ht="12.95" customHeight="1" x14ac:dyDescent="0.2">
      <c r="B53" s="76"/>
      <c r="C53" s="76"/>
      <c r="D53" s="76"/>
      <c r="E53" s="76"/>
      <c r="F53" s="76"/>
      <c r="G53" s="76"/>
      <c r="H53" s="76"/>
      <c r="I53" s="76"/>
      <c r="J53" s="95"/>
      <c r="K53" s="95"/>
      <c r="L53" s="95"/>
      <c r="M53" s="95"/>
      <c r="N53" s="95"/>
      <c r="O53" s="95"/>
    </row>
    <row r="54" spans="2:15" ht="12.95" customHeight="1" x14ac:dyDescent="0.2">
      <c r="B54" s="76"/>
      <c r="C54" s="76"/>
      <c r="D54" s="76"/>
      <c r="E54" s="76"/>
      <c r="F54" s="76"/>
      <c r="G54" s="76"/>
      <c r="H54" s="76"/>
      <c r="I54" s="76"/>
      <c r="J54" s="95"/>
      <c r="K54" s="95"/>
      <c r="L54" s="95"/>
      <c r="M54" s="95"/>
      <c r="N54" s="95"/>
      <c r="O54" s="95"/>
    </row>
    <row r="55" spans="2:15" ht="12.95" customHeight="1" x14ac:dyDescent="0.2">
      <c r="B55" s="76"/>
      <c r="C55" s="76"/>
      <c r="D55" s="76"/>
      <c r="E55" s="76"/>
      <c r="F55" s="76"/>
      <c r="G55" s="76"/>
      <c r="H55" s="76"/>
      <c r="I55" s="76"/>
      <c r="J55" s="95"/>
      <c r="K55" s="95"/>
      <c r="L55" s="95"/>
      <c r="M55" s="95"/>
      <c r="N55" s="95"/>
      <c r="O55" s="95"/>
    </row>
    <row r="56" spans="2:15" x14ac:dyDescent="0.2">
      <c r="B56" s="76"/>
      <c r="C56" s="76"/>
      <c r="D56" s="76"/>
      <c r="E56" s="76"/>
      <c r="F56" s="76"/>
      <c r="G56" s="76"/>
      <c r="H56" s="76"/>
      <c r="I56" s="76"/>
      <c r="J56" s="95"/>
      <c r="K56" s="95"/>
      <c r="L56" s="95"/>
      <c r="M56" s="95"/>
      <c r="N56" s="95"/>
      <c r="O56" s="95"/>
    </row>
    <row r="57" spans="2:15" x14ac:dyDescent="0.2">
      <c r="B57" s="76"/>
      <c r="C57" s="76"/>
      <c r="D57" s="76"/>
      <c r="E57" s="76"/>
      <c r="F57" s="76"/>
      <c r="G57" s="76"/>
      <c r="H57" s="76"/>
      <c r="I57" s="76"/>
      <c r="J57" s="95"/>
      <c r="K57" s="95"/>
      <c r="L57" s="95"/>
      <c r="M57" s="95"/>
      <c r="N57" s="95"/>
      <c r="O57" s="95"/>
    </row>
    <row r="58" spans="2:15" x14ac:dyDescent="0.2">
      <c r="B58" s="76"/>
      <c r="C58" s="76"/>
      <c r="D58" s="76"/>
      <c r="E58" s="76"/>
      <c r="F58" s="76"/>
      <c r="G58" s="76"/>
      <c r="H58" s="76"/>
      <c r="I58" s="76"/>
      <c r="J58" s="95"/>
      <c r="K58" s="95"/>
      <c r="L58" s="95"/>
      <c r="M58" s="95"/>
      <c r="N58" s="95"/>
      <c r="O58" s="95"/>
    </row>
    <row r="59" spans="2:15" x14ac:dyDescent="0.2">
      <c r="B59" s="76"/>
      <c r="C59" s="76"/>
      <c r="D59" s="76"/>
      <c r="E59" s="76"/>
      <c r="F59" s="76"/>
      <c r="G59" s="76"/>
      <c r="H59" s="76"/>
      <c r="I59" s="76"/>
      <c r="J59" s="95"/>
      <c r="K59" s="95"/>
      <c r="L59" s="95"/>
      <c r="M59" s="95"/>
      <c r="N59" s="95"/>
      <c r="O59" s="95"/>
    </row>
    <row r="60" spans="2:15" x14ac:dyDescent="0.2">
      <c r="B60" s="76"/>
      <c r="C60" s="76"/>
      <c r="D60" s="76"/>
      <c r="E60" s="76"/>
      <c r="F60" s="76"/>
      <c r="G60" s="76"/>
      <c r="H60" s="76"/>
      <c r="I60" s="76"/>
      <c r="J60" s="95"/>
      <c r="K60" s="95"/>
      <c r="L60" s="95"/>
      <c r="M60" s="95"/>
      <c r="N60" s="95"/>
      <c r="O60" s="95"/>
    </row>
    <row r="61" spans="2:15" x14ac:dyDescent="0.2">
      <c r="B61" s="76"/>
      <c r="C61" s="76"/>
      <c r="D61" s="76"/>
      <c r="E61" s="76"/>
      <c r="F61" s="76"/>
      <c r="G61" s="76"/>
      <c r="H61" s="76"/>
      <c r="I61" s="76"/>
      <c r="J61" s="95"/>
      <c r="K61" s="95"/>
      <c r="L61" s="95"/>
      <c r="M61" s="95"/>
      <c r="N61" s="95"/>
      <c r="O61" s="95"/>
    </row>
    <row r="62" spans="2:15" x14ac:dyDescent="0.2">
      <c r="B62" s="76"/>
      <c r="C62" s="76"/>
      <c r="D62" s="76"/>
      <c r="E62" s="76"/>
      <c r="F62" s="76"/>
      <c r="G62" s="76"/>
      <c r="H62" s="76"/>
      <c r="I62" s="76"/>
      <c r="J62" s="95"/>
      <c r="K62" s="95"/>
      <c r="L62" s="95"/>
      <c r="M62" s="95"/>
      <c r="N62" s="95"/>
      <c r="O62" s="95"/>
    </row>
    <row r="63" spans="2:15" x14ac:dyDescent="0.2">
      <c r="B63" s="76"/>
      <c r="C63" s="76"/>
      <c r="D63" s="76"/>
      <c r="E63" s="76"/>
      <c r="F63" s="76"/>
      <c r="G63" s="76"/>
      <c r="H63" s="76"/>
      <c r="I63" s="76"/>
      <c r="J63" s="95"/>
      <c r="K63" s="95"/>
      <c r="L63" s="95"/>
      <c r="M63" s="95"/>
      <c r="N63" s="95"/>
      <c r="O63" s="95"/>
    </row>
    <row r="64" spans="2:15" x14ac:dyDescent="0.2">
      <c r="B64" s="76"/>
      <c r="C64" s="76"/>
      <c r="D64" s="76"/>
      <c r="E64" s="76"/>
      <c r="F64" s="76"/>
      <c r="G64" s="76"/>
      <c r="H64" s="76"/>
      <c r="I64" s="76"/>
      <c r="J64" s="95"/>
      <c r="K64" s="95"/>
      <c r="L64" s="95"/>
      <c r="M64" s="95"/>
      <c r="N64" s="95"/>
      <c r="O64" s="95"/>
    </row>
    <row r="65" spans="2:15" x14ac:dyDescent="0.2">
      <c r="B65" s="76"/>
      <c r="C65" s="76"/>
      <c r="D65" s="76"/>
      <c r="E65" s="76"/>
      <c r="F65" s="76"/>
      <c r="G65" s="76"/>
      <c r="H65" s="76"/>
      <c r="I65" s="76"/>
      <c r="J65" s="95"/>
      <c r="K65" s="95"/>
      <c r="L65" s="95"/>
      <c r="M65" s="95"/>
      <c r="N65" s="95"/>
      <c r="O65" s="95"/>
    </row>
    <row r="66" spans="2:15" x14ac:dyDescent="0.2">
      <c r="B66" s="76"/>
      <c r="C66" s="76"/>
      <c r="D66" s="76"/>
      <c r="E66" s="76"/>
      <c r="F66" s="76"/>
      <c r="G66" s="76"/>
      <c r="H66" s="76"/>
      <c r="I66" s="76"/>
      <c r="J66" s="95"/>
      <c r="K66" s="95"/>
      <c r="L66" s="95"/>
      <c r="M66" s="95"/>
      <c r="N66" s="95"/>
      <c r="O66" s="95"/>
    </row>
    <row r="67" spans="2:15" x14ac:dyDescent="0.2">
      <c r="B67" s="76"/>
      <c r="C67" s="76"/>
      <c r="D67" s="76"/>
      <c r="E67" s="76"/>
      <c r="F67" s="76"/>
      <c r="G67" s="76"/>
      <c r="H67" s="76"/>
      <c r="I67" s="76"/>
      <c r="J67" s="95"/>
      <c r="K67" s="95"/>
      <c r="L67" s="95"/>
      <c r="M67" s="95"/>
      <c r="N67" s="95"/>
      <c r="O67" s="95"/>
    </row>
    <row r="68" spans="2:15" x14ac:dyDescent="0.2">
      <c r="B68" s="76"/>
      <c r="C68" s="76"/>
      <c r="D68" s="76"/>
      <c r="E68" s="76"/>
      <c r="F68" s="76"/>
      <c r="G68" s="76"/>
      <c r="H68" s="76"/>
      <c r="I68" s="76"/>
      <c r="J68" s="95"/>
      <c r="K68" s="95"/>
      <c r="L68" s="95"/>
      <c r="M68" s="95"/>
      <c r="N68" s="95"/>
      <c r="O68" s="95"/>
    </row>
    <row r="69" spans="2:15" x14ac:dyDescent="0.2">
      <c r="B69" s="76"/>
      <c r="C69" s="76"/>
      <c r="D69" s="76"/>
      <c r="E69" s="76"/>
      <c r="F69" s="76"/>
      <c r="G69" s="76"/>
      <c r="H69" s="76"/>
      <c r="I69" s="76"/>
      <c r="J69" s="95"/>
      <c r="K69" s="95"/>
      <c r="L69" s="95"/>
      <c r="M69" s="95"/>
      <c r="N69" s="95"/>
      <c r="O69" s="95"/>
    </row>
    <row r="70" spans="2:15" x14ac:dyDescent="0.2">
      <c r="B70" s="76"/>
      <c r="C70" s="76"/>
      <c r="D70" s="76"/>
      <c r="E70" s="76"/>
      <c r="F70" s="76"/>
      <c r="G70" s="76"/>
      <c r="H70" s="76"/>
      <c r="I70" s="76"/>
      <c r="J70" s="95"/>
      <c r="K70" s="95"/>
      <c r="L70" s="95"/>
      <c r="M70" s="95"/>
      <c r="N70" s="95"/>
      <c r="O70" s="95"/>
    </row>
    <row r="71" spans="2:15" x14ac:dyDescent="0.2">
      <c r="B71" s="76"/>
      <c r="C71" s="76"/>
      <c r="D71" s="76"/>
      <c r="E71" s="76"/>
      <c r="F71" s="76"/>
      <c r="G71" s="76"/>
      <c r="H71" s="76"/>
      <c r="I71" s="76"/>
      <c r="J71" s="95"/>
      <c r="K71" s="95"/>
      <c r="L71" s="95"/>
      <c r="M71" s="95"/>
      <c r="N71" s="95"/>
      <c r="O71" s="95"/>
    </row>
    <row r="72" spans="2:15" x14ac:dyDescent="0.2">
      <c r="B72" s="76"/>
      <c r="C72" s="76"/>
      <c r="D72" s="76"/>
      <c r="E72" s="76"/>
      <c r="F72" s="76"/>
      <c r="G72" s="76"/>
      <c r="H72" s="76"/>
      <c r="I72" s="76"/>
      <c r="J72" s="95"/>
      <c r="K72" s="95"/>
      <c r="L72" s="95"/>
      <c r="M72" s="95"/>
      <c r="N72" s="95"/>
      <c r="O72" s="95"/>
    </row>
    <row r="73" spans="2:15" x14ac:dyDescent="0.2">
      <c r="B73" s="76"/>
      <c r="C73" s="76"/>
      <c r="D73" s="76"/>
      <c r="E73" s="76"/>
      <c r="F73" s="76"/>
      <c r="G73" s="76"/>
      <c r="H73" s="76"/>
      <c r="I73" s="76"/>
      <c r="J73" s="95"/>
      <c r="K73" s="95"/>
      <c r="L73" s="95"/>
      <c r="M73" s="95"/>
      <c r="N73" s="95"/>
      <c r="O73" s="95"/>
    </row>
    <row r="74" spans="2:15" x14ac:dyDescent="0.2">
      <c r="I74" s="76"/>
    </row>
  </sheetData>
  <mergeCells count="17">
    <mergeCell ref="G8:G10"/>
    <mergeCell ref="E8:E10"/>
    <mergeCell ref="J9:J10"/>
    <mergeCell ref="H8:K8"/>
    <mergeCell ref="K9:K10"/>
    <mergeCell ref="A4:O4"/>
    <mergeCell ref="A6:O6"/>
    <mergeCell ref="A5:O5"/>
    <mergeCell ref="O8:O10"/>
    <mergeCell ref="L8:L10"/>
    <mergeCell ref="N8:N10"/>
    <mergeCell ref="H9:I9"/>
    <mergeCell ref="A8:A10"/>
    <mergeCell ref="B8:B10"/>
    <mergeCell ref="C8:C10"/>
    <mergeCell ref="D8:D10"/>
    <mergeCell ref="M8:M10"/>
  </mergeCells>
  <pageMargins left="0.41" right="0.17" top="0.31" bottom="1" header="0.19" footer="0.5"/>
  <pageSetup paperSize="9" scale="8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5"/>
  <sheetViews>
    <sheetView zoomScaleNormal="100" workbookViewId="0">
      <selection activeCell="B4" sqref="B4:I4"/>
    </sheetView>
  </sheetViews>
  <sheetFormatPr defaultRowHeight="15" x14ac:dyDescent="0.25"/>
  <cols>
    <col min="1" max="1" width="3" style="740" bestFit="1" customWidth="1"/>
    <col min="2" max="2" width="61.7109375" style="740" customWidth="1"/>
    <col min="3" max="3" width="14.7109375" style="740" customWidth="1"/>
    <col min="4" max="4" width="14.7109375" style="740" bestFit="1" customWidth="1"/>
    <col min="5" max="5" width="14.7109375" style="740" customWidth="1"/>
    <col min="6" max="6" width="4.7109375" style="740" customWidth="1"/>
    <col min="7" max="7" width="49.140625" style="740" customWidth="1"/>
    <col min="8" max="8" width="14.7109375" style="740" customWidth="1"/>
    <col min="9" max="9" width="14.5703125" style="740" customWidth="1"/>
    <col min="10" max="10" width="14.7109375" style="740" customWidth="1"/>
    <col min="11" max="16384" width="9.140625" style="740"/>
  </cols>
  <sheetData>
    <row r="1" spans="1:10" x14ac:dyDescent="0.25">
      <c r="A1" s="739"/>
      <c r="B1" s="739"/>
      <c r="C1" s="739"/>
      <c r="D1" s="739"/>
      <c r="E1" s="739"/>
      <c r="F1" s="739"/>
      <c r="G1" s="739"/>
      <c r="H1" s="739"/>
      <c r="I1" s="739"/>
      <c r="J1" s="85" t="s">
        <v>1192</v>
      </c>
    </row>
    <row r="2" spans="1:10" x14ac:dyDescent="0.25">
      <c r="A2" s="739"/>
      <c r="B2" s="739"/>
      <c r="C2" s="739"/>
      <c r="D2" s="739"/>
      <c r="E2" s="739"/>
      <c r="F2" s="739"/>
      <c r="G2" s="739"/>
      <c r="H2" s="739"/>
      <c r="I2" s="739"/>
      <c r="J2" s="769" t="str">
        <f>'1.Bev-kiad.'!F2</f>
        <v>a 11/2023.(V.26.) önkormányzati rendelethez</v>
      </c>
    </row>
    <row r="3" spans="1:10" x14ac:dyDescent="0.25">
      <c r="A3" s="739"/>
      <c r="B3" s="739"/>
      <c r="C3" s="739"/>
      <c r="D3" s="739"/>
      <c r="E3" s="739"/>
      <c r="F3" s="739"/>
      <c r="G3" s="739"/>
      <c r="H3" s="739"/>
      <c r="I3" s="739"/>
      <c r="J3" s="741" t="s">
        <v>1309</v>
      </c>
    </row>
    <row r="4" spans="1:10" ht="15.75" x14ac:dyDescent="0.25">
      <c r="A4" s="739"/>
      <c r="B4" s="918" t="s">
        <v>1193</v>
      </c>
      <c r="C4" s="919"/>
      <c r="D4" s="919"/>
      <c r="E4" s="919"/>
      <c r="F4" s="919"/>
      <c r="G4" s="919"/>
      <c r="H4" s="919"/>
      <c r="I4" s="919"/>
      <c r="J4" s="741"/>
    </row>
    <row r="5" spans="1:10" x14ac:dyDescent="0.25">
      <c r="A5" s="739"/>
      <c r="B5" s="742"/>
      <c r="C5" s="742"/>
      <c r="D5" s="741"/>
      <c r="E5" s="741"/>
      <c r="F5" s="743"/>
      <c r="G5" s="743"/>
      <c r="H5" s="743"/>
      <c r="I5" s="743"/>
      <c r="J5" s="741" t="s">
        <v>0</v>
      </c>
    </row>
    <row r="6" spans="1:10" ht="25.5" x14ac:dyDescent="0.25">
      <c r="A6" s="744"/>
      <c r="B6" s="745" t="s">
        <v>1194</v>
      </c>
      <c r="C6" s="745" t="s">
        <v>904</v>
      </c>
      <c r="D6" s="745" t="s">
        <v>1195</v>
      </c>
      <c r="E6" s="745" t="s">
        <v>1196</v>
      </c>
      <c r="F6" s="744"/>
      <c r="G6" s="745" t="s">
        <v>1197</v>
      </c>
      <c r="H6" s="745" t="s">
        <v>904</v>
      </c>
      <c r="I6" s="745" t="s">
        <v>1195</v>
      </c>
      <c r="J6" s="745" t="s">
        <v>1196</v>
      </c>
    </row>
    <row r="7" spans="1:10" x14ac:dyDescent="0.25">
      <c r="A7" s="746"/>
      <c r="B7" s="747" t="s">
        <v>1198</v>
      </c>
      <c r="C7" s="748">
        <f>SUM(C8+C14)</f>
        <v>1346724</v>
      </c>
      <c r="D7" s="748">
        <f t="shared" ref="D7:E7" si="0">SUM(D8+D14)</f>
        <v>1062363</v>
      </c>
      <c r="E7" s="748">
        <f t="shared" si="0"/>
        <v>1414863</v>
      </c>
      <c r="F7" s="746"/>
      <c r="G7" s="747" t="s">
        <v>1199</v>
      </c>
      <c r="H7" s="748">
        <f>SUM(H8+H14)</f>
        <v>2410229</v>
      </c>
      <c r="I7" s="748">
        <f>SUM(I8+I14)</f>
        <v>1247450</v>
      </c>
      <c r="J7" s="748">
        <f>SUM(J8+J14)</f>
        <v>1196910</v>
      </c>
    </row>
    <row r="8" spans="1:10" x14ac:dyDescent="0.25">
      <c r="A8" s="746"/>
      <c r="B8" s="749" t="s">
        <v>1200</v>
      </c>
      <c r="C8" s="750">
        <f>SUM(C9:C12)</f>
        <v>1004248</v>
      </c>
      <c r="D8" s="750">
        <f t="shared" ref="D8:E8" si="1">SUM(D9:D12)</f>
        <v>967067</v>
      </c>
      <c r="E8" s="750">
        <f t="shared" si="1"/>
        <v>963034</v>
      </c>
      <c r="F8" s="746"/>
      <c r="G8" s="749" t="s">
        <v>1201</v>
      </c>
      <c r="H8" s="750">
        <f>SUM(H9:H13)</f>
        <v>1168003</v>
      </c>
      <c r="I8" s="751">
        <f>SUM(I9:I13)</f>
        <v>856711</v>
      </c>
      <c r="J8" s="751">
        <f>SUM(J9:J13)</f>
        <v>863688</v>
      </c>
    </row>
    <row r="9" spans="1:10" x14ac:dyDescent="0.25">
      <c r="A9" s="746" t="s">
        <v>122</v>
      </c>
      <c r="B9" s="752" t="s">
        <v>1202</v>
      </c>
      <c r="C9" s="753">
        <f>SUM('[3]1.Bev-kiad.'!C9)</f>
        <v>559478</v>
      </c>
      <c r="D9" s="753">
        <v>507122</v>
      </c>
      <c r="E9" s="753">
        <v>536780</v>
      </c>
      <c r="F9" s="754" t="s">
        <v>218</v>
      </c>
      <c r="G9" s="752" t="s">
        <v>1203</v>
      </c>
      <c r="H9" s="753">
        <f>SUM('[3]2.működés'!C111)</f>
        <v>238288</v>
      </c>
      <c r="I9" s="753">
        <v>218807</v>
      </c>
      <c r="J9" s="753">
        <v>205470</v>
      </c>
    </row>
    <row r="10" spans="1:10" ht="25.5" x14ac:dyDescent="0.25">
      <c r="A10" s="746" t="s">
        <v>142</v>
      </c>
      <c r="B10" s="752" t="s">
        <v>1204</v>
      </c>
      <c r="C10" s="753">
        <f>SUM('[3]1.Bev-kiad.'!C22)</f>
        <v>373000</v>
      </c>
      <c r="D10" s="753">
        <v>348204</v>
      </c>
      <c r="E10" s="753">
        <v>330062</v>
      </c>
      <c r="F10" s="754" t="s">
        <v>219</v>
      </c>
      <c r="G10" s="755" t="s">
        <v>1205</v>
      </c>
      <c r="H10" s="756">
        <f>SUM('[3]2.működés'!C114)</f>
        <v>31821</v>
      </c>
      <c r="I10" s="756">
        <v>33368</v>
      </c>
      <c r="J10" s="756">
        <v>34590</v>
      </c>
    </row>
    <row r="11" spans="1:10" x14ac:dyDescent="0.25">
      <c r="A11" s="746" t="s">
        <v>153</v>
      </c>
      <c r="B11" s="752" t="s">
        <v>1206</v>
      </c>
      <c r="C11" s="753">
        <f>SUM('[3]1.Bev-kiad.'!C29)</f>
        <v>51770</v>
      </c>
      <c r="D11" s="753">
        <v>71384</v>
      </c>
      <c r="E11" s="753">
        <v>62293</v>
      </c>
      <c r="F11" s="754" t="s">
        <v>220</v>
      </c>
      <c r="G11" s="755" t="s">
        <v>1207</v>
      </c>
      <c r="H11" s="756">
        <f>SUM('[3]2.működés'!C117)</f>
        <v>367219</v>
      </c>
      <c r="I11" s="756">
        <v>206818</v>
      </c>
      <c r="J11" s="756">
        <v>242449</v>
      </c>
    </row>
    <row r="12" spans="1:10" x14ac:dyDescent="0.25">
      <c r="A12" s="746" t="s">
        <v>191</v>
      </c>
      <c r="B12" s="752" t="s">
        <v>1208</v>
      </c>
      <c r="C12" s="753">
        <f>SUM('[3]1.Bev-kiad.'!C46)</f>
        <v>20000</v>
      </c>
      <c r="D12" s="753">
        <v>40357</v>
      </c>
      <c r="E12" s="753">
        <v>33899</v>
      </c>
      <c r="F12" s="754" t="s">
        <v>221</v>
      </c>
      <c r="G12" s="755" t="s">
        <v>1209</v>
      </c>
      <c r="H12" s="756">
        <f>SUM('[3]2.működés'!C120)</f>
        <v>9300</v>
      </c>
      <c r="I12" s="756">
        <v>10004</v>
      </c>
      <c r="J12" s="756">
        <v>12401</v>
      </c>
    </row>
    <row r="13" spans="1:10" x14ac:dyDescent="0.25">
      <c r="A13" s="746"/>
      <c r="B13" s="752"/>
      <c r="C13" s="757"/>
      <c r="D13" s="757"/>
      <c r="E13" s="757"/>
      <c r="F13" s="754" t="s">
        <v>222</v>
      </c>
      <c r="G13" s="755" t="s">
        <v>1210</v>
      </c>
      <c r="H13" s="756">
        <f>SUM('[3]2.működés'!C121)</f>
        <v>521375</v>
      </c>
      <c r="I13" s="756">
        <v>387714</v>
      </c>
      <c r="J13" s="756">
        <v>368778</v>
      </c>
    </row>
    <row r="14" spans="1:10" x14ac:dyDescent="0.25">
      <c r="A14" s="746"/>
      <c r="B14" s="749" t="s">
        <v>1211</v>
      </c>
      <c r="C14" s="750">
        <f>SUM(C15:C17)</f>
        <v>342476</v>
      </c>
      <c r="D14" s="750">
        <f t="shared" ref="D14:E14" si="2">SUM(D15:D17)</f>
        <v>95296</v>
      </c>
      <c r="E14" s="750">
        <f t="shared" si="2"/>
        <v>451829</v>
      </c>
      <c r="F14" s="754"/>
      <c r="G14" s="749" t="s">
        <v>1212</v>
      </c>
      <c r="H14" s="750">
        <f>SUM(H15:H17)</f>
        <v>1242226</v>
      </c>
      <c r="I14" s="750">
        <f>SUM(I15:I17)</f>
        <v>390739</v>
      </c>
      <c r="J14" s="750">
        <f>SUM(J15:J17)</f>
        <v>333222</v>
      </c>
    </row>
    <row r="15" spans="1:10" x14ac:dyDescent="0.25">
      <c r="A15" s="746" t="s">
        <v>133</v>
      </c>
      <c r="B15" s="752" t="s">
        <v>1213</v>
      </c>
      <c r="C15" s="753">
        <f>SUM('[3]1.Bev-kiad.'!C16)</f>
        <v>305226</v>
      </c>
      <c r="D15" s="753">
        <v>38365</v>
      </c>
      <c r="E15" s="753">
        <v>422847</v>
      </c>
      <c r="F15" s="754" t="s">
        <v>256</v>
      </c>
      <c r="G15" s="752" t="s">
        <v>64</v>
      </c>
      <c r="H15" s="753">
        <f>SUM('[3]1.Bev-kiad.'!C71)</f>
        <v>456818</v>
      </c>
      <c r="I15" s="753">
        <v>133864</v>
      </c>
      <c r="J15" s="753">
        <v>11338</v>
      </c>
    </row>
    <row r="16" spans="1:10" x14ac:dyDescent="0.25">
      <c r="A16" s="746" t="s">
        <v>180</v>
      </c>
      <c r="B16" s="752" t="s">
        <v>1214</v>
      </c>
      <c r="C16" s="753">
        <f>SUM('[3]1.Bev-kiad.'!C40)</f>
        <v>26950</v>
      </c>
      <c r="D16" s="753">
        <v>46637</v>
      </c>
      <c r="E16" s="753">
        <v>18689</v>
      </c>
      <c r="F16" s="754" t="s">
        <v>370</v>
      </c>
      <c r="G16" s="752" t="s">
        <v>65</v>
      </c>
      <c r="H16" s="753">
        <f>SUM('[3]1.Bev-kiad.'!C72)</f>
        <v>641826</v>
      </c>
      <c r="I16" s="753">
        <v>251855</v>
      </c>
      <c r="J16" s="753">
        <v>321884</v>
      </c>
    </row>
    <row r="17" spans="1:10" x14ac:dyDescent="0.25">
      <c r="A17" s="746" t="s">
        <v>192</v>
      </c>
      <c r="B17" s="752" t="s">
        <v>1215</v>
      </c>
      <c r="C17" s="753">
        <f>SUM('[3]1.Bev-kiad.'!C50)</f>
        <v>10300</v>
      </c>
      <c r="D17" s="753">
        <v>10294</v>
      </c>
      <c r="E17" s="753">
        <v>10293</v>
      </c>
      <c r="F17" s="754" t="s">
        <v>369</v>
      </c>
      <c r="G17" s="752" t="s">
        <v>1216</v>
      </c>
      <c r="H17" s="753">
        <f>SUM('[3]1.Bev-kiad.'!C73)</f>
        <v>143582</v>
      </c>
      <c r="I17" s="753">
        <v>5020</v>
      </c>
      <c r="J17" s="753">
        <v>0</v>
      </c>
    </row>
    <row r="18" spans="1:10" x14ac:dyDescent="0.25">
      <c r="A18" s="746" t="s">
        <v>808</v>
      </c>
      <c r="B18" s="758" t="s">
        <v>1217</v>
      </c>
      <c r="C18" s="750">
        <f>SUM(C24+C19)</f>
        <v>1137576</v>
      </c>
      <c r="D18" s="750">
        <f t="shared" ref="D18:E18" si="3">SUM(D24+D19)</f>
        <v>1015815</v>
      </c>
      <c r="E18" s="750">
        <f t="shared" si="3"/>
        <v>816419</v>
      </c>
      <c r="F18" s="754" t="s">
        <v>208</v>
      </c>
      <c r="G18" s="758" t="s">
        <v>1218</v>
      </c>
      <c r="H18" s="750">
        <f>SUM(H19)</f>
        <v>74071</v>
      </c>
      <c r="I18" s="750">
        <f>SUM(I19)</f>
        <v>35152</v>
      </c>
      <c r="J18" s="750">
        <f>SUM(J19)</f>
        <v>34472</v>
      </c>
    </row>
    <row r="19" spans="1:10" x14ac:dyDescent="0.25">
      <c r="A19" s="746"/>
      <c r="B19" s="749" t="s">
        <v>1219</v>
      </c>
      <c r="C19" s="750">
        <f>SUM(C20)</f>
        <v>795576</v>
      </c>
      <c r="D19" s="750">
        <f>SUM(D20+D23)</f>
        <v>1015815</v>
      </c>
      <c r="E19" s="750">
        <f>SUM(E20)+E23</f>
        <v>816419</v>
      </c>
      <c r="F19" s="754"/>
      <c r="G19" s="749" t="s">
        <v>1220</v>
      </c>
      <c r="H19" s="750">
        <f>SUM(H20:H21)</f>
        <v>74071</v>
      </c>
      <c r="I19" s="750">
        <f>SUM(I20:I21)</f>
        <v>35152</v>
      </c>
      <c r="J19" s="750">
        <f>SUM(J20:J21)</f>
        <v>34472</v>
      </c>
    </row>
    <row r="20" spans="1:10" x14ac:dyDescent="0.25">
      <c r="A20" s="746"/>
      <c r="B20" s="752" t="s">
        <v>1221</v>
      </c>
      <c r="C20" s="753">
        <f>SUM(C21:C22)</f>
        <v>795576</v>
      </c>
      <c r="D20" s="753">
        <f t="shared" ref="D20" si="4">SUM(D21:D22)</f>
        <v>999900</v>
      </c>
      <c r="E20" s="753">
        <f>SUM(E21:E22)</f>
        <v>801423</v>
      </c>
      <c r="F20" s="754" t="s">
        <v>401</v>
      </c>
      <c r="G20" s="759" t="s">
        <v>405</v>
      </c>
      <c r="H20" s="760">
        <f>SUM('[3]1.Bev-kiad.'!C79)</f>
        <v>15915</v>
      </c>
      <c r="I20" s="760">
        <v>14996</v>
      </c>
      <c r="J20" s="760">
        <v>14316</v>
      </c>
    </row>
    <row r="21" spans="1:10" x14ac:dyDescent="0.25">
      <c r="A21" s="746"/>
      <c r="B21" s="761" t="s">
        <v>440</v>
      </c>
      <c r="C21" s="753">
        <f>SUM('[3]1.Bev-kiad.'!C57)</f>
        <v>220868</v>
      </c>
      <c r="D21" s="920">
        <v>999900</v>
      </c>
      <c r="E21" s="753">
        <v>127533</v>
      </c>
      <c r="F21" s="754"/>
      <c r="G21" s="762" t="s">
        <v>1222</v>
      </c>
      <c r="H21" s="753">
        <f>SUM('[3]1.Bev-kiad.'!C81)</f>
        <v>58156</v>
      </c>
      <c r="I21" s="753">
        <v>20156</v>
      </c>
      <c r="J21" s="753">
        <v>20156</v>
      </c>
    </row>
    <row r="22" spans="1:10" x14ac:dyDescent="0.25">
      <c r="A22" s="746"/>
      <c r="B22" s="761" t="s">
        <v>1223</v>
      </c>
      <c r="C22" s="753">
        <f>SUM('[3]1.Bev-kiad.'!C58)</f>
        <v>574708</v>
      </c>
      <c r="D22" s="921"/>
      <c r="E22" s="753">
        <v>673890</v>
      </c>
      <c r="F22" s="754"/>
      <c r="G22" s="749" t="s">
        <v>1224</v>
      </c>
      <c r="H22" s="751">
        <v>0</v>
      </c>
      <c r="I22" s="750"/>
      <c r="J22" s="750"/>
    </row>
    <row r="23" spans="1:10" x14ac:dyDescent="0.25">
      <c r="A23" s="746"/>
      <c r="B23" s="757" t="s">
        <v>1225</v>
      </c>
      <c r="C23" s="763" t="s">
        <v>66</v>
      </c>
      <c r="D23" s="764">
        <v>15915</v>
      </c>
      <c r="E23" s="753">
        <v>14996</v>
      </c>
      <c r="F23" s="754"/>
      <c r="G23" s="749"/>
      <c r="H23" s="751"/>
      <c r="I23" s="750"/>
      <c r="J23" s="750"/>
    </row>
    <row r="24" spans="1:10" x14ac:dyDescent="0.25">
      <c r="A24" s="746"/>
      <c r="B24" s="749" t="s">
        <v>1226</v>
      </c>
      <c r="C24" s="750">
        <f>SUM('[3]1.Bev-kiad.'!C60)</f>
        <v>342000</v>
      </c>
      <c r="D24" s="750">
        <v>0</v>
      </c>
      <c r="E24" s="750">
        <v>0</v>
      </c>
      <c r="F24" s="754"/>
      <c r="G24" s="749"/>
      <c r="H24" s="751"/>
      <c r="I24" s="750"/>
      <c r="J24" s="750"/>
    </row>
    <row r="25" spans="1:10" x14ac:dyDescent="0.25">
      <c r="A25" s="746"/>
      <c r="B25" s="747" t="s">
        <v>389</v>
      </c>
      <c r="C25" s="748">
        <f>SUM(C7+C18)</f>
        <v>2484300</v>
      </c>
      <c r="D25" s="748">
        <f t="shared" ref="D25:E25" si="5">SUM(D7+D18)</f>
        <v>2078178</v>
      </c>
      <c r="E25" s="748">
        <f t="shared" si="5"/>
        <v>2231282</v>
      </c>
      <c r="F25" s="765"/>
      <c r="G25" s="747" t="s">
        <v>55</v>
      </c>
      <c r="H25" s="748">
        <f>SUM(H7+H18)</f>
        <v>2484300</v>
      </c>
      <c r="I25" s="748">
        <f>SUM(I7+I18)</f>
        <v>1282602</v>
      </c>
      <c r="J25" s="748">
        <f>SUM(J7+J18)</f>
        <v>1231382</v>
      </c>
    </row>
  </sheetData>
  <mergeCells count="2">
    <mergeCell ref="B4:I4"/>
    <mergeCell ref="D21:D22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40"/>
  <sheetViews>
    <sheetView zoomScale="80" zoomScaleNormal="80" zoomScaleSheetLayoutView="84" workbookViewId="0">
      <selection activeCell="N12" sqref="N12"/>
    </sheetView>
  </sheetViews>
  <sheetFormatPr defaultRowHeight="12.75" x14ac:dyDescent="0.2"/>
  <cols>
    <col min="1" max="1" width="14.42578125" style="641" customWidth="1"/>
    <col min="2" max="2" width="12.140625" style="641" customWidth="1"/>
    <col min="3" max="3" width="9.42578125" style="641" customWidth="1"/>
    <col min="4" max="4" width="9.28515625" style="641" customWidth="1"/>
    <col min="5" max="5" width="8.5703125" style="641" customWidth="1"/>
    <col min="6" max="6" width="8.140625" style="641" customWidth="1"/>
    <col min="7" max="7" width="9.5703125" style="641" customWidth="1"/>
    <col min="8" max="8" width="14.140625" style="641" customWidth="1"/>
    <col min="9" max="9" width="8" style="641" customWidth="1"/>
    <col min="10" max="10" width="9.140625" style="641" hidden="1" customWidth="1"/>
    <col min="11" max="11" width="9.140625" style="641" customWidth="1"/>
    <col min="12" max="12" width="12.5703125" style="641" customWidth="1"/>
    <col min="13" max="13" width="9.28515625" style="641" bestFit="1" customWidth="1"/>
    <col min="14" max="14" width="10" style="641" customWidth="1"/>
    <col min="15" max="15" width="12.28515625" style="687" customWidth="1"/>
    <col min="16" max="16" width="11" style="641" customWidth="1"/>
    <col min="17" max="17" width="11.85546875" style="641" customWidth="1"/>
    <col min="18" max="18" width="8" style="640" customWidth="1"/>
    <col min="19" max="19" width="8.42578125" style="641" customWidth="1"/>
    <col min="20" max="20" width="10.140625" style="641" customWidth="1"/>
    <col min="21" max="16384" width="9.140625" style="641"/>
  </cols>
  <sheetData>
    <row r="1" spans="1:22" x14ac:dyDescent="0.2">
      <c r="A1" s="638"/>
      <c r="B1" s="638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9"/>
      <c r="P1" s="638"/>
      <c r="Q1" s="638"/>
    </row>
    <row r="2" spans="1:22" x14ac:dyDescent="0.2">
      <c r="A2" s="639" t="s">
        <v>1046</v>
      </c>
      <c r="B2" s="638"/>
      <c r="C2" s="638"/>
      <c r="D2" s="638"/>
      <c r="E2" s="638"/>
      <c r="G2" s="638"/>
      <c r="H2" s="638"/>
      <c r="I2" s="638"/>
      <c r="J2" s="638"/>
      <c r="K2" s="638"/>
      <c r="L2" s="638"/>
      <c r="M2" s="638"/>
      <c r="N2" s="638"/>
      <c r="O2" s="639"/>
      <c r="P2" s="638"/>
      <c r="Q2" s="638"/>
    </row>
    <row r="3" spans="1:22" ht="13.5" thickBot="1" x14ac:dyDescent="0.25">
      <c r="A3" s="639"/>
      <c r="B3" s="638"/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  <c r="O3" s="639"/>
      <c r="Q3" s="642" t="s">
        <v>435</v>
      </c>
    </row>
    <row r="4" spans="1:22" ht="13.5" thickBot="1" x14ac:dyDescent="0.25">
      <c r="A4" s="929" t="s">
        <v>1047</v>
      </c>
      <c r="B4" s="941" t="s">
        <v>1048</v>
      </c>
      <c r="C4" s="928" t="s">
        <v>1049</v>
      </c>
      <c r="D4" s="928"/>
      <c r="E4" s="928"/>
      <c r="F4" s="928"/>
      <c r="G4" s="928"/>
      <c r="H4" s="929" t="s">
        <v>1047</v>
      </c>
      <c r="I4" s="931" t="s">
        <v>45</v>
      </c>
      <c r="J4" s="932"/>
      <c r="K4" s="932"/>
      <c r="L4" s="932"/>
      <c r="M4" s="932"/>
      <c r="N4" s="932"/>
      <c r="O4" s="933"/>
      <c r="P4" s="934" t="s">
        <v>436</v>
      </c>
      <c r="Q4" s="936" t="s">
        <v>1050</v>
      </c>
      <c r="S4" s="938" t="s">
        <v>1051</v>
      </c>
    </row>
    <row r="5" spans="1:22" s="647" customFormat="1" ht="48.75" thickBot="1" x14ac:dyDescent="0.25">
      <c r="A5" s="940"/>
      <c r="B5" s="942"/>
      <c r="C5" s="643" t="s">
        <v>1052</v>
      </c>
      <c r="D5" s="644" t="s">
        <v>1053</v>
      </c>
      <c r="E5" s="644" t="s">
        <v>1054</v>
      </c>
      <c r="F5" s="645" t="s">
        <v>1055</v>
      </c>
      <c r="G5" s="646" t="s">
        <v>1056</v>
      </c>
      <c r="H5" s="930"/>
      <c r="I5" s="643" t="s">
        <v>1057</v>
      </c>
      <c r="K5" s="644" t="s">
        <v>1058</v>
      </c>
      <c r="L5" s="644" t="s">
        <v>1059</v>
      </c>
      <c r="M5" s="644" t="s">
        <v>1060</v>
      </c>
      <c r="N5" s="645" t="s">
        <v>1061</v>
      </c>
      <c r="O5" s="646" t="s">
        <v>1062</v>
      </c>
      <c r="P5" s="935"/>
      <c r="Q5" s="937"/>
      <c r="R5" s="648" t="s">
        <v>1063</v>
      </c>
      <c r="S5" s="939"/>
    </row>
    <row r="6" spans="1:22" x14ac:dyDescent="0.2">
      <c r="A6" s="718" t="s">
        <v>1064</v>
      </c>
      <c r="B6" s="719">
        <f>'[4]TKT műk.'!B39</f>
        <v>2344</v>
      </c>
      <c r="C6" s="720">
        <f>'[4]Társulási hozzájár.'!F9</f>
        <v>1172</v>
      </c>
      <c r="D6" s="721">
        <f>'[4]TKT műk.'!E39</f>
        <v>125.08408796895213</v>
      </c>
      <c r="E6" s="722">
        <f>[4]Ügyelet!E26</f>
        <v>15200.315972449162</v>
      </c>
      <c r="F6" s="723">
        <f>[4]Labor!H27</f>
        <v>4932</v>
      </c>
      <c r="G6" s="724">
        <f t="shared" ref="G6:G18" si="0">SUM(C6:F6)</f>
        <v>21429.400060418113</v>
      </c>
      <c r="H6" s="725" t="s">
        <v>1064</v>
      </c>
      <c r="I6" s="726">
        <f>'[4]Püg.,TV, étkeztetés '!E20</f>
        <v>3510</v>
      </c>
      <c r="J6" s="716"/>
      <c r="K6" s="721">
        <f>[4]Jelzőrendszer!E18</f>
        <v>109.48</v>
      </c>
      <c r="L6" s="721">
        <f>SUM('[4]Családsegítés, gyerm.jólét'!V41)</f>
        <v>395.67390583333349</v>
      </c>
      <c r="M6" s="722">
        <f>[4]Óvoda!H22+[4]Óvoda!C34</f>
        <v>0</v>
      </c>
      <c r="N6" s="727">
        <f>'[4]Püg.,TV, étkeztetés '!D20</f>
        <v>730</v>
      </c>
      <c r="O6" s="724">
        <f>I6+K6+L6+M6+N6</f>
        <v>4745.1539058333337</v>
      </c>
      <c r="P6" s="724">
        <f>G6+O6-1</f>
        <v>26173.553966251446</v>
      </c>
      <c r="Q6" s="728">
        <v>28273</v>
      </c>
      <c r="R6" s="659">
        <f>P6-Q6</f>
        <v>-2099.4460337485543</v>
      </c>
      <c r="S6" s="660">
        <v>0</v>
      </c>
      <c r="V6" s="661"/>
    </row>
    <row r="7" spans="1:22" x14ac:dyDescent="0.2">
      <c r="A7" s="662" t="s">
        <v>1065</v>
      </c>
      <c r="B7" s="650">
        <f>'[4]TKT műk.'!B40</f>
        <v>549</v>
      </c>
      <c r="C7" s="651">
        <f>'[4]Társulási hozzájár.'!F10</f>
        <v>275</v>
      </c>
      <c r="D7" s="652">
        <f>'[4]TKT műk.'!E40</f>
        <v>29.296571798188875</v>
      </c>
      <c r="E7" s="653">
        <f>[4]Ügyelet!E27</f>
        <v>2909.5689608434536</v>
      </c>
      <c r="F7" s="654">
        <f>[4]Labor!H28</f>
        <v>1155</v>
      </c>
      <c r="G7" s="655">
        <f t="shared" si="0"/>
        <v>4368.8655326416429</v>
      </c>
      <c r="H7" s="663" t="s">
        <v>1065</v>
      </c>
      <c r="I7" s="656">
        <f>'[4]Püg.,TV, étkeztetés '!E21</f>
        <v>165</v>
      </c>
      <c r="K7" s="652">
        <f>[4]Jelzőrendszer!E19</f>
        <v>78.2</v>
      </c>
      <c r="L7" s="652">
        <f>SUM('[4]Családsegítés, gyerm.jólét'!V54)</f>
        <v>143.80529583333333</v>
      </c>
      <c r="M7" s="664">
        <v>0</v>
      </c>
      <c r="N7" s="657">
        <f>'[4]Püg.,TV, étkeztetés '!D21</f>
        <v>0</v>
      </c>
      <c r="O7" s="655">
        <f t="shared" ref="O7:O18" si="1">I7+K7+L7+M7+N7</f>
        <v>387.00529583333332</v>
      </c>
      <c r="P7" s="658">
        <f t="shared" ref="P7:P19" si="2">G7+O7</f>
        <v>4755.8708284749764</v>
      </c>
      <c r="Q7" s="665">
        <v>4022</v>
      </c>
      <c r="R7" s="659">
        <f t="shared" ref="R7:R20" si="3">P7-Q7</f>
        <v>733.87082847497641</v>
      </c>
      <c r="S7" s="666">
        <v>0</v>
      </c>
      <c r="V7" s="661"/>
    </row>
    <row r="8" spans="1:22" x14ac:dyDescent="0.2">
      <c r="A8" s="662" t="s">
        <v>1066</v>
      </c>
      <c r="B8" s="650">
        <f>'[4]TKT műk.'!B41</f>
        <v>2254</v>
      </c>
      <c r="C8" s="651">
        <f>'[4]Társulási hozzájár.'!F11</f>
        <v>1127</v>
      </c>
      <c r="D8" s="652">
        <f>'[4]TKT műk.'!E41</f>
        <v>120.28137128072446</v>
      </c>
      <c r="E8" s="653">
        <f>[4]Ügyelet!E28</f>
        <v>11904.41915200997</v>
      </c>
      <c r="F8" s="654">
        <f>[4]Labor!H29</f>
        <v>4742</v>
      </c>
      <c r="G8" s="655">
        <f>SUM(C8:F8)-1</f>
        <v>17892.700523290696</v>
      </c>
      <c r="H8" s="663" t="s">
        <v>1066</v>
      </c>
      <c r="I8" s="656">
        <f>'[4]Püg.,TV, étkeztetés '!E22</f>
        <v>0</v>
      </c>
      <c r="K8" s="652">
        <f>[4]Jelzőrendszer!E20</f>
        <v>547.4</v>
      </c>
      <c r="L8" s="652">
        <f>SUM('[4]Családsegítés, gyerm.jólét'!V49)</f>
        <v>1196.8236115434283</v>
      </c>
      <c r="M8" s="664">
        <v>0</v>
      </c>
      <c r="N8" s="657">
        <f>'[4]Püg.,TV, étkeztetés '!D22</f>
        <v>0</v>
      </c>
      <c r="O8" s="655">
        <f t="shared" si="1"/>
        <v>1744.2236115434284</v>
      </c>
      <c r="P8" s="658">
        <f t="shared" si="2"/>
        <v>19636.924134834124</v>
      </c>
      <c r="Q8" s="665">
        <v>15212</v>
      </c>
      <c r="R8" s="659">
        <f t="shared" si="3"/>
        <v>4424.9241348341238</v>
      </c>
      <c r="S8" s="666">
        <v>0</v>
      </c>
      <c r="V8" s="661"/>
    </row>
    <row r="9" spans="1:22" x14ac:dyDescent="0.2">
      <c r="A9" s="662" t="s">
        <v>1067</v>
      </c>
      <c r="B9" s="650">
        <f>'[4]TKT műk.'!B42</f>
        <v>1826</v>
      </c>
      <c r="C9" s="651">
        <f>'[4]Társulási hozzájár.'!F12</f>
        <v>913</v>
      </c>
      <c r="D9" s="652">
        <f>'[4]TKT műk.'!E42</f>
        <v>98.441785252263898</v>
      </c>
      <c r="E9" s="653">
        <f>[4]Ügyelet!E29</f>
        <v>9990.2631919183241</v>
      </c>
      <c r="F9" s="654">
        <f>[4]Labor!H30</f>
        <v>3842</v>
      </c>
      <c r="G9" s="655">
        <f>SUM(C9:F9)-1</f>
        <v>14842.704977170588</v>
      </c>
      <c r="H9" s="663" t="s">
        <v>1067</v>
      </c>
      <c r="I9" s="656">
        <f>'[4]Püg.,TV, étkeztetés '!E23</f>
        <v>0</v>
      </c>
      <c r="K9" s="652">
        <f>[4]Jelzőrendszer!E21</f>
        <v>93.84</v>
      </c>
      <c r="L9" s="652">
        <f>SUM('[4]Családsegítés, gyerm.jólét'!V53)</f>
        <v>462.37694666666653</v>
      </c>
      <c r="M9" s="664">
        <v>0</v>
      </c>
      <c r="N9" s="657">
        <f>'[4]Püg.,TV, étkeztetés '!D23</f>
        <v>0</v>
      </c>
      <c r="O9" s="655">
        <f t="shared" si="1"/>
        <v>556.21694666666656</v>
      </c>
      <c r="P9" s="658">
        <f>G9+O9</f>
        <v>15398.921923837255</v>
      </c>
      <c r="Q9" s="665">
        <v>11268</v>
      </c>
      <c r="R9" s="659">
        <f t="shared" si="3"/>
        <v>4130.9219238372552</v>
      </c>
      <c r="S9" s="666">
        <v>2690</v>
      </c>
      <c r="V9" s="661"/>
    </row>
    <row r="10" spans="1:22" x14ac:dyDescent="0.2">
      <c r="A10" s="662" t="s">
        <v>1068</v>
      </c>
      <c r="B10" s="650">
        <f>'[4]TKT műk.'!B43</f>
        <v>608</v>
      </c>
      <c r="C10" s="651">
        <f>'[4]Társulási hozzájár.'!F13</f>
        <v>304</v>
      </c>
      <c r="D10" s="652">
        <f>'[4]TKT műk.'!E43</f>
        <v>33.445019404915911</v>
      </c>
      <c r="E10" s="653">
        <f>[4]Ügyelet!E30</f>
        <v>804.69041095890418</v>
      </c>
      <c r="F10" s="654">
        <f>[4]Labor!H31</f>
        <v>853</v>
      </c>
      <c r="G10" s="655">
        <f t="shared" si="0"/>
        <v>1995.13543036382</v>
      </c>
      <c r="H10" s="663" t="s">
        <v>1068</v>
      </c>
      <c r="I10" s="656">
        <f>'[4]Püg.,TV, étkeztetés '!E24</f>
        <v>165</v>
      </c>
      <c r="K10" s="652">
        <f>[4]Jelzőrendszer!E22</f>
        <v>15.64</v>
      </c>
      <c r="L10" s="652">
        <f>SUM('[4]Családsegítés, gyerm.jólét'!V42)</f>
        <v>253.42884916666665</v>
      </c>
      <c r="M10" s="664">
        <f>[4]Óvoda!H18+[4]Óvoda!E34</f>
        <v>0</v>
      </c>
      <c r="N10" s="657">
        <f>'[4]Püg.,TV, étkeztetés '!D24</f>
        <v>1570</v>
      </c>
      <c r="O10" s="655">
        <f t="shared" si="1"/>
        <v>2004.0688491666665</v>
      </c>
      <c r="P10" s="658">
        <f t="shared" si="2"/>
        <v>3999.2042795304865</v>
      </c>
      <c r="Q10" s="665">
        <v>5718</v>
      </c>
      <c r="R10" s="659">
        <f t="shared" si="3"/>
        <v>-1718.7957204695135</v>
      </c>
      <c r="S10" s="666">
        <v>0</v>
      </c>
      <c r="V10" s="661"/>
    </row>
    <row r="11" spans="1:22" x14ac:dyDescent="0.2">
      <c r="A11" s="662" t="s">
        <v>1069</v>
      </c>
      <c r="B11" s="650">
        <f>'[4]TKT műk.'!B44</f>
        <v>543</v>
      </c>
      <c r="C11" s="651">
        <f>'[4]Társulási hozzájár.'!F14</f>
        <v>272</v>
      </c>
      <c r="D11" s="652">
        <f>'[4]TKT műk.'!E44</f>
        <v>28.976390685640364</v>
      </c>
      <c r="E11" s="653">
        <f>[4]Ügyelet!E31</f>
        <v>610.45479452054792</v>
      </c>
      <c r="F11" s="654">
        <f>[4]Labor!H32</f>
        <v>762</v>
      </c>
      <c r="G11" s="655">
        <f t="shared" si="0"/>
        <v>1673.4311852061883</v>
      </c>
      <c r="H11" s="663" t="s">
        <v>1069</v>
      </c>
      <c r="I11" s="656">
        <f>'[4]Püg.,TV, étkeztetés '!E25</f>
        <v>165</v>
      </c>
      <c r="K11" s="652">
        <f>[4]Jelzőrendszer!E23</f>
        <v>0</v>
      </c>
      <c r="L11" s="652">
        <f>SUM('[4]Családsegítés, gyerm.jólét'!V43)</f>
        <v>342.58200958333356</v>
      </c>
      <c r="M11" s="664">
        <f>[4]Óvoda!H19</f>
        <v>0</v>
      </c>
      <c r="N11" s="657">
        <f>'[4]Püg.,TV, étkeztetés '!D25</f>
        <v>0</v>
      </c>
      <c r="O11" s="655">
        <f t="shared" si="1"/>
        <v>507.58200958333356</v>
      </c>
      <c r="P11" s="658">
        <f>G11+O11</f>
        <v>2181.013194789522</v>
      </c>
      <c r="Q11" s="665">
        <v>2837</v>
      </c>
      <c r="R11" s="659">
        <f t="shared" si="3"/>
        <v>-655.986805210478</v>
      </c>
      <c r="S11" s="666">
        <v>0</v>
      </c>
      <c r="V11" s="661"/>
    </row>
    <row r="12" spans="1:22" x14ac:dyDescent="0.2">
      <c r="A12" s="662" t="s">
        <v>1070</v>
      </c>
      <c r="B12" s="650">
        <f>'[4]TKT műk.'!B45</f>
        <v>1420</v>
      </c>
      <c r="C12" s="651">
        <f>'[4]Társulási hozzájár.'!F15</f>
        <v>710</v>
      </c>
      <c r="D12" s="652">
        <f>'[4]TKT műk.'!E45</f>
        <v>75.776196636481245</v>
      </c>
      <c r="E12" s="653">
        <f>[4]Ügyelet!E32</f>
        <v>2830.2904109589044</v>
      </c>
      <c r="F12" s="654">
        <f>[4]Labor!H33</f>
        <v>1992</v>
      </c>
      <c r="G12" s="655">
        <f t="shared" si="0"/>
        <v>5608.0666075953859</v>
      </c>
      <c r="H12" s="663" t="s">
        <v>1070</v>
      </c>
      <c r="I12" s="656">
        <f>'[4]Püg.,TV, étkeztetés '!E26</f>
        <v>0</v>
      </c>
      <c r="K12" s="652">
        <f>[4]Jelzőrendszer!E24</f>
        <v>46.92</v>
      </c>
      <c r="L12" s="652">
        <f>SUM('[4]Családsegítés, gyerm.jólét'!V56)</f>
        <v>0</v>
      </c>
      <c r="M12" s="664">
        <v>0</v>
      </c>
      <c r="N12" s="657">
        <f>'[4]Püg.,TV, étkeztetés '!D26</f>
        <v>600</v>
      </c>
      <c r="O12" s="655">
        <f t="shared" si="1"/>
        <v>646.91999999999996</v>
      </c>
      <c r="P12" s="658">
        <f t="shared" si="2"/>
        <v>6254.986607595386</v>
      </c>
      <c r="Q12" s="665">
        <v>4986</v>
      </c>
      <c r="R12" s="659">
        <f t="shared" si="3"/>
        <v>1268.986607595386</v>
      </c>
      <c r="S12" s="666">
        <v>0</v>
      </c>
      <c r="V12" s="661"/>
    </row>
    <row r="13" spans="1:22" x14ac:dyDescent="0.2">
      <c r="A13" s="662" t="s">
        <v>1071</v>
      </c>
      <c r="B13" s="650">
        <f>'[4]TKT műk.'!B46</f>
        <v>544</v>
      </c>
      <c r="C13" s="651">
        <f>'[4]Társulási hozzájár.'!F16</f>
        <v>272</v>
      </c>
      <c r="D13" s="652">
        <f>'[4]TKT műk.'!E46</f>
        <v>29.029754204398451</v>
      </c>
      <c r="E13" s="653">
        <f>[4]Ügyelet!E33</f>
        <v>471.71506849315074</v>
      </c>
      <c r="F13" s="654">
        <f>[4]Labor!H34</f>
        <v>763</v>
      </c>
      <c r="G13" s="655">
        <f t="shared" si="0"/>
        <v>1535.7448226975491</v>
      </c>
      <c r="H13" s="663" t="s">
        <v>1071</v>
      </c>
      <c r="I13" s="656">
        <f>'[4]Püg.,TV, étkeztetés '!E27</f>
        <v>165</v>
      </c>
      <c r="K13" s="652">
        <f>[4]Jelzőrendszer!E25</f>
        <v>15.64</v>
      </c>
      <c r="L13" s="652">
        <f>SUM('[4]Családsegítés, gyerm.jólét'!V50)</f>
        <v>362.30524122065719</v>
      </c>
      <c r="M13" s="664">
        <v>0</v>
      </c>
      <c r="N13" s="657">
        <f>'[4]Püg.,TV, étkeztetés '!D27</f>
        <v>0</v>
      </c>
      <c r="O13" s="655">
        <f t="shared" si="1"/>
        <v>542.94524122065718</v>
      </c>
      <c r="P13" s="658">
        <f t="shared" si="2"/>
        <v>2078.6900639182063</v>
      </c>
      <c r="Q13" s="665">
        <v>2339</v>
      </c>
      <c r="R13" s="659">
        <f t="shared" si="3"/>
        <v>-260.30993608179369</v>
      </c>
      <c r="S13" s="666">
        <v>0</v>
      </c>
      <c r="T13" s="667"/>
      <c r="V13" s="661"/>
    </row>
    <row r="14" spans="1:22" x14ac:dyDescent="0.2">
      <c r="A14" s="662" t="s">
        <v>1072</v>
      </c>
      <c r="B14" s="650">
        <f>'[4]TKT műk.'!B47</f>
        <v>378</v>
      </c>
      <c r="C14" s="651">
        <f>'[4]Társulási hozzájár.'!F17</f>
        <v>189</v>
      </c>
      <c r="D14" s="652">
        <f>'[4]TKT műk.'!E47</f>
        <v>20.171410090556275</v>
      </c>
      <c r="E14" s="653">
        <f>[4]Ügyelet!E34</f>
        <v>499.46301369863016</v>
      </c>
      <c r="F14" s="654">
        <f>[4]Labor!H35</f>
        <v>530</v>
      </c>
      <c r="G14" s="655">
        <f>SUM(C14:F14)-1</f>
        <v>1237.6344237891865</v>
      </c>
      <c r="H14" s="663" t="s">
        <v>1072</v>
      </c>
      <c r="I14" s="656">
        <f>'[4]Püg.,TV, étkeztetés '!E28</f>
        <v>165</v>
      </c>
      <c r="K14" s="652">
        <f>[4]Jelzőrendszer!E26</f>
        <v>46.92</v>
      </c>
      <c r="L14" s="652">
        <f>SUM('[4]Családsegítés, gyerm.jólét'!V51)</f>
        <v>720.61048244131439</v>
      </c>
      <c r="M14" s="664">
        <v>0</v>
      </c>
      <c r="N14" s="657">
        <f>'[4]Püg.,TV, étkeztetés '!D28</f>
        <v>0</v>
      </c>
      <c r="O14" s="655">
        <f t="shared" si="1"/>
        <v>932.53048244131446</v>
      </c>
      <c r="P14" s="658">
        <f>G14+O14+1</f>
        <v>2171.1649062305009</v>
      </c>
      <c r="Q14" s="665">
        <v>1886</v>
      </c>
      <c r="R14" s="659">
        <f t="shared" si="3"/>
        <v>285.16490623050095</v>
      </c>
      <c r="S14" s="666">
        <v>0</v>
      </c>
      <c r="T14" s="668"/>
      <c r="V14" s="661"/>
    </row>
    <row r="15" spans="1:22" x14ac:dyDescent="0.2">
      <c r="A15" s="662" t="s">
        <v>1073</v>
      </c>
      <c r="B15" s="650">
        <f>'[4]TKT műk.'!B48</f>
        <v>389</v>
      </c>
      <c r="C15" s="651">
        <f>'[4]Társulási hozzájár.'!F18</f>
        <v>194</v>
      </c>
      <c r="D15" s="652">
        <f>'[4]TKT műk.'!E48</f>
        <v>20.758408796895214</v>
      </c>
      <c r="E15" s="653">
        <f>[4]Ügyelet!E35</f>
        <v>527.21095890410959</v>
      </c>
      <c r="F15" s="654">
        <f>[4]Labor!H36</f>
        <v>546</v>
      </c>
      <c r="G15" s="655">
        <f t="shared" si="0"/>
        <v>1287.9693677010048</v>
      </c>
      <c r="H15" s="663" t="s">
        <v>1073</v>
      </c>
      <c r="I15" s="656">
        <f>'[4]Püg.,TV, étkeztetés '!E29</f>
        <v>0</v>
      </c>
      <c r="K15" s="652">
        <f>[4]Jelzőrendszer!E27</f>
        <v>15.64</v>
      </c>
      <c r="L15" s="652">
        <f>SUM('[4]Családsegítés, gyerm.jólét'!V44)</f>
        <v>189.24688458333341</v>
      </c>
      <c r="M15" s="664">
        <f>[4]Óvoda!H20</f>
        <v>0</v>
      </c>
      <c r="N15" s="657">
        <f>'[4]Püg.,TV, étkeztetés '!D29</f>
        <v>0</v>
      </c>
      <c r="O15" s="655">
        <f t="shared" si="1"/>
        <v>204.88688458333343</v>
      </c>
      <c r="P15" s="658">
        <f>G15+O15</f>
        <v>1492.8562522843381</v>
      </c>
      <c r="Q15" s="665">
        <v>1868</v>
      </c>
      <c r="R15" s="659">
        <f t="shared" si="3"/>
        <v>-375.1437477156619</v>
      </c>
      <c r="S15" s="666">
        <v>0</v>
      </c>
      <c r="T15" s="668"/>
      <c r="V15" s="661"/>
    </row>
    <row r="16" spans="1:22" x14ac:dyDescent="0.2">
      <c r="A16" s="662" t="s">
        <v>1074</v>
      </c>
      <c r="B16" s="650">
        <f>'[4]TKT műk.'!B49</f>
        <v>698</v>
      </c>
      <c r="C16" s="651">
        <f>'[4]Társulási hozzájár.'!F19</f>
        <v>349</v>
      </c>
      <c r="D16" s="652">
        <f>'[4]TKT műk.'!E49</f>
        <v>37.247736093143601</v>
      </c>
      <c r="E16" s="653">
        <f>[4]Ügyelet!E36</f>
        <v>3284.2272433270286</v>
      </c>
      <c r="F16" s="654">
        <f>[4]Labor!H37</f>
        <v>1468</v>
      </c>
      <c r="G16" s="655">
        <f t="shared" si="0"/>
        <v>5138.4749794201725</v>
      </c>
      <c r="H16" s="663" t="s">
        <v>1074</v>
      </c>
      <c r="I16" s="656">
        <f>'[4]Püg.,TV, étkeztetés '!E30</f>
        <v>165</v>
      </c>
      <c r="K16" s="652">
        <f>[4]Jelzőrendszer!E28</f>
        <v>186.68</v>
      </c>
      <c r="L16" s="652">
        <f>SUM('[4]Családsegítés, gyerm.jólét'!V45)</f>
        <v>199.33695291666675</v>
      </c>
      <c r="M16" s="664">
        <f>[4]Óvoda!H21</f>
        <v>0</v>
      </c>
      <c r="N16" s="657">
        <f>'[4]Püg.,TV, étkeztetés '!D30</f>
        <v>0</v>
      </c>
      <c r="O16" s="655">
        <f t="shared" si="1"/>
        <v>551.0169529166667</v>
      </c>
      <c r="P16" s="658">
        <f t="shared" si="2"/>
        <v>5689.4919323368395</v>
      </c>
      <c r="Q16" s="665">
        <v>5278</v>
      </c>
      <c r="R16" s="659">
        <f t="shared" si="3"/>
        <v>411.49193233683945</v>
      </c>
      <c r="S16" s="666">
        <v>0</v>
      </c>
      <c r="T16" s="668"/>
      <c r="V16" s="661"/>
    </row>
    <row r="17" spans="1:22" x14ac:dyDescent="0.2">
      <c r="A17" s="662" t="s">
        <v>1075</v>
      </c>
      <c r="B17" s="650">
        <f>'[4]TKT műk.'!B50</f>
        <v>589</v>
      </c>
      <c r="C17" s="651">
        <f>'[4]Társulási hozzájár.'!F20</f>
        <v>294</v>
      </c>
      <c r="D17" s="669">
        <f>'[4]TKT műk.'!E50</f>
        <v>31.431112548512292</v>
      </c>
      <c r="E17" s="664">
        <f>[4]Ügyelet!E37</f>
        <v>860.18630136986303</v>
      </c>
      <c r="F17" s="654">
        <f>[4]Labor!H38</f>
        <v>826</v>
      </c>
      <c r="G17" s="670">
        <f>SUM(C17:F17)-1</f>
        <v>2010.6174139183754</v>
      </c>
      <c r="H17" s="663" t="s">
        <v>1075</v>
      </c>
      <c r="I17" s="671">
        <f>'[4]Püg.,TV, étkeztetés '!E31</f>
        <v>0</v>
      </c>
      <c r="K17" s="652">
        <f>[4]Jelzőrendszer!E29</f>
        <v>15.64</v>
      </c>
      <c r="L17" s="669">
        <f>SUM('[4]Családsegítés, gyerm.jólét'!V46)</f>
        <v>363.01323958333353</v>
      </c>
      <c r="M17" s="664">
        <v>0</v>
      </c>
      <c r="N17" s="657">
        <f>'[4]Püg.,TV, étkeztetés '!D31</f>
        <v>0</v>
      </c>
      <c r="O17" s="655">
        <f t="shared" si="1"/>
        <v>378.65323958333352</v>
      </c>
      <c r="P17" s="672">
        <f>G17+O17+1</f>
        <v>2390.2706535017087</v>
      </c>
      <c r="Q17" s="665">
        <v>2246</v>
      </c>
      <c r="R17" s="659">
        <f t="shared" si="3"/>
        <v>144.27065350170869</v>
      </c>
      <c r="S17" s="666">
        <v>0</v>
      </c>
      <c r="T17" s="668"/>
      <c r="V17" s="661"/>
    </row>
    <row r="18" spans="1:22" x14ac:dyDescent="0.2">
      <c r="A18" s="662" t="s">
        <v>1076</v>
      </c>
      <c r="B18" s="650">
        <f>'[4]TKT műk.'!B51</f>
        <v>226</v>
      </c>
      <c r="C18" s="651">
        <f>'[4]Társulási hozzájár.'!F21</f>
        <v>113</v>
      </c>
      <c r="D18" s="669">
        <f>'[4]TKT műk.'!E51</f>
        <v>12.060155239327297</v>
      </c>
      <c r="E18" s="664">
        <f>[4]Ügyelet!E38</f>
        <v>749.19452054794522</v>
      </c>
      <c r="F18" s="654">
        <f>[4]Labor!H39</f>
        <v>317</v>
      </c>
      <c r="G18" s="670">
        <f t="shared" si="0"/>
        <v>1191.2546757872724</v>
      </c>
      <c r="H18" s="663" t="s">
        <v>1076</v>
      </c>
      <c r="I18" s="671">
        <f>'[4]Püg.,TV, étkeztetés '!E32</f>
        <v>0</v>
      </c>
      <c r="K18" s="652">
        <f>[4]Jelzőrendszer!E30</f>
        <v>0</v>
      </c>
      <c r="L18" s="669">
        <f>SUM('[4]Családsegítés, gyerm.jólét'!V47)</f>
        <v>925.84468062793417</v>
      </c>
      <c r="M18" s="664">
        <v>0</v>
      </c>
      <c r="N18" s="657">
        <f>'[4]Püg.,TV, étkeztetés '!D32</f>
        <v>0</v>
      </c>
      <c r="O18" s="655">
        <f t="shared" si="1"/>
        <v>925.84468062793417</v>
      </c>
      <c r="P18" s="672">
        <f>G18+O18</f>
        <v>2117.0993564152068</v>
      </c>
      <c r="Q18" s="665">
        <v>1662</v>
      </c>
      <c r="R18" s="659">
        <f t="shared" si="3"/>
        <v>455.09935641520678</v>
      </c>
      <c r="S18" s="666">
        <v>0</v>
      </c>
      <c r="T18" s="667"/>
      <c r="V18" s="661"/>
    </row>
    <row r="19" spans="1:22" hidden="1" x14ac:dyDescent="0.2">
      <c r="A19" s="673" t="s">
        <v>1077</v>
      </c>
      <c r="B19" s="674"/>
      <c r="C19" s="651"/>
      <c r="D19" s="669"/>
      <c r="E19" s="664"/>
      <c r="F19" s="675"/>
      <c r="G19" s="670"/>
      <c r="H19" s="676" t="s">
        <v>1077</v>
      </c>
      <c r="I19" s="671"/>
      <c r="K19" s="652">
        <f>[4]Jelzőrendszer!E31</f>
        <v>1173</v>
      </c>
      <c r="L19" s="669">
        <f>SUM('[4]Családsegítés, gyerm.jólét'!V57)</f>
        <v>0</v>
      </c>
      <c r="M19" s="664"/>
      <c r="N19" s="657">
        <f>'[4]Püg.,TV, étkeztetés '!D33+'[4]Püg.,TV, étkeztetés '!J33</f>
        <v>2900</v>
      </c>
      <c r="O19" s="670" t="e">
        <f>I19+#REF!+L19+M19+N19</f>
        <v>#REF!</v>
      </c>
      <c r="P19" s="672" t="e">
        <f t="shared" si="2"/>
        <v>#REF!</v>
      </c>
      <c r="Q19" s="665" t="e">
        <v>#REF!</v>
      </c>
      <c r="R19" s="659" t="e">
        <f t="shared" si="3"/>
        <v>#REF!</v>
      </c>
      <c r="S19" s="666"/>
    </row>
    <row r="20" spans="1:22" ht="13.5" thickBot="1" x14ac:dyDescent="0.25">
      <c r="A20" s="677" t="s">
        <v>47</v>
      </c>
      <c r="B20" s="678">
        <f>SUM(B6:B19)</f>
        <v>12368</v>
      </c>
      <c r="C20" s="679">
        <f>SUM(C6:C18)</f>
        <v>6184</v>
      </c>
      <c r="D20" s="679">
        <f>SUM(D6:D18)-2</f>
        <v>659.99999999999989</v>
      </c>
      <c r="E20" s="680">
        <f>SUM(E6:E18)-2</f>
        <v>50639.999999999978</v>
      </c>
      <c r="F20" s="681">
        <f>SUM(F6:F18)</f>
        <v>22728</v>
      </c>
      <c r="G20" s="678">
        <f>SUM(G6:G18)</f>
        <v>80212.000000000015</v>
      </c>
      <c r="H20" s="682" t="s">
        <v>47</v>
      </c>
      <c r="I20" s="679">
        <f>SUM(I6:I18)</f>
        <v>4500</v>
      </c>
      <c r="J20" s="679">
        <f>SUM(J6:J18)</f>
        <v>0</v>
      </c>
      <c r="K20" s="679">
        <f>SUM(K6:K18)+1</f>
        <v>1173</v>
      </c>
      <c r="L20" s="680">
        <f>SUM(L6:L19)</f>
        <v>5555.0481000000018</v>
      </c>
      <c r="M20" s="680">
        <f>SUM(M6:M18)</f>
        <v>0</v>
      </c>
      <c r="N20" s="683">
        <f>SUM(N6:N18)</f>
        <v>2900</v>
      </c>
      <c r="O20" s="678">
        <f>SUM(I20:N20)</f>
        <v>14128.048100000002</v>
      </c>
      <c r="P20" s="678">
        <f>SUM(P6:P18)</f>
        <v>94340.048100000015</v>
      </c>
      <c r="Q20" s="684">
        <f>SUM(Q6:Q18)</f>
        <v>87595</v>
      </c>
      <c r="R20" s="659">
        <f t="shared" si="3"/>
        <v>6745.0481000000145</v>
      </c>
      <c r="S20" s="685">
        <f>SUM(S6:S18)</f>
        <v>2690</v>
      </c>
      <c r="V20" s="686"/>
    </row>
    <row r="21" spans="1:22" x14ac:dyDescent="0.2">
      <c r="A21" s="687"/>
      <c r="B21" s="687"/>
      <c r="C21" s="687"/>
      <c r="D21" s="688">
        <f>SUM(C20+D20)</f>
        <v>6844</v>
      </c>
      <c r="E21" s="689"/>
      <c r="F21" s="689"/>
      <c r="G21" s="689"/>
      <c r="H21" s="687"/>
      <c r="I21" s="687"/>
      <c r="J21" s="687"/>
      <c r="K21" s="687"/>
      <c r="L21" s="687"/>
      <c r="M21" s="689"/>
      <c r="N21" s="689"/>
      <c r="O21" s="689"/>
      <c r="P21" s="689"/>
      <c r="Q21" s="690"/>
      <c r="R21" s="659"/>
    </row>
    <row r="22" spans="1:22" ht="13.5" thickBot="1" x14ac:dyDescent="0.25">
      <c r="J22" s="687"/>
      <c r="K22" s="687"/>
    </row>
    <row r="23" spans="1:22" ht="20.25" customHeight="1" thickBot="1" x14ac:dyDescent="0.25">
      <c r="A23" s="929" t="s">
        <v>1047</v>
      </c>
      <c r="B23" s="943" t="s">
        <v>1078</v>
      </c>
      <c r="C23" s="945" t="s">
        <v>1079</v>
      </c>
      <c r="E23" s="691"/>
      <c r="H23" s="922" t="s">
        <v>1047</v>
      </c>
      <c r="I23" s="924" t="s">
        <v>1080</v>
      </c>
      <c r="J23" s="925"/>
      <c r="K23" s="925"/>
      <c r="L23" s="925"/>
      <c r="M23" s="925"/>
      <c r="N23" s="925"/>
      <c r="O23" s="925"/>
      <c r="P23" s="926"/>
    </row>
    <row r="24" spans="1:22" ht="57" customHeight="1" thickBot="1" x14ac:dyDescent="0.25">
      <c r="A24" s="940"/>
      <c r="B24" s="944"/>
      <c r="C24" s="946"/>
      <c r="H24" s="923"/>
      <c r="I24" s="692" t="s">
        <v>1081</v>
      </c>
      <c r="J24" s="693" t="s">
        <v>1053</v>
      </c>
      <c r="K24" s="693" t="s">
        <v>1082</v>
      </c>
      <c r="L24" s="694" t="s">
        <v>1083</v>
      </c>
      <c r="M24" s="692" t="s">
        <v>1084</v>
      </c>
      <c r="N24" s="693" t="s">
        <v>1085</v>
      </c>
      <c r="O24" s="694" t="s">
        <v>1086</v>
      </c>
      <c r="P24" s="694" t="s">
        <v>1087</v>
      </c>
      <c r="R24" s="927" t="s">
        <v>1088</v>
      </c>
      <c r="S24" s="927"/>
    </row>
    <row r="25" spans="1:22" x14ac:dyDescent="0.2">
      <c r="A25" s="649" t="s">
        <v>1064</v>
      </c>
      <c r="B25" s="695">
        <f>'[4]Házi segítségnyújtás'!E37</f>
        <v>0</v>
      </c>
      <c r="C25" s="696">
        <v>3592.0256410256402</v>
      </c>
      <c r="H25" s="697" t="s">
        <v>1064</v>
      </c>
      <c r="I25" s="698">
        <v>6348</v>
      </c>
      <c r="J25" s="652">
        <f>'[5]TKT műk.'!K58</f>
        <v>0</v>
      </c>
      <c r="K25" s="653">
        <v>8959</v>
      </c>
      <c r="L25" s="699">
        <f>SUM(E6-K25)</f>
        <v>6241.3159724491616</v>
      </c>
      <c r="M25" s="698">
        <v>4459</v>
      </c>
      <c r="N25" s="653">
        <v>4617</v>
      </c>
      <c r="O25" s="700">
        <f>SUM(F6-N25)</f>
        <v>315</v>
      </c>
      <c r="P25" s="701">
        <f>SUM(L25+O25)</f>
        <v>6556.3159724491616</v>
      </c>
      <c r="R25" s="640">
        <f>SUM(R6-P25)</f>
        <v>-8655.7620061977159</v>
      </c>
    </row>
    <row r="26" spans="1:22" x14ac:dyDescent="0.2">
      <c r="A26" s="662" t="s">
        <v>1065</v>
      </c>
      <c r="B26" s="695">
        <f>'[4]Házi segítségnyújtás'!E38</f>
        <v>0</v>
      </c>
      <c r="C26" s="696">
        <v>861.84615384615404</v>
      </c>
      <c r="H26" s="676" t="s">
        <v>1065</v>
      </c>
      <c r="I26" s="702">
        <v>1591</v>
      </c>
      <c r="J26" s="652">
        <f>'[5]TKT műk.'!K59</f>
        <v>0</v>
      </c>
      <c r="K26" s="653">
        <v>2246</v>
      </c>
      <c r="L26" s="703">
        <f t="shared" ref="L26:L37" si="4">SUM(E7-K26)</f>
        <v>663.56896084345362</v>
      </c>
      <c r="M26" s="698">
        <v>1087</v>
      </c>
      <c r="N26" s="653">
        <v>1125</v>
      </c>
      <c r="O26" s="704">
        <f t="shared" ref="O26:O37" si="5">SUM(F7-N26)</f>
        <v>30</v>
      </c>
      <c r="P26" s="705">
        <f t="shared" ref="P26:P38" si="6">SUM(L26+O26)</f>
        <v>693.56896084345362</v>
      </c>
      <c r="R26" s="640">
        <f t="shared" ref="R26:R37" si="7">SUM(R7-P26)</f>
        <v>40.301867631522782</v>
      </c>
    </row>
    <row r="27" spans="1:22" x14ac:dyDescent="0.2">
      <c r="A27" s="662" t="s">
        <v>1066</v>
      </c>
      <c r="B27" s="695">
        <f>'[4]Házi segítségnyújtás'!E39</f>
        <v>0</v>
      </c>
      <c r="C27" s="696">
        <v>0</v>
      </c>
      <c r="H27" s="676" t="s">
        <v>1066</v>
      </c>
      <c r="I27" s="702">
        <v>5956</v>
      </c>
      <c r="J27" s="652">
        <f>'[5]TKT műk.'!K60</f>
        <v>0</v>
      </c>
      <c r="K27" s="653">
        <v>8405</v>
      </c>
      <c r="L27" s="703">
        <f t="shared" si="4"/>
        <v>3499.4191520099703</v>
      </c>
      <c r="M27" s="698">
        <v>4324</v>
      </c>
      <c r="N27" s="653">
        <v>4477</v>
      </c>
      <c r="O27" s="704">
        <f t="shared" si="5"/>
        <v>265</v>
      </c>
      <c r="P27" s="705">
        <f t="shared" si="6"/>
        <v>3764.4191520099703</v>
      </c>
      <c r="R27" s="640">
        <f t="shared" si="7"/>
        <v>660.50498282415356</v>
      </c>
    </row>
    <row r="28" spans="1:22" x14ac:dyDescent="0.2">
      <c r="A28" s="662" t="s">
        <v>1067</v>
      </c>
      <c r="B28" s="695">
        <f>'[4]Házi segítségnyújtás'!E40</f>
        <v>0</v>
      </c>
      <c r="C28" s="696">
        <v>0</v>
      </c>
      <c r="H28" s="676" t="s">
        <v>1067</v>
      </c>
      <c r="I28" s="702">
        <v>4340</v>
      </c>
      <c r="J28" s="652">
        <f>'[5]TKT műk.'!K61</f>
        <v>0</v>
      </c>
      <c r="K28" s="653">
        <v>6124</v>
      </c>
      <c r="L28" s="703">
        <f t="shared" si="4"/>
        <v>3866.2631919183241</v>
      </c>
      <c r="M28" s="698">
        <v>3539</v>
      </c>
      <c r="N28" s="653">
        <v>3664</v>
      </c>
      <c r="O28" s="704">
        <f t="shared" si="5"/>
        <v>178</v>
      </c>
      <c r="P28" s="705">
        <f t="shared" si="6"/>
        <v>4044.2631919183241</v>
      </c>
      <c r="R28" s="640">
        <f t="shared" si="7"/>
        <v>86.658731918931153</v>
      </c>
    </row>
    <row r="29" spans="1:22" x14ac:dyDescent="0.2">
      <c r="A29" s="662" t="s">
        <v>1068</v>
      </c>
      <c r="B29" s="695">
        <f>'[4]Házi segítségnyújtás'!E41</f>
        <v>0</v>
      </c>
      <c r="C29" s="696">
        <v>861.84615384615404</v>
      </c>
      <c r="H29" s="676" t="s">
        <v>1068</v>
      </c>
      <c r="I29" s="702">
        <v>264</v>
      </c>
      <c r="J29" s="652">
        <f>'[5]TKT műk.'!K62</f>
        <v>0</v>
      </c>
      <c r="K29" s="653">
        <v>373</v>
      </c>
      <c r="L29" s="703">
        <f t="shared" si="4"/>
        <v>431.69041095890418</v>
      </c>
      <c r="M29" s="698">
        <v>770</v>
      </c>
      <c r="N29" s="653">
        <v>797</v>
      </c>
      <c r="O29" s="704">
        <f t="shared" si="5"/>
        <v>56</v>
      </c>
      <c r="P29" s="705">
        <f t="shared" si="6"/>
        <v>487.69041095890418</v>
      </c>
      <c r="R29" s="640">
        <f t="shared" si="7"/>
        <v>-2206.4861314284176</v>
      </c>
    </row>
    <row r="30" spans="1:22" x14ac:dyDescent="0.2">
      <c r="A30" s="662" t="s">
        <v>1069</v>
      </c>
      <c r="B30" s="695">
        <f>'[4]Házi segítségnyújtás'!E42</f>
        <v>0</v>
      </c>
      <c r="C30" s="696">
        <v>1005.4871794871796</v>
      </c>
      <c r="H30" s="676" t="s">
        <v>1069</v>
      </c>
      <c r="I30" s="702">
        <v>264</v>
      </c>
      <c r="J30" s="652">
        <f>'[5]TKT műk.'!K63</f>
        <v>0</v>
      </c>
      <c r="K30" s="653">
        <v>373</v>
      </c>
      <c r="L30" s="703">
        <f t="shared" si="4"/>
        <v>237.45479452054792</v>
      </c>
      <c r="M30" s="698">
        <v>711</v>
      </c>
      <c r="N30" s="653">
        <v>737</v>
      </c>
      <c r="O30" s="704">
        <f t="shared" si="5"/>
        <v>25</v>
      </c>
      <c r="P30" s="705">
        <f t="shared" si="6"/>
        <v>262.45479452054792</v>
      </c>
      <c r="R30" s="640">
        <f t="shared" si="7"/>
        <v>-918.44159973102592</v>
      </c>
    </row>
    <row r="31" spans="1:22" x14ac:dyDescent="0.2">
      <c r="A31" s="662" t="s">
        <v>1070</v>
      </c>
      <c r="B31" s="695">
        <f>'[4]Házi segítségnyújtás'!E43</f>
        <v>0</v>
      </c>
      <c r="C31" s="696">
        <v>1292.7692307692309</v>
      </c>
      <c r="H31" s="676" t="s">
        <v>1070</v>
      </c>
      <c r="I31" s="702">
        <v>1243</v>
      </c>
      <c r="J31" s="652">
        <f>'[5]TKT műk.'!K64</f>
        <v>0</v>
      </c>
      <c r="K31" s="653">
        <v>1754</v>
      </c>
      <c r="L31" s="703">
        <f t="shared" si="4"/>
        <v>1076.2904109589044</v>
      </c>
      <c r="M31" s="698">
        <v>1847</v>
      </c>
      <c r="N31" s="653">
        <v>1912</v>
      </c>
      <c r="O31" s="704">
        <f t="shared" si="5"/>
        <v>80</v>
      </c>
      <c r="P31" s="705">
        <f t="shared" si="6"/>
        <v>1156.2904109589044</v>
      </c>
      <c r="R31" s="640">
        <f t="shared" si="7"/>
        <v>112.69619663648155</v>
      </c>
    </row>
    <row r="32" spans="1:22" x14ac:dyDescent="0.2">
      <c r="A32" s="662" t="s">
        <v>1071</v>
      </c>
      <c r="B32" s="695">
        <f>'[4]Házi segítségnyújtás'!E44</f>
        <v>0</v>
      </c>
      <c r="C32" s="696">
        <v>1005.4871794871796</v>
      </c>
      <c r="H32" s="676" t="s">
        <v>1071</v>
      </c>
      <c r="I32" s="702">
        <v>520</v>
      </c>
      <c r="J32" s="652">
        <f>'[5]TKT műk.'!K65</f>
        <v>0</v>
      </c>
      <c r="K32" s="653">
        <v>734</v>
      </c>
      <c r="L32" s="703">
        <f t="shared" si="4"/>
        <v>-262.28493150684926</v>
      </c>
      <c r="M32" s="698">
        <v>699</v>
      </c>
      <c r="N32" s="653">
        <v>723</v>
      </c>
      <c r="O32" s="704">
        <f t="shared" si="5"/>
        <v>40</v>
      </c>
      <c r="P32" s="705">
        <f t="shared" si="6"/>
        <v>-222.28493150684926</v>
      </c>
      <c r="R32" s="640">
        <f t="shared" si="7"/>
        <v>-38.025004574944433</v>
      </c>
    </row>
    <row r="33" spans="1:18" x14ac:dyDescent="0.2">
      <c r="A33" s="662" t="s">
        <v>1072</v>
      </c>
      <c r="B33" s="695">
        <f>'[4]Házi segítségnyújtás'!E45</f>
        <v>0</v>
      </c>
      <c r="C33" s="696">
        <v>1005.48717948718</v>
      </c>
      <c r="H33" s="676" t="s">
        <v>1072</v>
      </c>
      <c r="I33" s="702">
        <v>185</v>
      </c>
      <c r="J33" s="652">
        <f>'[5]TKT műk.'!K66</f>
        <v>0</v>
      </c>
      <c r="K33" s="653">
        <v>261</v>
      </c>
      <c r="L33" s="703">
        <f t="shared" si="4"/>
        <v>238.46301369863016</v>
      </c>
      <c r="M33" s="698">
        <v>502</v>
      </c>
      <c r="N33" s="653">
        <v>520</v>
      </c>
      <c r="O33" s="704">
        <f t="shared" si="5"/>
        <v>10</v>
      </c>
      <c r="P33" s="705">
        <f t="shared" si="6"/>
        <v>248.46301369863016</v>
      </c>
      <c r="R33" s="640">
        <f t="shared" si="7"/>
        <v>36.701892531870783</v>
      </c>
    </row>
    <row r="34" spans="1:18" x14ac:dyDescent="0.2">
      <c r="A34" s="662" t="s">
        <v>1073</v>
      </c>
      <c r="B34" s="695">
        <f>'[4]Házi segítségnyújtás'!E46</f>
        <v>0</v>
      </c>
      <c r="C34" s="696">
        <v>0</v>
      </c>
      <c r="H34" s="676" t="s">
        <v>1073</v>
      </c>
      <c r="I34" s="702">
        <v>132</v>
      </c>
      <c r="J34" s="652">
        <f>'[5]TKT műk.'!K67</f>
        <v>0</v>
      </c>
      <c r="K34" s="653">
        <v>187</v>
      </c>
      <c r="L34" s="703">
        <f t="shared" si="4"/>
        <v>340.21095890410959</v>
      </c>
      <c r="M34" s="698">
        <v>500</v>
      </c>
      <c r="N34" s="653">
        <v>518</v>
      </c>
      <c r="O34" s="704">
        <f t="shared" si="5"/>
        <v>28</v>
      </c>
      <c r="P34" s="705">
        <f t="shared" si="6"/>
        <v>368.21095890410959</v>
      </c>
      <c r="R34" s="640">
        <f t="shared" si="7"/>
        <v>-743.35470661977149</v>
      </c>
    </row>
    <row r="35" spans="1:18" x14ac:dyDescent="0.2">
      <c r="A35" s="662" t="s">
        <v>1074</v>
      </c>
      <c r="B35" s="695">
        <f>'[4]Házi segítségnyújtás'!E47</f>
        <v>0</v>
      </c>
      <c r="C35" s="696">
        <v>574.56410256410265</v>
      </c>
      <c r="H35" s="676" t="s">
        <v>1074</v>
      </c>
      <c r="I35" s="702">
        <v>1775</v>
      </c>
      <c r="J35" s="652">
        <f>'[5]TKT műk.'!K68</f>
        <v>0</v>
      </c>
      <c r="K35" s="653">
        <v>2506</v>
      </c>
      <c r="L35" s="703">
        <f t="shared" si="4"/>
        <v>778.22724332702865</v>
      </c>
      <c r="M35" s="698">
        <v>1337</v>
      </c>
      <c r="N35" s="653">
        <v>1384</v>
      </c>
      <c r="O35" s="704">
        <f t="shared" si="5"/>
        <v>84</v>
      </c>
      <c r="P35" s="705">
        <f t="shared" si="6"/>
        <v>862.22724332702865</v>
      </c>
      <c r="R35" s="640">
        <f t="shared" si="7"/>
        <v>-450.73531099018919</v>
      </c>
    </row>
    <row r="36" spans="1:18" x14ac:dyDescent="0.2">
      <c r="A36" s="662" t="s">
        <v>1075</v>
      </c>
      <c r="B36" s="706">
        <f>'[4]Házi segítségnyújtás'!E48</f>
        <v>0</v>
      </c>
      <c r="C36" s="707">
        <v>1005.4871794871796</v>
      </c>
      <c r="H36" s="676" t="s">
        <v>1075</v>
      </c>
      <c r="I36" s="702">
        <v>485</v>
      </c>
      <c r="J36" s="669">
        <f>'[5]TKT műk.'!K69</f>
        <v>0</v>
      </c>
      <c r="K36" s="664">
        <v>684</v>
      </c>
      <c r="L36" s="703">
        <f t="shared" si="4"/>
        <v>176.18630136986303</v>
      </c>
      <c r="M36" s="702">
        <v>757</v>
      </c>
      <c r="N36" s="664">
        <v>784</v>
      </c>
      <c r="O36" s="704">
        <f t="shared" si="5"/>
        <v>42</v>
      </c>
      <c r="P36" s="705">
        <f t="shared" si="6"/>
        <v>218.18630136986303</v>
      </c>
      <c r="R36" s="640">
        <f t="shared" si="7"/>
        <v>-73.915647868154338</v>
      </c>
    </row>
    <row r="37" spans="1:18" x14ac:dyDescent="0.2">
      <c r="A37" s="662" t="s">
        <v>1076</v>
      </c>
      <c r="B37" s="706">
        <f>'[4]Házi segítségnyújtás'!E49</f>
        <v>0</v>
      </c>
      <c r="C37" s="707">
        <v>0</v>
      </c>
      <c r="H37" s="676" t="s">
        <v>1076</v>
      </c>
      <c r="I37" s="702">
        <v>335</v>
      </c>
      <c r="J37" s="669">
        <f>'[5]TKT műk.'!K70</f>
        <v>0</v>
      </c>
      <c r="K37" s="664">
        <v>473</v>
      </c>
      <c r="L37" s="703">
        <f t="shared" si="4"/>
        <v>276.19452054794522</v>
      </c>
      <c r="M37" s="702">
        <v>299</v>
      </c>
      <c r="N37" s="664">
        <v>310</v>
      </c>
      <c r="O37" s="704">
        <f t="shared" si="5"/>
        <v>7</v>
      </c>
      <c r="P37" s="705">
        <f t="shared" si="6"/>
        <v>283.19452054794522</v>
      </c>
      <c r="R37" s="640">
        <f t="shared" si="7"/>
        <v>171.90483586726157</v>
      </c>
    </row>
    <row r="38" spans="1:18" ht="13.5" thickBot="1" x14ac:dyDescent="0.25">
      <c r="A38" s="677" t="s">
        <v>47</v>
      </c>
      <c r="B38" s="708">
        <f>SUM(B25:B37)</f>
        <v>0</v>
      </c>
      <c r="C38" s="709">
        <v>11204.000000000004</v>
      </c>
      <c r="H38" s="682" t="s">
        <v>47</v>
      </c>
      <c r="I38" s="710">
        <f t="shared" ref="I38:O38" si="8">SUM(I25:I37)</f>
        <v>23438</v>
      </c>
      <c r="J38" s="679">
        <f t="shared" si="8"/>
        <v>0</v>
      </c>
      <c r="K38" s="680">
        <f t="shared" si="8"/>
        <v>33079</v>
      </c>
      <c r="L38" s="711">
        <f>SUM(L25:L37)-2</f>
        <v>17561</v>
      </c>
      <c r="M38" s="710">
        <f t="shared" si="8"/>
        <v>20831</v>
      </c>
      <c r="N38" s="680">
        <f t="shared" si="8"/>
        <v>21568</v>
      </c>
      <c r="O38" s="712">
        <f t="shared" si="8"/>
        <v>1160</v>
      </c>
      <c r="P38" s="713">
        <f t="shared" si="6"/>
        <v>18721</v>
      </c>
      <c r="R38" s="640">
        <f>SUM(R25:R37)</f>
        <v>-11977.951899999996</v>
      </c>
    </row>
    <row r="39" spans="1:18" x14ac:dyDescent="0.2">
      <c r="L39" s="714">
        <f>SUM(E20-K38)</f>
        <v>17560.999999999978</v>
      </c>
      <c r="O39" s="714">
        <f>SUM(F20-N38)</f>
        <v>1160</v>
      </c>
      <c r="P39" s="714">
        <f>SUM(P25:P37)-2</f>
        <v>18721</v>
      </c>
      <c r="R39" s="714">
        <f>SUM(R20-P38)</f>
        <v>-11975.951899999985</v>
      </c>
    </row>
    <row r="40" spans="1:18" ht="38.25" x14ac:dyDescent="0.2">
      <c r="H40" s="715" t="s">
        <v>1089</v>
      </c>
      <c r="I40" s="716"/>
      <c r="J40" s="716"/>
      <c r="K40" s="716"/>
      <c r="L40" s="717">
        <f>SUM(E20-I38)</f>
        <v>27201.999999999978</v>
      </c>
      <c r="M40" s="716"/>
      <c r="N40" s="716"/>
      <c r="O40" s="717">
        <f>SUM(F20-M38)</f>
        <v>1897</v>
      </c>
      <c r="P40" s="717">
        <f>SUM(L40+O40)</f>
        <v>29098.999999999978</v>
      </c>
    </row>
  </sheetData>
  <mergeCells count="14">
    <mergeCell ref="A4:A5"/>
    <mergeCell ref="B4:B5"/>
    <mergeCell ref="A23:A24"/>
    <mergeCell ref="B23:B24"/>
    <mergeCell ref="C23:C24"/>
    <mergeCell ref="H23:H24"/>
    <mergeCell ref="I23:P23"/>
    <mergeCell ref="R24:S24"/>
    <mergeCell ref="C4:G4"/>
    <mergeCell ref="H4:H5"/>
    <mergeCell ref="I4:O4"/>
    <mergeCell ref="P4:P5"/>
    <mergeCell ref="Q4:Q5"/>
    <mergeCell ref="S4:S5"/>
  </mergeCells>
  <pageMargins left="0.39370078740157483" right="0.19685039370078741" top="0.27559055118110237" bottom="0.47244094488188981" header="0.27559055118110237" footer="0.31496062992125984"/>
  <pageSetup paperSize="9" scale="7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P746"/>
  <sheetViews>
    <sheetView topLeftCell="A102" zoomScaleNormal="100" zoomScaleSheetLayoutView="80" workbookViewId="0">
      <selection activeCell="B63" sqref="B63"/>
    </sheetView>
  </sheetViews>
  <sheetFormatPr defaultRowHeight="12.75" x14ac:dyDescent="0.2"/>
  <cols>
    <col min="1" max="1" width="6.28515625" style="2" customWidth="1"/>
    <col min="2" max="2" width="80.7109375" customWidth="1"/>
    <col min="3" max="3" width="14" style="37" hidden="1" customWidth="1"/>
    <col min="4" max="4" width="18.7109375" style="37" customWidth="1"/>
    <col min="5" max="5" width="14" style="37" hidden="1" customWidth="1"/>
    <col min="6" max="6" width="11.28515625" style="37" hidden="1" customWidth="1"/>
    <col min="7" max="7" width="13.5703125" style="37" hidden="1" customWidth="1"/>
    <col min="8" max="8" width="13.140625" style="37" hidden="1" customWidth="1"/>
    <col min="9" max="9" width="10.5703125" customWidth="1"/>
    <col min="10" max="15" width="9.140625" hidden="1" customWidth="1"/>
    <col min="16" max="16" width="9.140625" customWidth="1"/>
    <col min="17" max="18" width="9.140625" hidden="1" customWidth="1"/>
    <col min="19" max="22" width="9.140625" customWidth="1"/>
    <col min="23" max="23" width="6.5703125" bestFit="1" customWidth="1"/>
  </cols>
  <sheetData>
    <row r="1" spans="1:42" ht="15" customHeight="1" x14ac:dyDescent="0.3">
      <c r="A1" s="56"/>
      <c r="B1" s="34"/>
      <c r="D1" s="57" t="s">
        <v>855</v>
      </c>
      <c r="F1" s="57" t="s">
        <v>855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9.5" x14ac:dyDescent="0.35">
      <c r="A2" s="779" t="s">
        <v>27</v>
      </c>
      <c r="B2" s="779"/>
      <c r="C2" s="779"/>
      <c r="D2" s="788"/>
      <c r="E2" s="788"/>
      <c r="F2" s="788"/>
      <c r="G2" s="788"/>
      <c r="H2" s="78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9.5" x14ac:dyDescent="0.35">
      <c r="A3" s="779" t="s">
        <v>854</v>
      </c>
      <c r="B3" s="779"/>
      <c r="C3" s="779"/>
      <c r="D3" s="788"/>
      <c r="E3" s="788"/>
      <c r="F3" s="788"/>
      <c r="G3" s="788"/>
      <c r="H3" s="78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3.5" thickBot="1" x14ac:dyDescent="0.25">
      <c r="A4" s="56"/>
      <c r="B4" s="1"/>
      <c r="D4" s="57" t="s">
        <v>0</v>
      </c>
      <c r="F4" s="57" t="s">
        <v>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95.25" thickBot="1" x14ac:dyDescent="0.25">
      <c r="A5" s="219" t="s">
        <v>120</v>
      </c>
      <c r="B5" s="45" t="s">
        <v>211</v>
      </c>
      <c r="C5" s="45" t="s">
        <v>380</v>
      </c>
      <c r="D5" s="46" t="str">
        <f>'1.Bev-kiad.'!C7</f>
        <v>2022. évi eredeti előirányzat</v>
      </c>
      <c r="E5" s="539" t="str">
        <f>'1.Bev-kiad.'!D7</f>
        <v>Módosított előirányzat 2022.06.havi</v>
      </c>
      <c r="F5" s="45" t="str">
        <f>'1.Bev-kiad.'!E7</f>
        <v>Módosított előirányzat 2022.10.havi</v>
      </c>
      <c r="G5" s="315"/>
      <c r="H5" s="46" t="s">
        <v>751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20.25" customHeight="1" x14ac:dyDescent="0.2">
      <c r="A6" s="148" t="s">
        <v>121</v>
      </c>
      <c r="B6" s="228" t="s">
        <v>353</v>
      </c>
      <c r="C6" s="175" t="e">
        <f t="shared" ref="C6:H6" si="0">SUM(C11+C18+C24)</f>
        <v>#REF!</v>
      </c>
      <c r="D6" s="175">
        <f t="shared" si="0"/>
        <v>43249</v>
      </c>
      <c r="E6" s="175">
        <f t="shared" si="0"/>
        <v>53817</v>
      </c>
      <c r="F6" s="175">
        <f t="shared" si="0"/>
        <v>65817</v>
      </c>
      <c r="G6" s="175" t="e">
        <f t="shared" si="0"/>
        <v>#REF!</v>
      </c>
      <c r="H6" s="175">
        <f t="shared" si="0"/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12.75" hidden="1" customHeight="1" x14ac:dyDescent="0.2">
      <c r="A7" s="8" t="s">
        <v>124</v>
      </c>
      <c r="B7" s="8" t="s">
        <v>128</v>
      </c>
      <c r="C7" s="6"/>
      <c r="D7" s="6"/>
      <c r="E7" s="6"/>
      <c r="F7" s="6"/>
      <c r="G7" s="6"/>
      <c r="H7" s="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12.75" hidden="1" customHeight="1" x14ac:dyDescent="0.2">
      <c r="A8" s="8" t="s">
        <v>125</v>
      </c>
      <c r="B8" s="8" t="s">
        <v>129</v>
      </c>
      <c r="C8" s="11"/>
      <c r="D8" s="11"/>
      <c r="E8" s="11"/>
      <c r="F8" s="11"/>
      <c r="G8" s="11"/>
      <c r="H8" s="1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2.75" hidden="1" customHeight="1" x14ac:dyDescent="0.2">
      <c r="A9" s="8" t="s">
        <v>126</v>
      </c>
      <c r="B9" s="8" t="s">
        <v>130</v>
      </c>
      <c r="C9" s="11"/>
      <c r="D9" s="11"/>
      <c r="E9" s="11"/>
      <c r="F9" s="11"/>
      <c r="G9" s="11"/>
      <c r="H9" s="1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2.75" hidden="1" customHeight="1" x14ac:dyDescent="0.2">
      <c r="A10" s="8" t="s">
        <v>127</v>
      </c>
      <c r="B10" s="8" t="s">
        <v>132</v>
      </c>
      <c r="C10" s="11"/>
      <c r="D10" s="11"/>
      <c r="E10" s="11"/>
      <c r="F10" s="11"/>
      <c r="G10" s="11"/>
      <c r="H10" s="1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8" customHeight="1" x14ac:dyDescent="0.25">
      <c r="A11" s="14" t="s">
        <v>133</v>
      </c>
      <c r="B11" s="23" t="s">
        <v>252</v>
      </c>
      <c r="C11" s="38" t="e">
        <f t="shared" ref="C11:H11" si="1">C12+C15</f>
        <v>#REF!</v>
      </c>
      <c r="D11" s="38">
        <f t="shared" si="1"/>
        <v>10249</v>
      </c>
      <c r="E11" s="38">
        <f t="shared" si="1"/>
        <v>44746</v>
      </c>
      <c r="F11" s="38">
        <f t="shared" si="1"/>
        <v>44746</v>
      </c>
      <c r="G11" s="38" t="e">
        <f t="shared" si="1"/>
        <v>#REF!</v>
      </c>
      <c r="H11" s="38">
        <f t="shared" si="1"/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3.5" customHeight="1" x14ac:dyDescent="0.2">
      <c r="A12" s="8" t="s">
        <v>134</v>
      </c>
      <c r="B12" s="8" t="s">
        <v>334</v>
      </c>
      <c r="C12" s="11" t="e">
        <f>#REF!+#REF!</f>
        <v>#REF!</v>
      </c>
      <c r="D12" s="11">
        <f>SUM(D13:D13)</f>
        <v>10249</v>
      </c>
      <c r="E12" s="11">
        <f>SUM(E13:E13)</f>
        <v>11148</v>
      </c>
      <c r="F12" s="11">
        <f>SUM(F13:F13)</f>
        <v>11148</v>
      </c>
      <c r="G12" s="11" t="e">
        <f>#REF!+#REF!</f>
        <v>#REF!</v>
      </c>
      <c r="H12" s="11"/>
      <c r="I12" s="2"/>
      <c r="P12" s="7">
        <f>SUM(D13+D20+D26)</f>
        <v>43249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x14ac:dyDescent="0.2">
      <c r="A13" s="8"/>
      <c r="B13" s="8" t="s">
        <v>832</v>
      </c>
      <c r="C13" s="13">
        <v>0</v>
      </c>
      <c r="D13" s="264">
        <v>10249</v>
      </c>
      <c r="E13" s="13">
        <f>15000-3852</f>
        <v>11148</v>
      </c>
      <c r="F13" s="13">
        <f>15000-3852</f>
        <v>11148</v>
      </c>
      <c r="G13" s="13"/>
      <c r="H13" s="13"/>
      <c r="I13" s="2"/>
      <c r="J13" s="2"/>
      <c r="K13" s="507"/>
      <c r="L13" s="318"/>
      <c r="M13" s="508"/>
      <c r="N13" s="318"/>
      <c r="O13" s="318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x14ac:dyDescent="0.2">
      <c r="A14" s="8"/>
      <c r="B14" s="8"/>
      <c r="C14" s="13"/>
      <c r="D14" s="13"/>
      <c r="E14" s="13"/>
      <c r="F14" s="13"/>
      <c r="G14" s="13"/>
      <c r="H14" s="13"/>
      <c r="I14" s="2"/>
      <c r="J14" s="2"/>
      <c r="K14" s="507" t="s">
        <v>803</v>
      </c>
      <c r="L14" s="509"/>
      <c r="M14" s="508"/>
      <c r="N14" s="509"/>
      <c r="O14" s="509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x14ac:dyDescent="0.2">
      <c r="A15" s="8" t="s">
        <v>174</v>
      </c>
      <c r="B15" s="8" t="s">
        <v>335</v>
      </c>
      <c r="C15" s="11">
        <f t="shared" ref="C15:H15" si="2">SUM(C16:C17)</f>
        <v>33598</v>
      </c>
      <c r="D15" s="11">
        <f t="shared" si="2"/>
        <v>0</v>
      </c>
      <c r="E15" s="11">
        <f t="shared" si="2"/>
        <v>33598</v>
      </c>
      <c r="F15" s="11">
        <f t="shared" si="2"/>
        <v>33598</v>
      </c>
      <c r="G15" s="11">
        <f t="shared" si="2"/>
        <v>33598</v>
      </c>
      <c r="H15" s="11">
        <f t="shared" si="2"/>
        <v>0</v>
      </c>
      <c r="I15" s="2"/>
      <c r="J15" s="2" t="s">
        <v>804</v>
      </c>
      <c r="K15" s="13">
        <v>104400</v>
      </c>
      <c r="L15" s="7">
        <v>115800</v>
      </c>
      <c r="M15" s="7">
        <f>(L15-K15)</f>
        <v>11400</v>
      </c>
      <c r="N15" s="7">
        <v>4200</v>
      </c>
      <c r="O15" s="194">
        <f>SUM(L15+N15)</f>
        <v>120000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idden="1" x14ac:dyDescent="0.2">
      <c r="A16" s="8"/>
      <c r="B16" s="20" t="s">
        <v>794</v>
      </c>
      <c r="C16" s="13">
        <v>31233</v>
      </c>
      <c r="D16" s="13"/>
      <c r="E16" s="13">
        <v>31233</v>
      </c>
      <c r="F16" s="13">
        <v>31233</v>
      </c>
      <c r="G16" s="13">
        <v>31233</v>
      </c>
      <c r="H16" s="13"/>
      <c r="I16" s="2"/>
      <c r="J16" s="2" t="s">
        <v>805</v>
      </c>
      <c r="K16" s="13">
        <v>226930</v>
      </c>
      <c r="L16" s="7">
        <v>229295</v>
      </c>
      <c r="M16" s="7">
        <f>(L16-K16)</f>
        <v>2365</v>
      </c>
      <c r="N16" s="7">
        <v>5500</v>
      </c>
      <c r="O16" s="194">
        <f>SUM(L16+N16)</f>
        <v>234795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hidden="1" x14ac:dyDescent="0.2">
      <c r="A17" s="8"/>
      <c r="B17" s="20" t="s">
        <v>795</v>
      </c>
      <c r="C17" s="13">
        <v>2365</v>
      </c>
      <c r="D17" s="13"/>
      <c r="E17" s="13">
        <v>2365</v>
      </c>
      <c r="F17" s="13">
        <v>2365</v>
      </c>
      <c r="G17" s="13">
        <v>2365</v>
      </c>
      <c r="H17" s="13"/>
      <c r="I17" s="2"/>
      <c r="J17" s="2"/>
      <c r="K17" s="7"/>
      <c r="L17" s="7"/>
      <c r="M17" s="7"/>
      <c r="N17" s="7"/>
      <c r="O17" s="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17.25" customHeight="1" x14ac:dyDescent="0.25">
      <c r="A18" s="14" t="s">
        <v>180</v>
      </c>
      <c r="B18" s="23" t="s">
        <v>253</v>
      </c>
      <c r="C18" s="38">
        <f t="shared" ref="C18:H18" si="3">SUM(C19:C23)</f>
        <v>0</v>
      </c>
      <c r="D18" s="38">
        <f t="shared" si="3"/>
        <v>22700</v>
      </c>
      <c r="E18" s="38">
        <f t="shared" si="3"/>
        <v>1056</v>
      </c>
      <c r="F18" s="38">
        <f>SUM(F19:F23)</f>
        <v>13056</v>
      </c>
      <c r="G18" s="38">
        <f t="shared" si="3"/>
        <v>0</v>
      </c>
      <c r="H18" s="38">
        <f t="shared" si="3"/>
        <v>0</v>
      </c>
      <c r="I18" s="2"/>
      <c r="J18" s="2"/>
      <c r="K18" s="7"/>
      <c r="L18" s="7"/>
      <c r="M18" s="7"/>
      <c r="N18" s="7"/>
      <c r="O18" s="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13.5" customHeight="1" x14ac:dyDescent="0.2">
      <c r="A19" s="8" t="s">
        <v>181</v>
      </c>
      <c r="B19" s="20" t="s">
        <v>419</v>
      </c>
      <c r="C19" s="11"/>
      <c r="D19" s="11"/>
      <c r="E19" s="11"/>
      <c r="F19" s="11"/>
      <c r="G19" s="11"/>
      <c r="H19" s="11"/>
      <c r="I19" s="2"/>
      <c r="J19" s="2"/>
      <c r="K19" s="2">
        <v>226638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13.5" customHeight="1" x14ac:dyDescent="0.2">
      <c r="A20" s="8" t="s">
        <v>182</v>
      </c>
      <c r="B20" s="20" t="s">
        <v>856</v>
      </c>
      <c r="C20" s="13">
        <v>0</v>
      </c>
      <c r="D20" s="264">
        <f>(10700+12000)</f>
        <v>22700</v>
      </c>
      <c r="E20" s="13">
        <v>1056</v>
      </c>
      <c r="F20" s="13">
        <f>1056+12000</f>
        <v>13056</v>
      </c>
      <c r="G20" s="13"/>
      <c r="H20" s="13"/>
      <c r="I20" s="29" t="s">
        <v>862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13.5" customHeight="1" x14ac:dyDescent="0.2">
      <c r="A21" s="8" t="s">
        <v>183</v>
      </c>
      <c r="B21" s="20" t="s">
        <v>471</v>
      </c>
      <c r="C21" s="11"/>
      <c r="D21" s="11"/>
      <c r="E21" s="11"/>
      <c r="F21" s="11"/>
      <c r="G21" s="11"/>
      <c r="H21" s="11"/>
      <c r="I21" s="28" t="s">
        <v>861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13.5" customHeight="1" x14ac:dyDescent="0.2">
      <c r="A22" s="8" t="s">
        <v>184</v>
      </c>
      <c r="B22" s="20" t="s">
        <v>254</v>
      </c>
      <c r="C22" s="11"/>
      <c r="D22" s="11"/>
      <c r="E22" s="11"/>
      <c r="F22" s="11"/>
      <c r="G22" s="11"/>
      <c r="H22" s="1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13.5" customHeight="1" x14ac:dyDescent="0.2">
      <c r="A23" s="8" t="s">
        <v>185</v>
      </c>
      <c r="B23" s="20" t="s">
        <v>255</v>
      </c>
      <c r="C23" s="11"/>
      <c r="D23" s="11"/>
      <c r="E23" s="11"/>
      <c r="F23" s="11"/>
      <c r="G23" s="11"/>
      <c r="H23" s="1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18" customHeight="1" x14ac:dyDescent="0.25">
      <c r="A24" s="14" t="s">
        <v>192</v>
      </c>
      <c r="B24" s="23" t="s">
        <v>404</v>
      </c>
      <c r="C24" s="38">
        <f t="shared" ref="C24:H24" si="4">C26</f>
        <v>8015</v>
      </c>
      <c r="D24" s="38">
        <f t="shared" si="4"/>
        <v>10300</v>
      </c>
      <c r="E24" s="38">
        <f t="shared" si="4"/>
        <v>8015</v>
      </c>
      <c r="F24" s="38">
        <f t="shared" si="4"/>
        <v>8015</v>
      </c>
      <c r="G24" s="38">
        <f t="shared" si="4"/>
        <v>8015</v>
      </c>
      <c r="H24" s="38">
        <f t="shared" si="4"/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3.5" hidden="1" customHeight="1" x14ac:dyDescent="0.2">
      <c r="A25" s="8" t="s">
        <v>192</v>
      </c>
      <c r="B25" s="20" t="s">
        <v>410</v>
      </c>
      <c r="C25" s="49"/>
      <c r="D25" s="49"/>
      <c r="E25" s="49"/>
      <c r="F25" s="49"/>
      <c r="G25" s="49"/>
      <c r="H25" s="4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3.5" customHeight="1" x14ac:dyDescent="0.2">
      <c r="A26" s="8" t="s">
        <v>512</v>
      </c>
      <c r="B26" s="20" t="s">
        <v>878</v>
      </c>
      <c r="C26" s="167">
        <f t="shared" ref="C26:H26" si="5">C27</f>
        <v>8015</v>
      </c>
      <c r="D26" s="548">
        <v>10300</v>
      </c>
      <c r="E26" s="167">
        <f t="shared" si="5"/>
        <v>8015</v>
      </c>
      <c r="F26" s="167">
        <f t="shared" si="5"/>
        <v>8015</v>
      </c>
      <c r="G26" s="167">
        <f t="shared" si="5"/>
        <v>8015</v>
      </c>
      <c r="H26" s="167">
        <f t="shared" si="5"/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13.5" customHeight="1" x14ac:dyDescent="0.2">
      <c r="A27" s="8"/>
      <c r="B27" s="20"/>
      <c r="C27" s="167">
        <v>8015</v>
      </c>
      <c r="D27" s="167"/>
      <c r="E27" s="167">
        <v>8015</v>
      </c>
      <c r="F27" s="167">
        <v>8015</v>
      </c>
      <c r="G27" s="167">
        <v>8015</v>
      </c>
      <c r="H27" s="167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ht="20.25" customHeight="1" x14ac:dyDescent="0.25">
      <c r="A28" s="8"/>
      <c r="B28" s="174" t="s">
        <v>354</v>
      </c>
      <c r="C28" s="160">
        <f t="shared" ref="C28:H28" si="6">SUM(C29+C34)</f>
        <v>1273797</v>
      </c>
      <c r="D28" s="160">
        <f t="shared" si="6"/>
        <v>949598</v>
      </c>
      <c r="E28" s="160">
        <f t="shared" si="6"/>
        <v>1273797</v>
      </c>
      <c r="F28" s="160">
        <f t="shared" si="6"/>
        <v>1273797</v>
      </c>
      <c r="G28" s="160">
        <f t="shared" si="6"/>
        <v>1273797</v>
      </c>
      <c r="H28" s="160">
        <f t="shared" si="6"/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16.5" customHeight="1" x14ac:dyDescent="0.25">
      <c r="A29" s="8"/>
      <c r="B29" s="18" t="s">
        <v>257</v>
      </c>
      <c r="C29" s="193">
        <f t="shared" ref="C29:H29" si="7">C30</f>
        <v>1095597</v>
      </c>
      <c r="D29" s="193">
        <f t="shared" si="7"/>
        <v>749598</v>
      </c>
      <c r="E29" s="193">
        <f t="shared" si="7"/>
        <v>1095597</v>
      </c>
      <c r="F29" s="193">
        <f t="shared" si="7"/>
        <v>1095597</v>
      </c>
      <c r="G29" s="193">
        <f t="shared" si="7"/>
        <v>1095597</v>
      </c>
      <c r="H29" s="193">
        <f t="shared" si="7"/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3.5" customHeight="1" x14ac:dyDescent="0.2">
      <c r="A30" s="8"/>
      <c r="B30" s="31" t="s">
        <v>444</v>
      </c>
      <c r="C30" s="11">
        <v>1095597</v>
      </c>
      <c r="D30" s="11">
        <f>SUM(D31:D32)</f>
        <v>749598</v>
      </c>
      <c r="E30" s="11">
        <v>1095597</v>
      </c>
      <c r="F30" s="11">
        <v>1095597</v>
      </c>
      <c r="G30" s="11">
        <v>1095597</v>
      </c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x14ac:dyDescent="0.2">
      <c r="A31" s="8"/>
      <c r="B31" s="31" t="s">
        <v>888</v>
      </c>
      <c r="C31" s="11"/>
      <c r="D31" s="13">
        <f>(632574-19378-10058-5652)</f>
        <v>597486</v>
      </c>
      <c r="E31" s="11"/>
      <c r="F31" s="11"/>
      <c r="G31" s="11"/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x14ac:dyDescent="0.2">
      <c r="A32" s="8"/>
      <c r="B32" s="31" t="s">
        <v>889</v>
      </c>
      <c r="C32" s="11"/>
      <c r="D32" s="13">
        <f>(226930-68956-3881-1049-246-686)</f>
        <v>152112</v>
      </c>
      <c r="E32" s="11"/>
      <c r="F32" s="11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3.5" customHeight="1" x14ac:dyDescent="0.2">
      <c r="A33" s="8"/>
      <c r="B33" s="31"/>
      <c r="C33" s="11"/>
      <c r="D33" s="11"/>
      <c r="E33" s="11"/>
      <c r="F33" s="11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6.5" customHeight="1" x14ac:dyDescent="0.25">
      <c r="A34" s="8"/>
      <c r="B34" s="18" t="s">
        <v>258</v>
      </c>
      <c r="C34" s="38">
        <f>SUM(C35:C36)</f>
        <v>178200</v>
      </c>
      <c r="D34" s="38">
        <f>SUM(D35:D37)</f>
        <v>200000</v>
      </c>
      <c r="E34" s="38">
        <f>SUM(E35:E36)</f>
        <v>178200</v>
      </c>
      <c r="F34" s="38">
        <f>SUM(F35:F36)</f>
        <v>178200</v>
      </c>
      <c r="G34" s="38">
        <f>SUM(G35:G36)</f>
        <v>178200</v>
      </c>
      <c r="H34" s="38">
        <f>SUM(H36)</f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3.5" customHeight="1" x14ac:dyDescent="0.25">
      <c r="A35" s="12"/>
      <c r="B35" s="8" t="s">
        <v>891</v>
      </c>
      <c r="C35" s="11">
        <v>78200</v>
      </c>
      <c r="D35" s="535">
        <v>100000</v>
      </c>
      <c r="E35" s="11">
        <v>78200</v>
      </c>
      <c r="F35" s="11">
        <v>78200</v>
      </c>
      <c r="G35" s="11">
        <v>78200</v>
      </c>
      <c r="H35" s="50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3.5" customHeight="1" x14ac:dyDescent="0.2">
      <c r="A36" s="8"/>
      <c r="B36" s="8" t="s">
        <v>857</v>
      </c>
      <c r="C36" s="11">
        <v>100000</v>
      </c>
      <c r="D36" s="535">
        <v>100000</v>
      </c>
      <c r="E36" s="11">
        <v>100000</v>
      </c>
      <c r="F36" s="11">
        <v>100000</v>
      </c>
      <c r="G36" s="80">
        <v>100000</v>
      </c>
      <c r="H36" s="80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3.5" customHeight="1" thickBot="1" x14ac:dyDescent="0.25">
      <c r="A37" s="12"/>
      <c r="B37" s="12"/>
      <c r="C37" s="80"/>
      <c r="D37" s="80"/>
      <c r="E37" s="80"/>
      <c r="F37" s="80"/>
      <c r="G37" s="532"/>
      <c r="H37" s="53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20.25" thickBot="1" x14ac:dyDescent="0.4">
      <c r="A38" s="219"/>
      <c r="B38" s="218" t="s">
        <v>391</v>
      </c>
      <c r="C38" s="229" t="e">
        <f t="shared" ref="C38:H38" si="8">SUM(C6+C28)</f>
        <v>#REF!</v>
      </c>
      <c r="D38" s="229">
        <f t="shared" si="8"/>
        <v>992847</v>
      </c>
      <c r="E38" s="229">
        <f t="shared" si="8"/>
        <v>1327614</v>
      </c>
      <c r="F38" s="251">
        <f t="shared" si="8"/>
        <v>1339614</v>
      </c>
      <c r="G38" s="534" t="e">
        <f t="shared" si="8"/>
        <v>#REF!</v>
      </c>
      <c r="H38" s="251">
        <f t="shared" si="8"/>
        <v>0</v>
      </c>
      <c r="I38" s="947" t="s">
        <v>903</v>
      </c>
      <c r="J38" s="948"/>
      <c r="K38" s="948"/>
      <c r="L38" s="948"/>
      <c r="M38" s="948"/>
      <c r="N38" s="948"/>
      <c r="O38" s="948"/>
      <c r="P38" s="948"/>
      <c r="Q38" s="948"/>
      <c r="R38" s="948"/>
      <c r="S38" s="948"/>
      <c r="T38" s="948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36.75" customHeight="1" x14ac:dyDescent="0.25">
      <c r="A39" s="148" t="s">
        <v>367</v>
      </c>
      <c r="B39" s="227" t="s">
        <v>355</v>
      </c>
      <c r="C39" s="176" t="e">
        <f t="shared" ref="C39:H39" si="9">SUM(C40+C77+C93+C96)</f>
        <v>#REF!</v>
      </c>
      <c r="D39" s="176">
        <f t="shared" si="9"/>
        <v>1066397</v>
      </c>
      <c r="E39" s="176" t="e">
        <f t="shared" si="9"/>
        <v>#REF!</v>
      </c>
      <c r="F39" s="176" t="e">
        <f t="shared" si="9"/>
        <v>#REF!</v>
      </c>
      <c r="G39" s="176" t="e">
        <f t="shared" si="9"/>
        <v>#REF!</v>
      </c>
      <c r="H39" s="176" t="e">
        <f t="shared" si="9"/>
        <v>#REF!</v>
      </c>
      <c r="I39" s="550" t="s">
        <v>900</v>
      </c>
      <c r="J39" s="551"/>
      <c r="K39" s="551"/>
      <c r="L39" s="551"/>
      <c r="M39" s="551"/>
      <c r="N39" s="551"/>
      <c r="O39" s="551"/>
      <c r="P39" s="550" t="s">
        <v>901</v>
      </c>
      <c r="Q39" s="509"/>
      <c r="R39" s="509"/>
      <c r="S39" s="550" t="s">
        <v>902</v>
      </c>
      <c r="T39" s="550" t="s">
        <v>899</v>
      </c>
      <c r="U39" s="550" t="s">
        <v>436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5.75" x14ac:dyDescent="0.25">
      <c r="A40" s="14" t="s">
        <v>256</v>
      </c>
      <c r="B40" s="23" t="s">
        <v>5</v>
      </c>
      <c r="C40" s="160" t="e">
        <f t="shared" ref="C40:H40" si="10">SUM(C41+C68)</f>
        <v>#REF!</v>
      </c>
      <c r="D40" s="160">
        <f t="shared" si="10"/>
        <v>63555</v>
      </c>
      <c r="E40" s="160">
        <f t="shared" si="10"/>
        <v>137991</v>
      </c>
      <c r="F40" s="160">
        <f t="shared" si="10"/>
        <v>138464</v>
      </c>
      <c r="G40" s="160">
        <f t="shared" si="10"/>
        <v>105259</v>
      </c>
      <c r="H40" s="160">
        <f t="shared" si="10"/>
        <v>0</v>
      </c>
      <c r="I40" s="11" t="e">
        <f>SUM(D41+D85+'8.Önk.'!#REF!)</f>
        <v>#REF!</v>
      </c>
      <c r="J40" s="8"/>
      <c r="K40" s="8"/>
      <c r="L40" s="8"/>
      <c r="M40" s="8"/>
      <c r="N40" s="8"/>
      <c r="O40" s="8"/>
      <c r="P40" s="11" t="e">
        <f>SUM(D80+I80+D83+I83+D81+I81+'8.Önk.'!#REF!)</f>
        <v>#REF!</v>
      </c>
      <c r="Q40" s="2"/>
      <c r="R40" s="2"/>
      <c r="S40" s="11" t="e">
        <f>SUM(D79+I79+D82+I82+'8.Önk.'!#REF!)</f>
        <v>#REF!</v>
      </c>
      <c r="T40" s="11" t="e">
        <f>SUM(P40:S40)</f>
        <v>#REF!</v>
      </c>
      <c r="U40" s="11" t="e">
        <f>SUM(I40+T40)</f>
        <v>#REF!</v>
      </c>
      <c r="V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8" customHeight="1" x14ac:dyDescent="0.2">
      <c r="A41" s="14"/>
      <c r="B41" s="24" t="s">
        <v>356</v>
      </c>
      <c r="C41" s="149">
        <f t="shared" ref="C41:H41" si="11">SUM(C42+C47+C67)</f>
        <v>115700</v>
      </c>
      <c r="D41" s="149">
        <f t="shared" si="11"/>
        <v>62555</v>
      </c>
      <c r="E41" s="149">
        <f t="shared" si="11"/>
        <v>136991</v>
      </c>
      <c r="F41" s="149">
        <f t="shared" si="11"/>
        <v>137464</v>
      </c>
      <c r="G41" s="149">
        <f t="shared" si="11"/>
        <v>104259</v>
      </c>
      <c r="H41" s="149">
        <f t="shared" si="11"/>
        <v>0</v>
      </c>
      <c r="I41" s="949" t="e">
        <f>SUM(I40+P40)</f>
        <v>#REF!</v>
      </c>
      <c r="J41" s="949"/>
      <c r="K41" s="949"/>
      <c r="L41" s="949"/>
      <c r="M41" s="949"/>
      <c r="N41" s="949"/>
      <c r="O41" s="949"/>
      <c r="P41" s="949"/>
      <c r="Q41" s="2"/>
      <c r="R41" s="2"/>
      <c r="S41" s="8"/>
      <c r="T41" s="8"/>
      <c r="U41" s="8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4.25" x14ac:dyDescent="0.2">
      <c r="A42" s="14"/>
      <c r="B42" s="24" t="s">
        <v>360</v>
      </c>
      <c r="C42" s="149">
        <f>SUM(C43:C45)</f>
        <v>11441</v>
      </c>
      <c r="D42" s="149">
        <f>SUM(D45:D46)</f>
        <v>0</v>
      </c>
      <c r="E42" s="149">
        <f>SUM(E43:E45)</f>
        <v>20326</v>
      </c>
      <c r="F42" s="149">
        <f>SUM(F43:F45)</f>
        <v>20326</v>
      </c>
      <c r="G42" s="149">
        <f>SUM(G43:G43)</f>
        <v>0</v>
      </c>
      <c r="H42" s="149">
        <f>H43</f>
        <v>0</v>
      </c>
      <c r="I42" s="165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3.5" hidden="1" customHeight="1" x14ac:dyDescent="0.2">
      <c r="A43" s="14"/>
      <c r="B43" s="19" t="s">
        <v>796</v>
      </c>
      <c r="C43" s="11">
        <v>11441</v>
      </c>
      <c r="D43" s="11">
        <v>0</v>
      </c>
      <c r="E43" s="11">
        <v>0</v>
      </c>
      <c r="F43" s="11">
        <v>0</v>
      </c>
      <c r="G43" s="11">
        <v>0</v>
      </c>
      <c r="H43" s="13">
        <v>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3.5" hidden="1" customHeight="1" x14ac:dyDescent="0.2">
      <c r="A44" s="14"/>
      <c r="B44" s="8" t="s">
        <v>835</v>
      </c>
      <c r="C44" s="11">
        <v>0</v>
      </c>
      <c r="D44" s="11">
        <v>0</v>
      </c>
      <c r="E44" s="11">
        <v>11995</v>
      </c>
      <c r="F44" s="11">
        <v>11995</v>
      </c>
      <c r="G44" s="11"/>
      <c r="H44" s="1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3.5" hidden="1" customHeight="1" x14ac:dyDescent="0.2">
      <c r="A45" s="14"/>
      <c r="B45" s="8" t="s">
        <v>836</v>
      </c>
      <c r="C45" s="11">
        <v>0</v>
      </c>
      <c r="D45" s="11">
        <v>0</v>
      </c>
      <c r="E45" s="11">
        <v>8331</v>
      </c>
      <c r="F45" s="11">
        <v>8331</v>
      </c>
      <c r="G45" s="11"/>
      <c r="H45" s="1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3.5" customHeight="1" x14ac:dyDescent="0.2">
      <c r="A46" s="14"/>
      <c r="B46" s="8"/>
      <c r="C46" s="11"/>
      <c r="D46" s="11"/>
      <c r="E46" s="11"/>
      <c r="F46" s="11"/>
      <c r="G46" s="11"/>
      <c r="H46" s="1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ht="13.5" customHeight="1" x14ac:dyDescent="0.2">
      <c r="A47" s="14"/>
      <c r="B47" s="14" t="s">
        <v>359</v>
      </c>
      <c r="C47" s="5">
        <f t="shared" ref="C47:H47" si="12">SUM(C48:C59)</f>
        <v>26059</v>
      </c>
      <c r="D47" s="5">
        <f>SUM(D60:D66)</f>
        <v>62555</v>
      </c>
      <c r="E47" s="5">
        <f>SUM(E48:E59)</f>
        <v>38465</v>
      </c>
      <c r="F47" s="5">
        <f>SUM(F48:F59)</f>
        <v>38938</v>
      </c>
      <c r="G47" s="5">
        <f t="shared" si="12"/>
        <v>26059</v>
      </c>
      <c r="H47" s="5">
        <f t="shared" si="12"/>
        <v>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hidden="1" x14ac:dyDescent="0.2">
      <c r="A48" s="14"/>
      <c r="B48" s="8" t="s">
        <v>482</v>
      </c>
      <c r="C48" s="13">
        <v>22000</v>
      </c>
      <c r="D48" s="13"/>
      <c r="E48" s="13">
        <f>22000+12-4680</f>
        <v>17332</v>
      </c>
      <c r="F48" s="13">
        <f>22000+12-4680</f>
        <v>17332</v>
      </c>
      <c r="G48" s="506">
        <v>22000</v>
      </c>
      <c r="H48" s="1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idden="1" x14ac:dyDescent="0.2">
      <c r="A49" s="14"/>
      <c r="B49" s="8" t="s">
        <v>797</v>
      </c>
      <c r="C49" s="13">
        <v>850</v>
      </c>
      <c r="D49" s="13"/>
      <c r="E49" s="13">
        <v>850</v>
      </c>
      <c r="F49" s="13">
        <f>850+120</f>
        <v>970</v>
      </c>
      <c r="G49" s="506">
        <v>850</v>
      </c>
      <c r="H49" s="11"/>
      <c r="I49" s="7">
        <f>F49-E49</f>
        <v>120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idden="1" x14ac:dyDescent="0.2">
      <c r="A50" s="14"/>
      <c r="B50" s="8" t="s">
        <v>798</v>
      </c>
      <c r="C50" s="13">
        <v>709</v>
      </c>
      <c r="D50" s="13"/>
      <c r="E50" s="13">
        <v>709</v>
      </c>
      <c r="F50" s="13">
        <v>709</v>
      </c>
      <c r="G50" s="506">
        <v>709</v>
      </c>
      <c r="H50" s="11"/>
      <c r="I50" s="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hidden="1" x14ac:dyDescent="0.2">
      <c r="A51" s="14"/>
      <c r="B51" s="8" t="s">
        <v>484</v>
      </c>
      <c r="C51" s="13">
        <v>2500</v>
      </c>
      <c r="D51" s="13"/>
      <c r="E51" s="13">
        <f>2500+500</f>
        <v>3000</v>
      </c>
      <c r="F51" s="13">
        <f>2500+500</f>
        <v>3000</v>
      </c>
      <c r="G51" s="506">
        <v>2500</v>
      </c>
      <c r="H51" s="11"/>
      <c r="I51" s="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idden="1" x14ac:dyDescent="0.2">
      <c r="A52" s="14"/>
      <c r="B52" s="19" t="s">
        <v>830</v>
      </c>
      <c r="C52" s="13">
        <v>0</v>
      </c>
      <c r="D52" s="13"/>
      <c r="E52" s="13">
        <v>11441</v>
      </c>
      <c r="F52" s="13">
        <v>11441</v>
      </c>
      <c r="G52" s="506"/>
      <c r="H52" s="11"/>
      <c r="I52" s="7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idden="1" x14ac:dyDescent="0.2">
      <c r="A53" s="14"/>
      <c r="B53" s="8" t="s">
        <v>833</v>
      </c>
      <c r="C53" s="13">
        <v>0</v>
      </c>
      <c r="D53" s="13">
        <v>0</v>
      </c>
      <c r="E53" s="13">
        <v>573</v>
      </c>
      <c r="F53" s="13">
        <v>573</v>
      </c>
      <c r="G53" s="506"/>
      <c r="H53" s="11"/>
      <c r="I53" s="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hidden="1" x14ac:dyDescent="0.2">
      <c r="A54" s="14"/>
      <c r="B54" s="8" t="s">
        <v>834</v>
      </c>
      <c r="C54" s="13">
        <v>0</v>
      </c>
      <c r="D54" s="13">
        <v>0</v>
      </c>
      <c r="E54" s="13">
        <v>3747</v>
      </c>
      <c r="F54" s="13">
        <v>3747</v>
      </c>
      <c r="G54" s="506"/>
      <c r="H54" s="11"/>
      <c r="I54" s="7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hidden="1" x14ac:dyDescent="0.2">
      <c r="A55" s="14"/>
      <c r="B55" s="8" t="s">
        <v>839</v>
      </c>
      <c r="C55" s="13">
        <v>0</v>
      </c>
      <c r="D55" s="13">
        <v>0</v>
      </c>
      <c r="E55" s="13">
        <v>114</v>
      </c>
      <c r="F55" s="13">
        <v>114</v>
      </c>
      <c r="G55" s="506"/>
      <c r="H55" s="11"/>
      <c r="I55" s="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hidden="1" x14ac:dyDescent="0.2">
      <c r="A56" s="14"/>
      <c r="B56" s="8" t="s">
        <v>850</v>
      </c>
      <c r="C56" s="13">
        <v>0</v>
      </c>
      <c r="D56" s="13">
        <v>0</v>
      </c>
      <c r="E56" s="13">
        <v>298</v>
      </c>
      <c r="F56" s="13">
        <v>298</v>
      </c>
      <c r="G56" s="506"/>
      <c r="H56" s="11"/>
      <c r="I56" s="7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hidden="1" x14ac:dyDescent="0.2">
      <c r="A57" s="14"/>
      <c r="B57" s="8" t="s">
        <v>840</v>
      </c>
      <c r="C57" s="13">
        <v>0</v>
      </c>
      <c r="D57" s="13">
        <v>0</v>
      </c>
      <c r="E57" s="13">
        <v>401</v>
      </c>
      <c r="F57" s="13">
        <v>401</v>
      </c>
      <c r="G57" s="506"/>
      <c r="H57" s="11"/>
      <c r="I57" s="7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hidden="1" x14ac:dyDescent="0.2">
      <c r="A58" s="14"/>
      <c r="B58" s="8" t="s">
        <v>849</v>
      </c>
      <c r="C58" s="13">
        <v>0</v>
      </c>
      <c r="D58" s="13">
        <v>0</v>
      </c>
      <c r="E58" s="13">
        <v>0</v>
      </c>
      <c r="F58" s="13">
        <v>237</v>
      </c>
      <c r="G58" s="13">
        <v>0</v>
      </c>
      <c r="H58" s="13">
        <v>0</v>
      </c>
      <c r="I58" s="7">
        <f>F58-E58</f>
        <v>237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hidden="1" x14ac:dyDescent="0.2">
      <c r="A59" s="14"/>
      <c r="B59" s="19" t="s">
        <v>851</v>
      </c>
      <c r="C59" s="13">
        <v>0</v>
      </c>
      <c r="D59" s="13">
        <v>0</v>
      </c>
      <c r="E59" s="13">
        <v>0</v>
      </c>
      <c r="F59" s="13">
        <v>116</v>
      </c>
      <c r="G59" s="13">
        <v>0</v>
      </c>
      <c r="H59" s="13">
        <v>0</v>
      </c>
      <c r="I59" s="7">
        <f>F59-E59</f>
        <v>116</v>
      </c>
      <c r="J59" s="2"/>
      <c r="K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x14ac:dyDescent="0.2">
      <c r="A60" s="14"/>
      <c r="B60" s="554" t="s">
        <v>880</v>
      </c>
      <c r="C60" s="13"/>
      <c r="D60" s="552">
        <v>26000</v>
      </c>
      <c r="E60" s="13"/>
      <c r="F60" s="13"/>
      <c r="G60" s="13"/>
      <c r="H60" s="13"/>
      <c r="I60" s="553">
        <v>-10000</v>
      </c>
      <c r="J60" s="2"/>
      <c r="K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x14ac:dyDescent="0.2">
      <c r="A61" s="14"/>
      <c r="B61" s="19" t="s">
        <v>881</v>
      </c>
      <c r="C61" s="13"/>
      <c r="D61" s="264">
        <v>10800</v>
      </c>
      <c r="E61" s="13"/>
      <c r="F61" s="13"/>
      <c r="G61" s="13"/>
      <c r="H61" s="13"/>
      <c r="I61" s="553"/>
      <c r="J61" s="2"/>
      <c r="K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x14ac:dyDescent="0.2">
      <c r="A62" s="14"/>
      <c r="B62" s="19" t="s">
        <v>882</v>
      </c>
      <c r="C62" s="13"/>
      <c r="D62" s="264"/>
      <c r="E62" s="13"/>
      <c r="F62" s="13"/>
      <c r="G62" s="13"/>
      <c r="H62" s="13"/>
      <c r="I62" s="553">
        <v>-13200</v>
      </c>
      <c r="J62" s="2"/>
      <c r="K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x14ac:dyDescent="0.2">
      <c r="A63" s="14"/>
      <c r="B63" s="19" t="s">
        <v>894</v>
      </c>
      <c r="C63" s="13"/>
      <c r="D63" s="264">
        <v>3200</v>
      </c>
      <c r="E63" s="13"/>
      <c r="F63" s="13"/>
      <c r="G63" s="13"/>
      <c r="H63" s="13"/>
      <c r="I63" s="553"/>
      <c r="J63" s="2"/>
      <c r="K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x14ac:dyDescent="0.2">
      <c r="A64" s="14"/>
      <c r="B64" s="554" t="s">
        <v>883</v>
      </c>
      <c r="C64" s="13"/>
      <c r="D64" s="264">
        <v>18745</v>
      </c>
      <c r="E64" s="13"/>
      <c r="F64" s="13"/>
      <c r="G64" s="13"/>
      <c r="H64" s="13"/>
      <c r="I64" s="7"/>
      <c r="J64" s="2"/>
      <c r="K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2">
      <c r="A65" s="14"/>
      <c r="B65" s="19" t="s">
        <v>890</v>
      </c>
      <c r="C65" s="13"/>
      <c r="D65" s="264">
        <v>3810</v>
      </c>
      <c r="E65" s="13"/>
      <c r="F65" s="13"/>
      <c r="G65" s="13"/>
      <c r="H65" s="13"/>
      <c r="I65" s="7"/>
      <c r="J65" s="2"/>
      <c r="K65" s="2"/>
      <c r="M65" s="2"/>
      <c r="N65" s="2"/>
      <c r="O65" s="2"/>
      <c r="P65" s="2">
        <v>15.6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">
      <c r="A66" s="14"/>
      <c r="B66" s="19"/>
      <c r="C66" s="13"/>
      <c r="D66" s="13"/>
      <c r="E66" s="13"/>
      <c r="F66" s="13"/>
      <c r="G66" s="13"/>
      <c r="H66" s="13"/>
      <c r="I66" s="7"/>
      <c r="J66" s="2"/>
      <c r="K66" s="2"/>
      <c r="M66" s="2"/>
      <c r="N66" s="2"/>
      <c r="O66" s="2"/>
      <c r="P66" s="2">
        <v>86.7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">
      <c r="A67" s="14"/>
      <c r="B67" s="14" t="s">
        <v>799</v>
      </c>
      <c r="C67" s="5">
        <v>78200</v>
      </c>
      <c r="D67" s="5"/>
      <c r="E67" s="5">
        <v>78200</v>
      </c>
      <c r="F67" s="5">
        <v>78200</v>
      </c>
      <c r="G67" s="5">
        <v>78200</v>
      </c>
      <c r="H67" s="13"/>
      <c r="I67" s="2"/>
      <c r="J67" s="2"/>
      <c r="K67" s="2"/>
      <c r="L67" s="2"/>
      <c r="M67" s="2"/>
      <c r="N67" s="2"/>
      <c r="O67" s="2"/>
      <c r="P67" s="7">
        <v>502.4</v>
      </c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13.5" customHeight="1" x14ac:dyDescent="0.2">
      <c r="A68" s="14"/>
      <c r="B68" s="14" t="s">
        <v>399</v>
      </c>
      <c r="C68" s="5" t="e">
        <f>SUM(C69)</f>
        <v>#REF!</v>
      </c>
      <c r="D68" s="5">
        <f>SUM(D69)</f>
        <v>1000</v>
      </c>
      <c r="E68" s="5">
        <f>SUM(E69)</f>
        <v>1000</v>
      </c>
      <c r="F68" s="5">
        <f>SUM(F69)</f>
        <v>1000</v>
      </c>
      <c r="G68" s="5">
        <f>SUM(G69)</f>
        <v>1000</v>
      </c>
      <c r="H68" s="5">
        <f>SUM(H69:H76)</f>
        <v>0</v>
      </c>
      <c r="I68" s="2"/>
      <c r="J68" s="2"/>
      <c r="K68" s="2"/>
      <c r="L68" s="2"/>
      <c r="M68" s="2"/>
      <c r="N68" s="2"/>
      <c r="O68" s="2"/>
      <c r="P68" s="2">
        <f>SUM(P65:P67)</f>
        <v>604.69999999999993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3.5" customHeight="1" x14ac:dyDescent="0.2">
      <c r="A69" s="14"/>
      <c r="B69" s="8" t="s">
        <v>858</v>
      </c>
      <c r="C69" s="13" t="e">
        <f>'9.Hivatal'!#REF!</f>
        <v>#REF!</v>
      </c>
      <c r="D69" s="264">
        <f>SUM('9.Hivatal'!R88)</f>
        <v>1000</v>
      </c>
      <c r="E69" s="13">
        <f>'9.Hivatal'!R86</f>
        <v>1000</v>
      </c>
      <c r="F69" s="13">
        <f>'9.Hivatal'!S86</f>
        <v>1000</v>
      </c>
      <c r="G69" s="13">
        <f>'9.Hivatal'!U86</f>
        <v>1000</v>
      </c>
      <c r="H69" s="1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idden="1" x14ac:dyDescent="0.2">
      <c r="A70" s="14"/>
      <c r="B70" s="8"/>
      <c r="C70" s="13"/>
      <c r="D70" s="13"/>
      <c r="E70" s="13"/>
      <c r="F70" s="13"/>
      <c r="G70" s="13"/>
      <c r="H70" s="1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idden="1" x14ac:dyDescent="0.2">
      <c r="A71" s="14"/>
      <c r="B71" s="8"/>
      <c r="C71" s="13"/>
      <c r="D71" s="13"/>
      <c r="E71" s="13"/>
      <c r="F71" s="13"/>
      <c r="G71" s="13"/>
      <c r="H71" s="1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idden="1" x14ac:dyDescent="0.2">
      <c r="A72" s="14"/>
      <c r="B72" s="8"/>
      <c r="C72" s="13"/>
      <c r="D72" s="13"/>
      <c r="E72" s="13"/>
      <c r="F72" s="13"/>
      <c r="G72" s="13"/>
      <c r="H72" s="1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idden="1" x14ac:dyDescent="0.2">
      <c r="A73" s="14"/>
      <c r="B73" s="8"/>
      <c r="C73" s="13"/>
      <c r="D73" s="13"/>
      <c r="E73" s="13"/>
      <c r="F73" s="13"/>
      <c r="G73" s="13"/>
      <c r="H73" s="1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idden="1" x14ac:dyDescent="0.2">
      <c r="A74" s="14"/>
      <c r="B74" s="169"/>
      <c r="C74" s="49"/>
      <c r="D74" s="49"/>
      <c r="E74" s="49"/>
      <c r="F74" s="49"/>
      <c r="G74" s="49"/>
      <c r="H74" s="49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idden="1" x14ac:dyDescent="0.2">
      <c r="A75" s="14"/>
      <c r="B75" s="8"/>
      <c r="C75" s="49"/>
      <c r="D75" s="49"/>
      <c r="E75" s="49"/>
      <c r="F75" s="49"/>
      <c r="G75" s="49"/>
      <c r="H75" s="49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2">
      <c r="A76" s="14"/>
      <c r="B76" s="8"/>
      <c r="C76" s="49"/>
      <c r="D76" s="49"/>
      <c r="E76" s="49"/>
      <c r="F76" s="49"/>
      <c r="G76" s="49"/>
      <c r="H76" s="49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ht="18" customHeight="1" x14ac:dyDescent="0.25">
      <c r="A77" s="14" t="s">
        <v>370</v>
      </c>
      <c r="B77" s="23" t="s">
        <v>1</v>
      </c>
      <c r="C77" s="160">
        <f>SUM(C78+C85)</f>
        <v>512995</v>
      </c>
      <c r="D77" s="160">
        <f>SUM(D78+D85)</f>
        <v>1002842</v>
      </c>
      <c r="E77" s="160">
        <f>SUM(E78+E85)</f>
        <v>552629</v>
      </c>
      <c r="F77" s="160">
        <f>SUM(F78+F85)</f>
        <v>535599</v>
      </c>
      <c r="G77" s="160">
        <f>SUM(G78+G85)</f>
        <v>512995</v>
      </c>
      <c r="H77" s="160">
        <f>SUM(H78+H86)</f>
        <v>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ht="13.5" customHeight="1" x14ac:dyDescent="0.2">
      <c r="A78" s="14"/>
      <c r="B78" s="14" t="s">
        <v>2</v>
      </c>
      <c r="C78" s="149">
        <f t="shared" ref="C78:H78" si="13">SUM(C79:C82)</f>
        <v>511995</v>
      </c>
      <c r="D78" s="149">
        <f t="shared" si="13"/>
        <v>612402</v>
      </c>
      <c r="E78" s="149">
        <f t="shared" si="13"/>
        <v>529053</v>
      </c>
      <c r="F78" s="149">
        <f t="shared" si="13"/>
        <v>514393</v>
      </c>
      <c r="G78" s="149">
        <f t="shared" si="13"/>
        <v>511995</v>
      </c>
      <c r="H78" s="149">
        <f t="shared" si="13"/>
        <v>0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ht="13.5" customHeight="1" x14ac:dyDescent="0.2">
      <c r="A79" s="14"/>
      <c r="B79" s="20" t="s">
        <v>879</v>
      </c>
      <c r="C79" s="11">
        <f>'13.2.EU projekt részletesen'!M15/1000</f>
        <v>212795</v>
      </c>
      <c r="D79" s="535">
        <v>126690</v>
      </c>
      <c r="E79" s="11">
        <f>212795</f>
        <v>212795</v>
      </c>
      <c r="F79" s="11">
        <f>212795-14660</f>
        <v>198135</v>
      </c>
      <c r="G79" s="11">
        <v>212795</v>
      </c>
      <c r="H79" s="11"/>
      <c r="I79" s="29">
        <f>SUM(D79*0.27)</f>
        <v>34206.300000000003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ht="13.5" customHeight="1" x14ac:dyDescent="0.2">
      <c r="A80" s="14"/>
      <c r="B80" s="20" t="s">
        <v>874</v>
      </c>
      <c r="C80" s="11">
        <v>0</v>
      </c>
      <c r="D80" s="535">
        <v>13431</v>
      </c>
      <c r="E80" s="11">
        <v>17058</v>
      </c>
      <c r="F80" s="11">
        <v>17058</v>
      </c>
      <c r="G80" s="11"/>
      <c r="H80" s="11"/>
      <c r="I80" s="29">
        <f>SUM(D80*0.27)</f>
        <v>3626.3700000000003</v>
      </c>
      <c r="J80" s="2"/>
      <c r="K80" s="2"/>
      <c r="L80" s="2"/>
      <c r="M80" s="2"/>
      <c r="N80" s="2"/>
      <c r="O80" s="2"/>
      <c r="P80" s="2"/>
      <c r="Q80" s="7">
        <v>180986</v>
      </c>
      <c r="R80" s="7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ht="13.5" customHeight="1" x14ac:dyDescent="0.2">
      <c r="A81" s="14"/>
      <c r="B81" s="20" t="s">
        <v>893</v>
      </c>
      <c r="C81" s="11"/>
      <c r="D81" s="535">
        <v>1100</v>
      </c>
      <c r="E81" s="11"/>
      <c r="F81" s="11"/>
      <c r="G81" s="11"/>
      <c r="H81" s="11"/>
      <c r="I81" s="29">
        <f>SUM(D81*0.27)</f>
        <v>297</v>
      </c>
      <c r="J81" s="2"/>
      <c r="K81" s="2"/>
      <c r="L81" s="2"/>
      <c r="M81" s="2"/>
      <c r="N81" s="2"/>
      <c r="O81" s="2"/>
      <c r="P81" s="2"/>
      <c r="Q81" s="7"/>
      <c r="R81" s="7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ht="13.5" customHeight="1" x14ac:dyDescent="0.2">
      <c r="A82" s="14"/>
      <c r="B82" s="8" t="s">
        <v>896</v>
      </c>
      <c r="C82" s="11">
        <f>'13.2.EU projekt részletesen'!D15/1000/2</f>
        <v>299200</v>
      </c>
      <c r="D82" s="535">
        <v>471181</v>
      </c>
      <c r="E82" s="11">
        <v>299200</v>
      </c>
      <c r="F82" s="11">
        <v>299200</v>
      </c>
      <c r="G82" s="11">
        <v>299200</v>
      </c>
      <c r="H82" s="11"/>
      <c r="I82" s="29">
        <f>SUM(D82*0.27)</f>
        <v>127218.87000000001</v>
      </c>
      <c r="J82" s="2"/>
      <c r="K82" s="2"/>
      <c r="L82" s="2"/>
      <c r="M82" s="2"/>
      <c r="N82" s="2"/>
      <c r="O82" s="2"/>
      <c r="P82" s="2"/>
      <c r="Q82" s="7">
        <v>54296</v>
      </c>
      <c r="R82" s="7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ht="13.5" customHeight="1" x14ac:dyDescent="0.2">
      <c r="A83" s="14"/>
      <c r="B83" s="8" t="s">
        <v>897</v>
      </c>
      <c r="C83" s="11"/>
      <c r="D83" s="535">
        <f>(60000/1.27)</f>
        <v>47244.094488188974</v>
      </c>
      <c r="E83" s="11"/>
      <c r="F83" s="11"/>
      <c r="G83" s="11"/>
      <c r="H83" s="11"/>
      <c r="I83" s="29">
        <f>SUM(D83*0.27)</f>
        <v>12755.905511811025</v>
      </c>
      <c r="J83" s="2"/>
      <c r="K83" s="2"/>
      <c r="L83" s="2"/>
      <c r="M83" s="2"/>
      <c r="N83" s="2"/>
      <c r="O83" s="2"/>
      <c r="P83" s="2" t="s">
        <v>898</v>
      </c>
      <c r="Q83" s="7"/>
      <c r="R83" s="7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3.5" customHeight="1" x14ac:dyDescent="0.2">
      <c r="A84" s="14"/>
      <c r="B84" s="8"/>
      <c r="C84" s="11"/>
      <c r="D84" s="11"/>
      <c r="E84" s="11"/>
      <c r="F84" s="11"/>
      <c r="G84" s="11"/>
      <c r="H84" s="11"/>
      <c r="I84" s="7"/>
      <c r="J84" s="2"/>
      <c r="K84" s="2"/>
      <c r="L84" s="2"/>
      <c r="M84" s="2"/>
      <c r="N84" s="2"/>
      <c r="O84" s="2"/>
      <c r="P84" s="2"/>
      <c r="Q84" s="7">
        <f>(Q80-Q82)</f>
        <v>126690</v>
      </c>
      <c r="R84" s="7">
        <f>(Q84*0.27)</f>
        <v>34206.300000000003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3.5" customHeight="1" x14ac:dyDescent="0.2">
      <c r="A85" s="14"/>
      <c r="B85" s="14" t="s">
        <v>357</v>
      </c>
      <c r="C85" s="149">
        <f>SUM(C86:C92)</f>
        <v>1000</v>
      </c>
      <c r="D85" s="149">
        <f>SUM(D86:D92)</f>
        <v>390440</v>
      </c>
      <c r="E85" s="149">
        <f>SUM(E86:E92)</f>
        <v>23576</v>
      </c>
      <c r="F85" s="149">
        <f>SUM(F86:F92)</f>
        <v>21206</v>
      </c>
      <c r="G85" s="149">
        <f>SUM(G86:G87)</f>
        <v>1000</v>
      </c>
      <c r="H85" s="149">
        <f>SUM(H86:H87)</f>
        <v>0</v>
      </c>
      <c r="I85" s="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x14ac:dyDescent="0.2">
      <c r="A86" s="14"/>
      <c r="B86" s="8" t="s">
        <v>866</v>
      </c>
      <c r="C86" s="13">
        <v>1000</v>
      </c>
      <c r="D86" s="264">
        <v>1000</v>
      </c>
      <c r="E86" s="13">
        <v>1000</v>
      </c>
      <c r="F86" s="13">
        <v>1000</v>
      </c>
      <c r="G86" s="13">
        <v>1000</v>
      </c>
      <c r="H86" s="13"/>
      <c r="I86" s="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x14ac:dyDescent="0.2">
      <c r="A87" s="8"/>
      <c r="B87" s="8" t="s">
        <v>887</v>
      </c>
      <c r="C87" s="13">
        <v>0</v>
      </c>
      <c r="D87" s="264">
        <v>16140</v>
      </c>
      <c r="E87" s="13">
        <f>30000-7703</f>
        <v>22297</v>
      </c>
      <c r="F87" s="13">
        <f>30000-7703-2370</f>
        <v>19927</v>
      </c>
      <c r="G87" s="13"/>
      <c r="H87" s="13"/>
      <c r="I87" s="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x14ac:dyDescent="0.2">
      <c r="A88" s="8"/>
      <c r="B88" s="554" t="s">
        <v>884</v>
      </c>
      <c r="C88" s="13">
        <v>0</v>
      </c>
      <c r="D88" s="264">
        <v>6900</v>
      </c>
      <c r="E88" s="13">
        <v>279</v>
      </c>
      <c r="F88" s="13">
        <v>279</v>
      </c>
      <c r="G88" s="13"/>
      <c r="H88" s="1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x14ac:dyDescent="0.2">
      <c r="A89" s="8"/>
      <c r="B89" s="8" t="s">
        <v>885</v>
      </c>
      <c r="C89" s="13"/>
      <c r="D89" s="264">
        <v>3500</v>
      </c>
      <c r="E89" s="13"/>
      <c r="F89" s="13"/>
      <c r="G89" s="13"/>
      <c r="H89" s="1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x14ac:dyDescent="0.2">
      <c r="A90" s="8"/>
      <c r="B90" s="554" t="s">
        <v>895</v>
      </c>
      <c r="C90" s="13"/>
      <c r="D90" s="264">
        <v>17500</v>
      </c>
      <c r="E90" s="13"/>
      <c r="F90" s="13"/>
      <c r="G90" s="13"/>
      <c r="H90" s="1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x14ac:dyDescent="0.2">
      <c r="A91" s="8"/>
      <c r="B91" s="8" t="s">
        <v>886</v>
      </c>
      <c r="C91" s="13"/>
      <c r="D91" s="264">
        <v>345400</v>
      </c>
      <c r="E91" s="13"/>
      <c r="F91" s="13"/>
      <c r="G91" s="13"/>
      <c r="H91" s="1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x14ac:dyDescent="0.2">
      <c r="A92" s="8"/>
      <c r="B92" s="169"/>
      <c r="C92" s="167"/>
      <c r="D92" s="167"/>
      <c r="E92" s="167"/>
      <c r="F92" s="167"/>
      <c r="G92" s="167"/>
      <c r="H92" s="167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5" x14ac:dyDescent="0.25">
      <c r="A93" s="14" t="s">
        <v>369</v>
      </c>
      <c r="B93" s="23" t="s">
        <v>13</v>
      </c>
      <c r="C93" s="42" t="e">
        <f t="shared" ref="C93:H93" si="14">C94</f>
        <v>#REF!</v>
      </c>
      <c r="D93" s="42">
        <f t="shared" si="14"/>
        <v>0</v>
      </c>
      <c r="E93" s="42" t="e">
        <f t="shared" si="14"/>
        <v>#REF!</v>
      </c>
      <c r="F93" s="42" t="e">
        <f t="shared" si="14"/>
        <v>#REF!</v>
      </c>
      <c r="G93" s="42" t="e">
        <f t="shared" si="14"/>
        <v>#REF!</v>
      </c>
      <c r="H93" s="42" t="e">
        <f t="shared" si="14"/>
        <v>#REF!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3.5" customHeight="1" x14ac:dyDescent="0.2">
      <c r="A94" s="14"/>
      <c r="B94" s="14" t="s">
        <v>800</v>
      </c>
      <c r="C94" s="5" t="e">
        <f>SUM(#REF!)</f>
        <v>#REF!</v>
      </c>
      <c r="D94" s="5"/>
      <c r="E94" s="5" t="e">
        <f>SUM(#REF!)</f>
        <v>#REF!</v>
      </c>
      <c r="F94" s="5" t="e">
        <f>SUM(#REF!)</f>
        <v>#REF!</v>
      </c>
      <c r="G94" s="5" t="e">
        <f>SUM(#REF!)</f>
        <v>#REF!</v>
      </c>
      <c r="H94" s="5" t="e">
        <f>SUM(#REF!)</f>
        <v>#REF!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x14ac:dyDescent="0.2">
      <c r="A95" s="14"/>
      <c r="B95" s="8"/>
      <c r="C95" s="13"/>
      <c r="D95" s="13"/>
      <c r="E95" s="13"/>
      <c r="F95" s="13"/>
      <c r="G95" s="13"/>
      <c r="H95" s="1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5.75" x14ac:dyDescent="0.25">
      <c r="A96" s="14"/>
      <c r="B96" s="18" t="s">
        <v>424</v>
      </c>
      <c r="C96" s="42">
        <f>SUM(C97:C97)</f>
        <v>250000</v>
      </c>
      <c r="D96" s="42">
        <f>SUM(D97:D99)</f>
        <v>0</v>
      </c>
      <c r="E96" s="42">
        <f>SUM(E97:E99)</f>
        <v>252561</v>
      </c>
      <c r="F96" s="42">
        <f>SUM(F97:F99)</f>
        <v>264088</v>
      </c>
      <c r="G96" s="42">
        <f>SUM(G97:G97)</f>
        <v>250000</v>
      </c>
      <c r="H96" s="42">
        <f>SUM(H97:H97)</f>
        <v>0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ht="13.5" customHeight="1" x14ac:dyDescent="0.2">
      <c r="A97" s="14"/>
      <c r="B97" s="20" t="s">
        <v>865</v>
      </c>
      <c r="C97" s="178">
        <v>250000</v>
      </c>
      <c r="D97" s="178"/>
      <c r="E97" s="178">
        <v>250000</v>
      </c>
      <c r="F97" s="178">
        <v>250000</v>
      </c>
      <c r="G97" s="178">
        <v>250000</v>
      </c>
      <c r="H97" s="178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ht="13.5" customHeight="1" x14ac:dyDescent="0.2">
      <c r="A98" s="14"/>
      <c r="B98" s="20"/>
      <c r="C98" s="178">
        <v>0</v>
      </c>
      <c r="D98" s="178"/>
      <c r="E98" s="178">
        <f>-6325-500+1144+1056+5000-573+3851-813-279</f>
        <v>2561</v>
      </c>
      <c r="F98" s="178">
        <f>-6325-500+1144+1056+5000-573+3851-813-279+12000-473</f>
        <v>14088</v>
      </c>
      <c r="G98" s="178"/>
      <c r="H98" s="178"/>
      <c r="I98" s="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ht="13.5" hidden="1" customHeight="1" x14ac:dyDescent="0.2">
      <c r="A99" s="14"/>
      <c r="B99" s="230"/>
      <c r="C99" s="178"/>
      <c r="D99" s="178"/>
      <c r="E99" s="178"/>
      <c r="F99" s="178"/>
      <c r="G99" s="178"/>
      <c r="H99" s="178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ht="13.5" hidden="1" customHeight="1" x14ac:dyDescent="0.2">
      <c r="A100" s="14"/>
      <c r="B100" s="230"/>
      <c r="C100" s="178"/>
      <c r="D100" s="178"/>
      <c r="E100" s="178"/>
      <c r="F100" s="178"/>
      <c r="G100" s="178"/>
      <c r="H100" s="178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ht="13.5" hidden="1" customHeight="1" x14ac:dyDescent="0.2">
      <c r="A101" s="14"/>
      <c r="B101" s="230"/>
      <c r="C101" s="178"/>
      <c r="D101" s="178"/>
      <c r="E101" s="178"/>
      <c r="F101" s="178"/>
      <c r="G101" s="178"/>
      <c r="H101" s="178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ht="15.75" x14ac:dyDescent="0.2">
      <c r="A102" s="14" t="s">
        <v>208</v>
      </c>
      <c r="B102" s="189" t="s">
        <v>358</v>
      </c>
      <c r="C102" s="190">
        <v>0</v>
      </c>
      <c r="D102" s="537">
        <f>SUM(D103+D106+D107)</f>
        <v>15600</v>
      </c>
      <c r="E102" s="190">
        <v>0</v>
      </c>
      <c r="F102" s="190">
        <v>0</v>
      </c>
      <c r="G102" s="190">
        <v>0</v>
      </c>
      <c r="H102" s="190">
        <v>0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5" customHeight="1" x14ac:dyDescent="0.2">
      <c r="A103" s="14"/>
      <c r="B103" s="191" t="s">
        <v>394</v>
      </c>
      <c r="C103" s="190"/>
      <c r="D103" s="538">
        <f>SUM(D105)</f>
        <v>15600</v>
      </c>
      <c r="E103" s="190"/>
      <c r="F103" s="190"/>
      <c r="G103" s="190"/>
      <c r="H103" s="190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3.5" hidden="1" customHeight="1" x14ac:dyDescent="0.2">
      <c r="A104" s="14"/>
      <c r="B104" s="226" t="s">
        <v>395</v>
      </c>
      <c r="C104" s="190"/>
      <c r="D104" s="190"/>
      <c r="E104" s="190"/>
      <c r="F104" s="190"/>
      <c r="G104" s="190"/>
      <c r="H104" s="190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3.5" customHeight="1" x14ac:dyDescent="0.2">
      <c r="A105" s="14"/>
      <c r="B105" s="226" t="s">
        <v>892</v>
      </c>
      <c r="C105" s="190"/>
      <c r="D105" s="83">
        <f>(10400+5200)</f>
        <v>15600</v>
      </c>
      <c r="E105" s="190"/>
      <c r="F105" s="190"/>
      <c r="G105" s="190"/>
      <c r="H105" s="190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5" customHeight="1" x14ac:dyDescent="0.2">
      <c r="A106" s="14"/>
      <c r="B106" s="191" t="s">
        <v>396</v>
      </c>
      <c r="C106" s="190"/>
      <c r="D106" s="190"/>
      <c r="E106" s="190"/>
      <c r="F106" s="190"/>
      <c r="G106" s="190"/>
      <c r="H106" s="190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5" customHeight="1" thickBot="1" x14ac:dyDescent="0.25">
      <c r="A107" s="22"/>
      <c r="B107" s="188" t="s">
        <v>397</v>
      </c>
      <c r="C107" s="177"/>
      <c r="D107" s="177"/>
      <c r="E107" s="177"/>
      <c r="F107" s="177"/>
      <c r="G107" s="177"/>
      <c r="H107" s="177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24" customHeight="1" thickBot="1" x14ac:dyDescent="0.4">
      <c r="A108" s="219"/>
      <c r="B108" s="254" t="s">
        <v>393</v>
      </c>
      <c r="C108" s="255" t="e">
        <f t="shared" ref="C108:H108" si="15">SUM(C39+C102)</f>
        <v>#REF!</v>
      </c>
      <c r="D108" s="256">
        <f t="shared" si="15"/>
        <v>1081997</v>
      </c>
      <c r="E108" s="540" t="e">
        <f t="shared" si="15"/>
        <v>#REF!</v>
      </c>
      <c r="F108" s="255" t="e">
        <f t="shared" si="15"/>
        <v>#REF!</v>
      </c>
      <c r="G108" s="255" t="e">
        <f t="shared" si="15"/>
        <v>#REF!</v>
      </c>
      <c r="H108" s="256" t="e">
        <f t="shared" si="15"/>
        <v>#REF!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customHeight="1" x14ac:dyDescent="0.2">
      <c r="B109" s="2"/>
      <c r="C109" s="7" t="e">
        <f t="shared" ref="C109:H109" si="16">SUM(C38-C108)</f>
        <v>#REF!</v>
      </c>
      <c r="D109" s="7">
        <f t="shared" si="16"/>
        <v>-89150</v>
      </c>
      <c r="E109" s="7" t="e">
        <f t="shared" si="16"/>
        <v>#REF!</v>
      </c>
      <c r="F109" s="7" t="e">
        <f t="shared" si="16"/>
        <v>#REF!</v>
      </c>
      <c r="G109" s="7" t="e">
        <f t="shared" si="16"/>
        <v>#REF!</v>
      </c>
      <c r="H109" s="7" t="e">
        <f t="shared" si="16"/>
        <v>#REF!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s="172" customFormat="1" ht="13.5" customHeight="1" x14ac:dyDescent="0.2">
      <c r="A110" s="90"/>
      <c r="D110" s="17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90"/>
    </row>
    <row r="111" spans="1:42" s="172" customFormat="1" ht="13.5" customHeight="1" x14ac:dyDescent="0.2">
      <c r="A111" s="90"/>
      <c r="B111" s="267"/>
      <c r="C111" s="37"/>
      <c r="D111" s="37"/>
      <c r="E111" s="37"/>
      <c r="F111" s="37"/>
      <c r="G111" s="37"/>
      <c r="H111" s="37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</row>
    <row r="112" spans="1:42" s="172" customFormat="1" ht="13.5" customHeight="1" x14ac:dyDescent="0.2">
      <c r="A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</row>
    <row r="113" spans="1:42" s="172" customFormat="1" ht="13.5" customHeight="1" x14ac:dyDescent="0.2">
      <c r="A113" s="90"/>
      <c r="D113" s="17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</row>
    <row r="114" spans="1:42" s="172" customFormat="1" ht="13.5" customHeight="1" x14ac:dyDescent="0.2">
      <c r="A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</row>
    <row r="115" spans="1:42" s="172" customFormat="1" ht="13.5" customHeight="1" x14ac:dyDescent="0.2">
      <c r="A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</row>
    <row r="116" spans="1:42" s="172" customFormat="1" ht="13.5" customHeight="1" x14ac:dyDescent="0.2">
      <c r="A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</row>
    <row r="117" spans="1:42" s="172" customFormat="1" ht="13.5" customHeight="1" x14ac:dyDescent="0.2">
      <c r="A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90"/>
    </row>
    <row r="118" spans="1:42" s="172" customFormat="1" ht="13.5" customHeight="1" x14ac:dyDescent="0.2">
      <c r="A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</row>
    <row r="119" spans="1:42" s="172" customFormat="1" ht="13.5" customHeight="1" x14ac:dyDescent="0.2">
      <c r="A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</row>
    <row r="120" spans="1:42" s="172" customFormat="1" ht="13.5" customHeight="1" x14ac:dyDescent="0.2">
      <c r="A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</row>
    <row r="121" spans="1:42" s="172" customFormat="1" ht="13.5" customHeight="1" x14ac:dyDescent="0.2">
      <c r="A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</row>
    <row r="122" spans="1:42" s="172" customFormat="1" ht="13.5" customHeight="1" x14ac:dyDescent="0.2">
      <c r="A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0"/>
      <c r="AP122" s="90"/>
    </row>
    <row r="123" spans="1:42" s="172" customFormat="1" ht="13.5" customHeight="1" x14ac:dyDescent="0.2">
      <c r="A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</row>
    <row r="124" spans="1:42" s="172" customFormat="1" ht="13.5" customHeight="1" x14ac:dyDescent="0.2">
      <c r="A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</row>
    <row r="125" spans="1:42" s="172" customFormat="1" ht="13.5" customHeight="1" x14ac:dyDescent="0.2">
      <c r="A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0"/>
      <c r="AP125" s="90"/>
    </row>
    <row r="126" spans="1:42" ht="15.75" customHeight="1" x14ac:dyDescent="0.2">
      <c r="B126" s="2"/>
      <c r="C126" s="194"/>
      <c r="D126" s="194"/>
      <c r="E126" s="194"/>
      <c r="F126" s="194"/>
      <c r="G126" s="194"/>
      <c r="H126" s="19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 x14ac:dyDescent="0.2">
      <c r="B127" s="2"/>
      <c r="C127" s="7"/>
      <c r="D127" s="7"/>
      <c r="E127" s="7"/>
      <c r="F127" s="7"/>
      <c r="G127" s="7"/>
      <c r="H127" s="7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 x14ac:dyDescent="0.2">
      <c r="B128" s="2"/>
      <c r="C128" s="7"/>
      <c r="D128" s="7"/>
      <c r="E128" s="7"/>
      <c r="F128" s="7"/>
      <c r="G128" s="7"/>
      <c r="H128" s="7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 x14ac:dyDescent="0.2">
      <c r="A13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 x14ac:dyDescent="0.2">
      <c r="A136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 x14ac:dyDescent="0.2">
      <c r="A13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 x14ac:dyDescent="0.2">
      <c r="A138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 x14ac:dyDescent="0.2">
      <c r="A139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 x14ac:dyDescent="0.2">
      <c r="A14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 x14ac:dyDescent="0.2">
      <c r="A14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 x14ac:dyDescent="0.2">
      <c r="A14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 x14ac:dyDescent="0.2">
      <c r="A14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 x14ac:dyDescent="0.2">
      <c r="A14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 x14ac:dyDescent="0.2">
      <c r="A14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 x14ac:dyDescent="0.2">
      <c r="A146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 x14ac:dyDescent="0.2">
      <c r="A14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 x14ac:dyDescent="0.2">
      <c r="A148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 x14ac:dyDescent="0.2">
      <c r="A149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 x14ac:dyDescent="0.2">
      <c r="A15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 x14ac:dyDescent="0.2">
      <c r="A15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 x14ac:dyDescent="0.2">
      <c r="A15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 x14ac:dyDescent="0.2">
      <c r="A15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 x14ac:dyDescent="0.2">
      <c r="A15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 x14ac:dyDescent="0.2">
      <c r="A15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 x14ac:dyDescent="0.2">
      <c r="A156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 x14ac:dyDescent="0.2">
      <c r="A157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 x14ac:dyDescent="0.2">
      <c r="A158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 x14ac:dyDescent="0.2">
      <c r="A159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 x14ac:dyDescent="0.2">
      <c r="A16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 x14ac:dyDescent="0.2">
      <c r="A16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 x14ac:dyDescent="0.2">
      <c r="A16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 x14ac:dyDescent="0.2">
      <c r="A16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 x14ac:dyDescent="0.2">
      <c r="A16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 x14ac:dyDescent="0.2">
      <c r="A16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 x14ac:dyDescent="0.2">
      <c r="A166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 x14ac:dyDescent="0.2">
      <c r="A167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 x14ac:dyDescent="0.2">
      <c r="A168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 x14ac:dyDescent="0.2">
      <c r="A169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 x14ac:dyDescent="0.2">
      <c r="A170"/>
      <c r="B170" s="2"/>
      <c r="C170" s="29"/>
      <c r="D170" s="29"/>
      <c r="E170" s="29"/>
      <c r="F170" s="29"/>
      <c r="G170" s="29"/>
      <c r="H170" s="29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 x14ac:dyDescent="0.2">
      <c r="A171"/>
      <c r="B171" s="2"/>
      <c r="C171" s="29"/>
      <c r="D171" s="29"/>
      <c r="E171" s="29"/>
      <c r="F171" s="29"/>
      <c r="G171" s="29"/>
      <c r="H171" s="29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 x14ac:dyDescent="0.2">
      <c r="A172"/>
      <c r="B172" s="2"/>
      <c r="C172" s="29"/>
      <c r="D172" s="29"/>
      <c r="E172" s="29"/>
      <c r="F172" s="29"/>
      <c r="G172" s="29"/>
      <c r="H172" s="29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 x14ac:dyDescent="0.2">
      <c r="A173"/>
      <c r="B173" s="2"/>
      <c r="C173" s="29"/>
      <c r="D173" s="29"/>
      <c r="E173" s="29"/>
      <c r="F173" s="29"/>
      <c r="G173" s="29"/>
      <c r="H173" s="29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 x14ac:dyDescent="0.2">
      <c r="A174"/>
      <c r="B174" s="2"/>
      <c r="C174" s="29"/>
      <c r="D174" s="29"/>
      <c r="E174" s="29"/>
      <c r="F174" s="29"/>
      <c r="G174" s="29"/>
      <c r="H174" s="29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 x14ac:dyDescent="0.2">
      <c r="A175"/>
      <c r="B175" s="2"/>
      <c r="C175" s="29"/>
      <c r="D175" s="29"/>
      <c r="E175" s="29"/>
      <c r="F175" s="29"/>
      <c r="G175" s="29"/>
      <c r="H175" s="29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 x14ac:dyDescent="0.2">
      <c r="A176"/>
      <c r="B176" s="2"/>
      <c r="C176" s="29"/>
      <c r="D176" s="29"/>
      <c r="E176" s="29"/>
      <c r="F176" s="29"/>
      <c r="G176" s="29"/>
      <c r="H176" s="29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 x14ac:dyDescent="0.2">
      <c r="A177"/>
      <c r="B177" s="2"/>
      <c r="C177" s="29"/>
      <c r="D177" s="29"/>
      <c r="E177" s="29"/>
      <c r="F177" s="29"/>
      <c r="G177" s="29"/>
      <c r="H177" s="29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 x14ac:dyDescent="0.2">
      <c r="A178"/>
      <c r="B178" s="2"/>
      <c r="C178" s="29"/>
      <c r="D178" s="29"/>
      <c r="E178" s="29"/>
      <c r="F178" s="29"/>
      <c r="G178" s="29"/>
      <c r="H178" s="29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 x14ac:dyDescent="0.2">
      <c r="A179"/>
      <c r="B179" s="2"/>
      <c r="C179" s="29"/>
      <c r="D179" s="29"/>
      <c r="E179" s="29"/>
      <c r="F179" s="29"/>
      <c r="G179" s="29"/>
      <c r="H179" s="29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 x14ac:dyDescent="0.2">
      <c r="A180"/>
      <c r="B180" s="2"/>
      <c r="C180" s="29"/>
      <c r="D180" s="29"/>
      <c r="E180" s="29"/>
      <c r="F180" s="29"/>
      <c r="G180" s="29"/>
      <c r="H180" s="29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 x14ac:dyDescent="0.2">
      <c r="A181"/>
      <c r="B181" s="2"/>
      <c r="C181" s="29"/>
      <c r="D181" s="29"/>
      <c r="E181" s="29"/>
      <c r="F181" s="29"/>
      <c r="G181" s="29"/>
      <c r="H181" s="29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 x14ac:dyDescent="0.2">
      <c r="A182"/>
      <c r="B182" s="2"/>
      <c r="C182" s="29"/>
      <c r="D182" s="29"/>
      <c r="E182" s="29"/>
      <c r="F182" s="29"/>
      <c r="G182" s="29"/>
      <c r="H182" s="29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 x14ac:dyDescent="0.2">
      <c r="A183"/>
      <c r="B183" s="2"/>
      <c r="C183" s="29"/>
      <c r="D183" s="29"/>
      <c r="E183" s="29"/>
      <c r="F183" s="29"/>
      <c r="G183" s="29"/>
      <c r="H183" s="29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 x14ac:dyDescent="0.2">
      <c r="A184"/>
      <c r="B184" s="2"/>
      <c r="C184" s="29"/>
      <c r="D184" s="29"/>
      <c r="E184" s="29"/>
      <c r="F184" s="29"/>
      <c r="G184" s="29"/>
      <c r="H184" s="29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 x14ac:dyDescent="0.2">
      <c r="A185"/>
      <c r="B185" s="2"/>
      <c r="C185" s="29"/>
      <c r="D185" s="29"/>
      <c r="E185" s="29"/>
      <c r="F185" s="29"/>
      <c r="G185" s="29"/>
      <c r="H185" s="29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 x14ac:dyDescent="0.2">
      <c r="A186"/>
      <c r="B186" s="2"/>
      <c r="C186" s="29"/>
      <c r="D186" s="29"/>
      <c r="E186" s="29"/>
      <c r="F186" s="29"/>
      <c r="G186" s="29"/>
      <c r="H186" s="29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 x14ac:dyDescent="0.2">
      <c r="A187"/>
      <c r="B187" s="2"/>
      <c r="C187" s="29"/>
      <c r="D187" s="29"/>
      <c r="E187" s="29"/>
      <c r="F187" s="29"/>
      <c r="G187" s="29"/>
      <c r="H187" s="29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 x14ac:dyDescent="0.2">
      <c r="A188"/>
      <c r="B188" s="2"/>
      <c r="C188" s="29"/>
      <c r="D188" s="29"/>
      <c r="E188" s="29"/>
      <c r="F188" s="29"/>
      <c r="G188" s="29"/>
      <c r="H188" s="29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 x14ac:dyDescent="0.2">
      <c r="A189"/>
      <c r="B189" s="2"/>
      <c r="C189" s="29"/>
      <c r="D189" s="29"/>
      <c r="E189" s="29"/>
      <c r="F189" s="29"/>
      <c r="G189" s="29"/>
      <c r="H189" s="29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 x14ac:dyDescent="0.2">
      <c r="A190"/>
      <c r="B190" s="2"/>
      <c r="C190" s="29"/>
      <c r="D190" s="29"/>
      <c r="E190" s="29"/>
      <c r="F190" s="29"/>
      <c r="G190" s="29"/>
      <c r="H190" s="29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 x14ac:dyDescent="0.2">
      <c r="A191"/>
      <c r="B191" s="2"/>
      <c r="C191" s="29"/>
      <c r="D191" s="29"/>
      <c r="E191" s="29"/>
      <c r="F191" s="29"/>
      <c r="G191" s="29"/>
      <c r="H191" s="29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 x14ac:dyDescent="0.2">
      <c r="A192"/>
      <c r="B192" s="2"/>
      <c r="C192" s="29"/>
      <c r="D192" s="29"/>
      <c r="E192" s="29"/>
      <c r="F192" s="29"/>
      <c r="G192" s="29"/>
      <c r="H192" s="29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 x14ac:dyDescent="0.2">
      <c r="A193"/>
      <c r="B193" s="2"/>
      <c r="C193" s="29"/>
      <c r="D193" s="29"/>
      <c r="E193" s="29"/>
      <c r="F193" s="29"/>
      <c r="G193" s="29"/>
      <c r="H193" s="29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 x14ac:dyDescent="0.2">
      <c r="A194"/>
      <c r="B194" s="2"/>
      <c r="C194" s="29"/>
      <c r="D194" s="29"/>
      <c r="E194" s="29"/>
      <c r="F194" s="29"/>
      <c r="G194" s="29"/>
      <c r="H194" s="29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 x14ac:dyDescent="0.2">
      <c r="A195"/>
      <c r="B195" s="2"/>
      <c r="C195" s="29"/>
      <c r="D195" s="29"/>
      <c r="E195" s="29"/>
      <c r="F195" s="29"/>
      <c r="G195" s="29"/>
      <c r="H195" s="29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 x14ac:dyDescent="0.2">
      <c r="A196"/>
      <c r="B196" s="2"/>
      <c r="C196" s="29"/>
      <c r="D196" s="29"/>
      <c r="E196" s="29"/>
      <c r="F196" s="29"/>
      <c r="G196" s="29"/>
      <c r="H196" s="29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 x14ac:dyDescent="0.2">
      <c r="A197"/>
      <c r="B197" s="2"/>
      <c r="C197" s="29"/>
      <c r="D197" s="29"/>
      <c r="E197" s="29"/>
      <c r="F197" s="29"/>
      <c r="G197" s="29"/>
      <c r="H197" s="29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 x14ac:dyDescent="0.2">
      <c r="A198"/>
      <c r="B198" s="2"/>
      <c r="C198" s="29"/>
      <c r="D198" s="29"/>
      <c r="E198" s="29"/>
      <c r="F198" s="29"/>
      <c r="G198" s="29"/>
      <c r="H198" s="29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 x14ac:dyDescent="0.2">
      <c r="A199"/>
      <c r="B199" s="2"/>
      <c r="C199" s="29"/>
      <c r="D199" s="29"/>
      <c r="E199" s="29"/>
      <c r="F199" s="29"/>
      <c r="G199" s="29"/>
      <c r="H199" s="29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 x14ac:dyDescent="0.2">
      <c r="A200"/>
      <c r="B200" s="2"/>
      <c r="C200" s="29"/>
      <c r="D200" s="29"/>
      <c r="E200" s="29"/>
      <c r="F200" s="29"/>
      <c r="G200" s="29"/>
      <c r="H200" s="29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 x14ac:dyDescent="0.2">
      <c r="A201"/>
      <c r="B201" s="2"/>
      <c r="C201" s="29"/>
      <c r="D201" s="29"/>
      <c r="E201" s="29"/>
      <c r="F201" s="29"/>
      <c r="G201" s="29"/>
      <c r="H201" s="29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 x14ac:dyDescent="0.2">
      <c r="A202"/>
      <c r="B202" s="2"/>
      <c r="C202" s="29"/>
      <c r="D202" s="29"/>
      <c r="E202" s="29"/>
      <c r="F202" s="29"/>
      <c r="G202" s="29"/>
      <c r="H202" s="29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 x14ac:dyDescent="0.2">
      <c r="A203"/>
      <c r="B203" s="2"/>
      <c r="C203" s="29"/>
      <c r="D203" s="29"/>
      <c r="E203" s="29"/>
      <c r="F203" s="29"/>
      <c r="G203" s="29"/>
      <c r="H203" s="29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 x14ac:dyDescent="0.2">
      <c r="A204"/>
      <c r="B204" s="2"/>
      <c r="C204" s="29"/>
      <c r="D204" s="29"/>
      <c r="E204" s="29"/>
      <c r="F204" s="29"/>
      <c r="G204" s="29"/>
      <c r="H204" s="29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 x14ac:dyDescent="0.2">
      <c r="A205"/>
      <c r="B205" s="2"/>
      <c r="C205" s="29"/>
      <c r="D205" s="29"/>
      <c r="E205" s="29"/>
      <c r="F205" s="29"/>
      <c r="G205" s="29"/>
      <c r="H205" s="29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 x14ac:dyDescent="0.2">
      <c r="A206"/>
      <c r="B206" s="2"/>
      <c r="C206" s="29"/>
      <c r="D206" s="29"/>
      <c r="E206" s="29"/>
      <c r="F206" s="29"/>
      <c r="G206" s="29"/>
      <c r="H206" s="29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 x14ac:dyDescent="0.2">
      <c r="A207"/>
      <c r="B207" s="2"/>
      <c r="C207" s="29"/>
      <c r="D207" s="29"/>
      <c r="E207" s="29"/>
      <c r="F207" s="29"/>
      <c r="G207" s="29"/>
      <c r="H207" s="29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 x14ac:dyDescent="0.2">
      <c r="A208"/>
      <c r="B208" s="2"/>
      <c r="C208" s="29"/>
      <c r="D208" s="29"/>
      <c r="E208" s="29"/>
      <c r="F208" s="29"/>
      <c r="G208" s="29"/>
      <c r="H208" s="29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 x14ac:dyDescent="0.2">
      <c r="A209"/>
      <c r="B209" s="2"/>
      <c r="C209" s="29"/>
      <c r="D209" s="29"/>
      <c r="E209" s="29"/>
      <c r="F209" s="29"/>
      <c r="G209" s="29"/>
      <c r="H209" s="29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 x14ac:dyDescent="0.2">
      <c r="A210"/>
      <c r="B210" s="2"/>
      <c r="C210" s="29"/>
      <c r="D210" s="29"/>
      <c r="E210" s="29"/>
      <c r="F210" s="29"/>
      <c r="G210" s="29"/>
      <c r="H210" s="29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 x14ac:dyDescent="0.2">
      <c r="A211"/>
      <c r="B211" s="2"/>
      <c r="C211" s="29"/>
      <c r="D211" s="29"/>
      <c r="E211" s="29"/>
      <c r="F211" s="29"/>
      <c r="G211" s="29"/>
      <c r="H211" s="29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 x14ac:dyDescent="0.2">
      <c r="A212"/>
      <c r="B212" s="2"/>
      <c r="C212" s="29"/>
      <c r="D212" s="29"/>
      <c r="E212" s="29"/>
      <c r="F212" s="29"/>
      <c r="G212" s="29"/>
      <c r="H212" s="29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 x14ac:dyDescent="0.2">
      <c r="A213"/>
      <c r="B213" s="2"/>
      <c r="C213" s="29"/>
      <c r="D213" s="29"/>
      <c r="E213" s="29"/>
      <c r="F213" s="29"/>
      <c r="G213" s="29"/>
      <c r="H213" s="29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 x14ac:dyDescent="0.2">
      <c r="A214"/>
      <c r="B214" s="2"/>
      <c r="C214" s="29"/>
      <c r="D214" s="29"/>
      <c r="E214" s="29"/>
      <c r="F214" s="29"/>
      <c r="G214" s="29"/>
      <c r="H214" s="29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 x14ac:dyDescent="0.2">
      <c r="A215"/>
      <c r="B215" s="2"/>
      <c r="C215" s="29"/>
      <c r="D215" s="29"/>
      <c r="E215" s="29"/>
      <c r="F215" s="29"/>
      <c r="G215" s="29"/>
      <c r="H215" s="29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 x14ac:dyDescent="0.2">
      <c r="A216"/>
      <c r="B216" s="2"/>
      <c r="C216" s="29"/>
      <c r="D216" s="29"/>
      <c r="E216" s="29"/>
      <c r="F216" s="29"/>
      <c r="G216" s="29"/>
      <c r="H216" s="29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 x14ac:dyDescent="0.2">
      <c r="A217"/>
      <c r="B217" s="2"/>
      <c r="C217" s="29"/>
      <c r="D217" s="29"/>
      <c r="E217" s="29"/>
      <c r="F217" s="29"/>
      <c r="G217" s="29"/>
      <c r="H217" s="29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 x14ac:dyDescent="0.2">
      <c r="A218"/>
      <c r="B218" s="2"/>
      <c r="C218" s="29"/>
      <c r="D218" s="29"/>
      <c r="E218" s="29"/>
      <c r="F218" s="29"/>
      <c r="G218" s="29"/>
      <c r="H218" s="29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 x14ac:dyDescent="0.2">
      <c r="A219"/>
      <c r="B219" s="2"/>
      <c r="C219" s="29"/>
      <c r="D219" s="29"/>
      <c r="E219" s="29"/>
      <c r="F219" s="29"/>
      <c r="G219" s="29"/>
      <c r="H219" s="29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 x14ac:dyDescent="0.2">
      <c r="A220"/>
      <c r="B220" s="2"/>
      <c r="C220" s="29"/>
      <c r="D220" s="29"/>
      <c r="E220" s="29"/>
      <c r="F220" s="29"/>
      <c r="G220" s="29"/>
      <c r="H220" s="29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 x14ac:dyDescent="0.2">
      <c r="A221"/>
      <c r="B221" s="2"/>
      <c r="C221" s="29"/>
      <c r="D221" s="29"/>
      <c r="E221" s="29"/>
      <c r="F221" s="29"/>
      <c r="G221" s="29"/>
      <c r="H221" s="29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 x14ac:dyDescent="0.2">
      <c r="A222"/>
      <c r="B222" s="2"/>
      <c r="C222" s="29"/>
      <c r="D222" s="29"/>
      <c r="E222" s="29"/>
      <c r="F222" s="29"/>
      <c r="G222" s="29"/>
      <c r="H222" s="29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 x14ac:dyDescent="0.2">
      <c r="A223"/>
      <c r="B223" s="2"/>
      <c r="C223" s="29"/>
      <c r="D223" s="29"/>
      <c r="E223" s="29"/>
      <c r="F223" s="29"/>
      <c r="G223" s="29"/>
      <c r="H223" s="29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 x14ac:dyDescent="0.2">
      <c r="A224"/>
      <c r="B224" s="2"/>
      <c r="C224" s="29"/>
      <c r="D224" s="29"/>
      <c r="E224" s="29"/>
      <c r="F224" s="29"/>
      <c r="G224" s="29"/>
      <c r="H224" s="29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 x14ac:dyDescent="0.2">
      <c r="A225"/>
      <c r="B225" s="2"/>
      <c r="C225" s="29"/>
      <c r="D225" s="29"/>
      <c r="E225" s="29"/>
      <c r="F225" s="29"/>
      <c r="G225" s="29"/>
      <c r="H225" s="29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 x14ac:dyDescent="0.2">
      <c r="A226"/>
      <c r="B226" s="2"/>
      <c r="C226" s="29"/>
      <c r="D226" s="29"/>
      <c r="E226" s="29"/>
      <c r="F226" s="29"/>
      <c r="G226" s="29"/>
      <c r="H226" s="29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 x14ac:dyDescent="0.2">
      <c r="A227"/>
      <c r="B227" s="2"/>
      <c r="C227" s="29"/>
      <c r="D227" s="29"/>
      <c r="E227" s="29"/>
      <c r="F227" s="29"/>
      <c r="G227" s="29"/>
      <c r="H227" s="29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 x14ac:dyDescent="0.2">
      <c r="A228"/>
      <c r="B228" s="2"/>
      <c r="C228" s="29"/>
      <c r="D228" s="29"/>
      <c r="E228" s="29"/>
      <c r="F228" s="29"/>
      <c r="G228" s="29"/>
      <c r="H228" s="29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 x14ac:dyDescent="0.2">
      <c r="A229"/>
      <c r="B229" s="2"/>
      <c r="C229" s="29"/>
      <c r="D229" s="29"/>
      <c r="E229" s="29"/>
      <c r="F229" s="29"/>
      <c r="G229" s="29"/>
      <c r="H229" s="29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 x14ac:dyDescent="0.2">
      <c r="A230"/>
      <c r="B230" s="2"/>
      <c r="C230" s="29"/>
      <c r="D230" s="29"/>
      <c r="E230" s="29"/>
      <c r="F230" s="29"/>
      <c r="G230" s="29"/>
      <c r="H230" s="29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 x14ac:dyDescent="0.2">
      <c r="A231"/>
      <c r="B231" s="2"/>
      <c r="C231" s="29"/>
      <c r="D231" s="29"/>
      <c r="E231" s="29"/>
      <c r="F231" s="29"/>
      <c r="G231" s="29"/>
      <c r="H231" s="29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 x14ac:dyDescent="0.2">
      <c r="A232"/>
      <c r="B232" s="2"/>
      <c r="C232" s="29"/>
      <c r="D232" s="29"/>
      <c r="E232" s="29"/>
      <c r="F232" s="29"/>
      <c r="G232" s="29"/>
      <c r="H232" s="29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 x14ac:dyDescent="0.2">
      <c r="A233"/>
      <c r="B233" s="2"/>
      <c r="C233" s="29"/>
      <c r="D233" s="29"/>
      <c r="E233" s="29"/>
      <c r="F233" s="29"/>
      <c r="G233" s="29"/>
      <c r="H233" s="29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 x14ac:dyDescent="0.2">
      <c r="A234"/>
      <c r="B234" s="2"/>
      <c r="C234" s="29"/>
      <c r="D234" s="29"/>
      <c r="E234" s="29"/>
      <c r="F234" s="29"/>
      <c r="G234" s="29"/>
      <c r="H234" s="29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 x14ac:dyDescent="0.2">
      <c r="A235"/>
      <c r="B235" s="2"/>
      <c r="C235" s="29"/>
      <c r="D235" s="29"/>
      <c r="E235" s="29"/>
      <c r="F235" s="29"/>
      <c r="G235" s="29"/>
      <c r="H235" s="29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 x14ac:dyDescent="0.2">
      <c r="A236"/>
      <c r="B236" s="2"/>
      <c r="C236" s="29"/>
      <c r="D236" s="29"/>
      <c r="E236" s="29"/>
      <c r="F236" s="29"/>
      <c r="G236" s="29"/>
      <c r="H236" s="29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 x14ac:dyDescent="0.2">
      <c r="A237"/>
      <c r="B237" s="2"/>
      <c r="C237" s="29"/>
      <c r="D237" s="29"/>
      <c r="E237" s="29"/>
      <c r="F237" s="29"/>
      <c r="G237" s="29"/>
      <c r="H237" s="29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 x14ac:dyDescent="0.2">
      <c r="A238"/>
      <c r="B238" s="2"/>
      <c r="C238" s="29"/>
      <c r="D238" s="29"/>
      <c r="E238" s="29"/>
      <c r="F238" s="29"/>
      <c r="G238" s="29"/>
      <c r="H238" s="29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 x14ac:dyDescent="0.2">
      <c r="A239"/>
      <c r="B239" s="2"/>
      <c r="C239" s="29"/>
      <c r="D239" s="29"/>
      <c r="E239" s="29"/>
      <c r="F239" s="29"/>
      <c r="G239" s="29"/>
      <c r="H239" s="29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 x14ac:dyDescent="0.2">
      <c r="A240"/>
      <c r="B240" s="2"/>
      <c r="C240" s="29"/>
      <c r="D240" s="29"/>
      <c r="E240" s="29"/>
      <c r="F240" s="29"/>
      <c r="G240" s="29"/>
      <c r="H240" s="29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1:42" ht="15.75" customHeight="1" x14ac:dyDescent="0.2">
      <c r="A241"/>
      <c r="B241" s="2"/>
      <c r="C241" s="29"/>
      <c r="D241" s="29"/>
      <c r="E241" s="29"/>
      <c r="F241" s="29"/>
      <c r="G241" s="29"/>
      <c r="H241" s="29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1:42" ht="15.75" customHeight="1" x14ac:dyDescent="0.2">
      <c r="A242"/>
      <c r="B242" s="2"/>
      <c r="C242" s="29"/>
      <c r="D242" s="29"/>
      <c r="E242" s="29"/>
      <c r="F242" s="29"/>
      <c r="G242" s="29"/>
      <c r="H242" s="29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1:42" ht="15.75" customHeight="1" x14ac:dyDescent="0.2">
      <c r="A243"/>
      <c r="B243" s="2"/>
      <c r="C243" s="29"/>
      <c r="D243" s="29"/>
      <c r="E243" s="29"/>
      <c r="F243" s="29"/>
      <c r="G243" s="29"/>
      <c r="H243" s="29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1:42" ht="15.75" customHeight="1" x14ac:dyDescent="0.2">
      <c r="A244"/>
      <c r="B244" s="2"/>
      <c r="C244" s="29"/>
      <c r="D244" s="29"/>
      <c r="E244" s="29"/>
      <c r="F244" s="29"/>
      <c r="G244" s="29"/>
      <c r="H244" s="29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1:42" ht="15.75" customHeight="1" x14ac:dyDescent="0.2">
      <c r="A245"/>
      <c r="B245" s="2"/>
      <c r="C245" s="29"/>
      <c r="D245" s="29"/>
      <c r="E245" s="29"/>
      <c r="F245" s="29"/>
      <c r="G245" s="29"/>
      <c r="H245" s="29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1:42" ht="15.75" customHeight="1" x14ac:dyDescent="0.2">
      <c r="A246"/>
      <c r="B246" s="2"/>
      <c r="C246" s="29"/>
      <c r="D246" s="29"/>
      <c r="E246" s="29"/>
      <c r="F246" s="29"/>
      <c r="G246" s="29"/>
      <c r="H246" s="29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1:42" ht="15.75" customHeight="1" x14ac:dyDescent="0.2">
      <c r="A247"/>
      <c r="B247" s="2"/>
      <c r="C247" s="29"/>
      <c r="D247" s="29"/>
      <c r="E247" s="29"/>
      <c r="F247" s="29"/>
      <c r="G247" s="29"/>
      <c r="H247" s="29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1:42" ht="15.75" customHeight="1" x14ac:dyDescent="0.2">
      <c r="A248"/>
      <c r="B248" s="2"/>
      <c r="C248" s="29"/>
      <c r="D248" s="29"/>
      <c r="E248" s="29"/>
      <c r="F248" s="29"/>
      <c r="G248" s="29"/>
      <c r="H248" s="29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1:42" ht="15.75" customHeight="1" x14ac:dyDescent="0.2">
      <c r="A249"/>
      <c r="B249" s="2"/>
      <c r="C249" s="29"/>
      <c r="D249" s="29"/>
      <c r="E249" s="29"/>
      <c r="F249" s="29"/>
      <c r="G249" s="29"/>
      <c r="H249" s="29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1:42" ht="15.75" customHeight="1" x14ac:dyDescent="0.2">
      <c r="A250"/>
      <c r="B250" s="2"/>
      <c r="C250" s="29"/>
      <c r="D250" s="29"/>
      <c r="E250" s="29"/>
      <c r="F250" s="29"/>
      <c r="G250" s="29"/>
      <c r="H250" s="29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1:42" ht="15.75" customHeight="1" x14ac:dyDescent="0.2">
      <c r="A251"/>
      <c r="B251" s="2"/>
      <c r="C251" s="29"/>
      <c r="D251" s="29"/>
      <c r="E251" s="29"/>
      <c r="F251" s="29"/>
      <c r="G251" s="29"/>
      <c r="H251" s="29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1:42" ht="15.75" customHeight="1" x14ac:dyDescent="0.2">
      <c r="A252"/>
      <c r="B252" s="2"/>
      <c r="C252" s="29"/>
      <c r="D252" s="29"/>
      <c r="E252" s="29"/>
      <c r="F252" s="29"/>
      <c r="G252" s="29"/>
      <c r="H252" s="29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1:42" ht="15.75" customHeight="1" x14ac:dyDescent="0.2">
      <c r="A253"/>
      <c r="B253" s="2"/>
      <c r="C253" s="29"/>
      <c r="D253" s="29"/>
      <c r="E253" s="29"/>
      <c r="F253" s="29"/>
      <c r="G253" s="29"/>
      <c r="H253" s="29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1:42" ht="15.75" customHeight="1" x14ac:dyDescent="0.2">
      <c r="A254"/>
      <c r="B254" s="2"/>
      <c r="C254" s="29"/>
      <c r="D254" s="29"/>
      <c r="E254" s="29"/>
      <c r="F254" s="29"/>
      <c r="G254" s="29"/>
      <c r="H254" s="29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1:42" ht="15.75" customHeight="1" x14ac:dyDescent="0.2">
      <c r="A255"/>
      <c r="B255" s="2"/>
      <c r="C255" s="29"/>
      <c r="D255" s="29"/>
      <c r="E255" s="29"/>
      <c r="F255" s="29"/>
      <c r="G255" s="29"/>
      <c r="H255" s="29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1:42" ht="15.75" customHeight="1" x14ac:dyDescent="0.2">
      <c r="A256"/>
      <c r="B256" s="2"/>
      <c r="C256" s="29"/>
      <c r="D256" s="29"/>
      <c r="E256" s="29"/>
      <c r="F256" s="29"/>
      <c r="G256" s="29"/>
      <c r="H256" s="29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1:42" ht="15.75" customHeight="1" x14ac:dyDescent="0.2">
      <c r="A257"/>
      <c r="B257" s="2"/>
      <c r="C257" s="29"/>
      <c r="D257" s="29"/>
      <c r="E257" s="29"/>
      <c r="F257" s="29"/>
      <c r="G257" s="29"/>
      <c r="H257" s="29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1:42" ht="15.75" customHeight="1" x14ac:dyDescent="0.2">
      <c r="A258"/>
      <c r="B258" s="2"/>
      <c r="C258" s="29"/>
      <c r="D258" s="29"/>
      <c r="E258" s="29"/>
      <c r="F258" s="29"/>
      <c r="G258" s="29"/>
      <c r="H258" s="29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1:42" ht="15.75" customHeight="1" x14ac:dyDescent="0.2">
      <c r="A259"/>
      <c r="B259" s="2"/>
      <c r="C259" s="29"/>
      <c r="D259" s="29"/>
      <c r="E259" s="29"/>
      <c r="F259" s="29"/>
      <c r="G259" s="29"/>
      <c r="H259" s="29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1:42" ht="15.75" customHeight="1" x14ac:dyDescent="0.2">
      <c r="A260"/>
      <c r="B260" s="2"/>
      <c r="C260" s="29"/>
      <c r="D260" s="29"/>
      <c r="E260" s="29"/>
      <c r="F260" s="29"/>
      <c r="G260" s="29"/>
      <c r="H260" s="29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1:42" ht="15.75" customHeight="1" x14ac:dyDescent="0.2">
      <c r="A261"/>
      <c r="B261" s="2"/>
      <c r="C261" s="29"/>
      <c r="D261" s="29"/>
      <c r="E261" s="29"/>
      <c r="F261" s="29"/>
      <c r="G261" s="29"/>
      <c r="H261" s="29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1:42" ht="15.75" customHeight="1" x14ac:dyDescent="0.2">
      <c r="A262"/>
      <c r="B262" s="2"/>
      <c r="C262" s="29"/>
      <c r="D262" s="29"/>
      <c r="E262" s="29"/>
      <c r="F262" s="29"/>
      <c r="G262" s="29"/>
      <c r="H262" s="29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1:42" ht="15.75" customHeight="1" x14ac:dyDescent="0.2">
      <c r="A263"/>
      <c r="B263" s="2"/>
      <c r="C263" s="29"/>
      <c r="D263" s="29"/>
      <c r="E263" s="29"/>
      <c r="F263" s="29"/>
      <c r="G263" s="29"/>
      <c r="H263" s="29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1:42" ht="15.75" customHeight="1" x14ac:dyDescent="0.2">
      <c r="A264"/>
      <c r="B264" s="2"/>
      <c r="C264" s="29"/>
      <c r="D264" s="29"/>
      <c r="E264" s="29"/>
      <c r="F264" s="29"/>
      <c r="G264" s="29"/>
      <c r="H264" s="29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1:42" ht="15.75" customHeight="1" x14ac:dyDescent="0.2">
      <c r="A265"/>
      <c r="B265" s="2"/>
      <c r="C265" s="29"/>
      <c r="D265" s="29"/>
      <c r="E265" s="29"/>
      <c r="F265" s="29"/>
      <c r="G265" s="29"/>
      <c r="H265" s="29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1:42" ht="15.75" customHeight="1" x14ac:dyDescent="0.2">
      <c r="A266"/>
      <c r="B266" s="2"/>
      <c r="C266" s="29"/>
      <c r="D266" s="29"/>
      <c r="E266" s="29"/>
      <c r="F266" s="29"/>
      <c r="G266" s="29"/>
      <c r="H266" s="29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1:42" ht="15.75" customHeight="1" x14ac:dyDescent="0.2">
      <c r="A267"/>
      <c r="B267" s="2"/>
      <c r="C267" s="29"/>
      <c r="D267" s="29"/>
      <c r="E267" s="29"/>
      <c r="F267" s="29"/>
      <c r="G267" s="29"/>
      <c r="H267" s="29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1:42" ht="15.75" customHeight="1" x14ac:dyDescent="0.2">
      <c r="A268"/>
      <c r="B268" s="2"/>
      <c r="C268" s="29"/>
      <c r="D268" s="29"/>
      <c r="E268" s="29"/>
      <c r="F268" s="29"/>
      <c r="G268" s="29"/>
      <c r="H268" s="29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1:42" ht="15.75" customHeight="1" x14ac:dyDescent="0.2">
      <c r="A269"/>
      <c r="B269" s="2"/>
      <c r="C269" s="29"/>
      <c r="D269" s="29"/>
      <c r="E269" s="29"/>
      <c r="F269" s="29"/>
      <c r="G269" s="29"/>
      <c r="H269" s="29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1:42" ht="15.75" customHeight="1" x14ac:dyDescent="0.2">
      <c r="A270"/>
      <c r="B270" s="2"/>
      <c r="C270" s="29"/>
      <c r="D270" s="29"/>
      <c r="E270" s="29"/>
      <c r="F270" s="29"/>
      <c r="G270" s="29"/>
      <c r="H270" s="29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1:42" ht="15.75" customHeight="1" x14ac:dyDescent="0.2">
      <c r="A271"/>
      <c r="B271" s="2"/>
      <c r="C271" s="29"/>
      <c r="D271" s="29"/>
      <c r="E271" s="29"/>
      <c r="F271" s="29"/>
      <c r="G271" s="29"/>
      <c r="H271" s="29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1:42" ht="15.75" customHeight="1" x14ac:dyDescent="0.2">
      <c r="A272"/>
      <c r="B272" s="2"/>
      <c r="C272" s="29"/>
      <c r="D272" s="29"/>
      <c r="E272" s="29"/>
      <c r="F272" s="29"/>
      <c r="G272" s="29"/>
      <c r="H272" s="29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1:42" ht="15.75" customHeight="1" x14ac:dyDescent="0.2">
      <c r="A273"/>
      <c r="B273" s="2"/>
      <c r="C273" s="29"/>
      <c r="D273" s="29"/>
      <c r="E273" s="29"/>
      <c r="F273" s="29"/>
      <c r="G273" s="29"/>
      <c r="H273" s="29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1:42" ht="15.75" customHeight="1" x14ac:dyDescent="0.2">
      <c r="A274"/>
      <c r="B274" s="2"/>
      <c r="C274" s="29"/>
      <c r="D274" s="29"/>
      <c r="E274" s="29"/>
      <c r="F274" s="29"/>
      <c r="G274" s="29"/>
      <c r="H274" s="29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1:42" ht="15.75" customHeight="1" x14ac:dyDescent="0.2">
      <c r="A275"/>
      <c r="B275" s="2"/>
      <c r="C275" s="29"/>
      <c r="D275" s="29"/>
      <c r="E275" s="29"/>
      <c r="F275" s="29"/>
      <c r="G275" s="29"/>
      <c r="H275" s="29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1:42" ht="15.75" customHeight="1" x14ac:dyDescent="0.2">
      <c r="A276"/>
      <c r="B276" s="2"/>
      <c r="C276" s="29"/>
      <c r="D276" s="29"/>
      <c r="E276" s="29"/>
      <c r="F276" s="29"/>
      <c r="G276" s="29"/>
      <c r="H276" s="29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1:42" ht="15.75" customHeight="1" x14ac:dyDescent="0.2">
      <c r="A277"/>
      <c r="B277" s="2"/>
      <c r="C277" s="29"/>
      <c r="D277" s="29"/>
      <c r="E277" s="29"/>
      <c r="F277" s="29"/>
      <c r="G277" s="29"/>
      <c r="H277" s="29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1:42" ht="15.75" customHeight="1" x14ac:dyDescent="0.2">
      <c r="A278"/>
      <c r="B278" s="2"/>
      <c r="C278" s="29"/>
      <c r="D278" s="29"/>
      <c r="E278" s="29"/>
      <c r="F278" s="29"/>
      <c r="G278" s="29"/>
      <c r="H278" s="29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1:42" ht="15.75" customHeight="1" x14ac:dyDescent="0.2">
      <c r="A279"/>
      <c r="B279" s="2"/>
      <c r="C279" s="29"/>
      <c r="D279" s="29"/>
      <c r="E279" s="29"/>
      <c r="F279" s="29"/>
      <c r="G279" s="29"/>
      <c r="H279" s="29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1:42" ht="15.75" customHeight="1" x14ac:dyDescent="0.2">
      <c r="A280"/>
      <c r="B280" s="2"/>
      <c r="C280" s="29"/>
      <c r="D280" s="29"/>
      <c r="E280" s="29"/>
      <c r="F280" s="29"/>
      <c r="G280" s="29"/>
      <c r="H280" s="29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1:42" ht="15.75" customHeight="1" x14ac:dyDescent="0.2">
      <c r="A281"/>
      <c r="B281" s="2"/>
      <c r="C281" s="29"/>
      <c r="D281" s="29"/>
      <c r="E281" s="29"/>
      <c r="F281" s="29"/>
      <c r="G281" s="29"/>
      <c r="H281" s="29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1:42" ht="15.75" customHeight="1" x14ac:dyDescent="0.2">
      <c r="A282"/>
      <c r="B282" s="2"/>
      <c r="C282" s="29"/>
      <c r="D282" s="29"/>
      <c r="E282" s="29"/>
      <c r="F282" s="29"/>
      <c r="G282" s="29"/>
      <c r="H282" s="29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1:42" ht="15.75" customHeight="1" x14ac:dyDescent="0.2">
      <c r="A283"/>
      <c r="B283" s="2"/>
      <c r="C283" s="29"/>
      <c r="D283" s="29"/>
      <c r="E283" s="29"/>
      <c r="F283" s="29"/>
      <c r="G283" s="29"/>
      <c r="H283" s="29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1:42" ht="15.75" customHeight="1" x14ac:dyDescent="0.2">
      <c r="A284"/>
      <c r="B284" s="2"/>
      <c r="C284" s="29"/>
      <c r="D284" s="29"/>
      <c r="E284" s="29"/>
      <c r="F284" s="29"/>
      <c r="G284" s="29"/>
      <c r="H284" s="29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1:42" ht="15.75" customHeight="1" x14ac:dyDescent="0.2">
      <c r="A285"/>
      <c r="B285" s="2"/>
      <c r="C285" s="29"/>
      <c r="D285" s="29"/>
      <c r="E285" s="29"/>
      <c r="F285" s="29"/>
      <c r="G285" s="29"/>
      <c r="H285" s="29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1:42" ht="15.75" customHeight="1" x14ac:dyDescent="0.2">
      <c r="A286"/>
      <c r="B286" s="2"/>
      <c r="C286" s="29"/>
      <c r="D286" s="29"/>
      <c r="E286" s="29"/>
      <c r="F286" s="29"/>
      <c r="G286" s="29"/>
      <c r="H286" s="29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1:42" ht="15.75" customHeight="1" x14ac:dyDescent="0.2">
      <c r="A287"/>
      <c r="B287" s="2"/>
      <c r="C287" s="29"/>
      <c r="D287" s="29"/>
      <c r="E287" s="29"/>
      <c r="F287" s="29"/>
      <c r="G287" s="29"/>
      <c r="H287" s="29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1:42" ht="15.75" customHeight="1" x14ac:dyDescent="0.2">
      <c r="A288"/>
      <c r="B288" s="2"/>
      <c r="C288" s="29"/>
      <c r="D288" s="29"/>
      <c r="E288" s="29"/>
      <c r="F288" s="29"/>
      <c r="G288" s="29"/>
      <c r="H288" s="29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1:42" ht="15.75" customHeight="1" x14ac:dyDescent="0.2">
      <c r="A289"/>
      <c r="B289" s="2"/>
      <c r="C289" s="29"/>
      <c r="D289" s="29"/>
      <c r="E289" s="29"/>
      <c r="F289" s="29"/>
      <c r="G289" s="29"/>
      <c r="H289" s="29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ht="15.75" customHeight="1" x14ac:dyDescent="0.2">
      <c r="A290"/>
      <c r="B290" s="2"/>
      <c r="C290" s="29"/>
      <c r="D290" s="29"/>
      <c r="E290" s="29"/>
      <c r="F290" s="29"/>
      <c r="G290" s="29"/>
      <c r="H290" s="29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1:42" ht="15.75" customHeight="1" x14ac:dyDescent="0.2">
      <c r="A291"/>
      <c r="B291" s="2"/>
      <c r="C291" s="29"/>
      <c r="D291" s="29"/>
      <c r="E291" s="29"/>
      <c r="F291" s="29"/>
      <c r="G291" s="29"/>
      <c r="H291" s="29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1:42" ht="15.75" customHeight="1" x14ac:dyDescent="0.2">
      <c r="A292"/>
      <c r="B292" s="2"/>
      <c r="C292" s="29"/>
      <c r="D292" s="29"/>
      <c r="E292" s="29"/>
      <c r="F292" s="29"/>
      <c r="G292" s="29"/>
      <c r="H292" s="29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1:42" ht="15.75" customHeight="1" x14ac:dyDescent="0.2">
      <c r="A293"/>
      <c r="B293" s="2"/>
      <c r="C293" s="29"/>
      <c r="D293" s="29"/>
      <c r="E293" s="29"/>
      <c r="F293" s="29"/>
      <c r="G293" s="29"/>
      <c r="H293" s="29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1:42" ht="15.75" customHeight="1" x14ac:dyDescent="0.2">
      <c r="A294"/>
      <c r="B294" s="2"/>
      <c r="C294" s="29"/>
      <c r="D294" s="29"/>
      <c r="E294" s="29"/>
      <c r="F294" s="29"/>
      <c r="G294" s="29"/>
      <c r="H294" s="29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1:42" ht="15.75" customHeight="1" x14ac:dyDescent="0.2">
      <c r="A295"/>
      <c r="B295" s="2"/>
      <c r="C295" s="29"/>
      <c r="D295" s="29"/>
      <c r="E295" s="29"/>
      <c r="F295" s="29"/>
      <c r="G295" s="29"/>
      <c r="H295" s="29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ht="15.75" customHeight="1" x14ac:dyDescent="0.2">
      <c r="A296"/>
      <c r="B296" s="2"/>
      <c r="C296" s="29"/>
      <c r="D296" s="29"/>
      <c r="E296" s="29"/>
      <c r="F296" s="29"/>
      <c r="G296" s="29"/>
      <c r="H296" s="29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1:42" ht="15.75" customHeight="1" x14ac:dyDescent="0.2">
      <c r="A297"/>
      <c r="B297" s="2"/>
      <c r="C297" s="29"/>
      <c r="D297" s="29"/>
      <c r="E297" s="29"/>
      <c r="F297" s="29"/>
      <c r="G297" s="29"/>
      <c r="H297" s="29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ht="15.75" customHeight="1" x14ac:dyDescent="0.2">
      <c r="A298"/>
      <c r="B298" s="2"/>
      <c r="C298" s="29"/>
      <c r="D298" s="29"/>
      <c r="E298" s="29"/>
      <c r="F298" s="29"/>
      <c r="G298" s="29"/>
      <c r="H298" s="29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ht="15.75" customHeight="1" x14ac:dyDescent="0.2">
      <c r="A299"/>
      <c r="B299" s="2"/>
      <c r="C299" s="29"/>
      <c r="D299" s="29"/>
      <c r="E299" s="29"/>
      <c r="F299" s="29"/>
      <c r="G299" s="29"/>
      <c r="H299" s="29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1:42" ht="15.75" customHeight="1" x14ac:dyDescent="0.2">
      <c r="A300"/>
      <c r="B300" s="2"/>
      <c r="C300" s="29"/>
      <c r="D300" s="29"/>
      <c r="E300" s="29"/>
      <c r="F300" s="29"/>
      <c r="G300" s="29"/>
      <c r="H300" s="29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1:42" ht="15.75" customHeight="1" x14ac:dyDescent="0.2">
      <c r="A301"/>
      <c r="B301" s="2"/>
      <c r="C301" s="29"/>
      <c r="D301" s="29"/>
      <c r="E301" s="29"/>
      <c r="F301" s="29"/>
      <c r="G301" s="29"/>
      <c r="H301" s="29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1:42" ht="15.75" customHeight="1" x14ac:dyDescent="0.2">
      <c r="A302"/>
      <c r="B302" s="2"/>
      <c r="C302" s="29"/>
      <c r="D302" s="29"/>
      <c r="E302" s="29"/>
      <c r="F302" s="29"/>
      <c r="G302" s="29"/>
      <c r="H302" s="29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1:42" ht="15.75" customHeight="1" x14ac:dyDescent="0.2">
      <c r="A303"/>
      <c r="B303" s="2"/>
      <c r="C303" s="29"/>
      <c r="D303" s="29"/>
      <c r="E303" s="29"/>
      <c r="F303" s="29"/>
      <c r="G303" s="29"/>
      <c r="H303" s="29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1:42" ht="15.75" customHeight="1" x14ac:dyDescent="0.2">
      <c r="A304"/>
      <c r="B304" s="2"/>
      <c r="C304" s="29"/>
      <c r="D304" s="29"/>
      <c r="E304" s="29"/>
      <c r="F304" s="29"/>
      <c r="G304" s="29"/>
      <c r="H304" s="29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1:42" ht="15.75" customHeight="1" x14ac:dyDescent="0.2">
      <c r="A305"/>
      <c r="B305" s="2"/>
      <c r="C305" s="29"/>
      <c r="D305" s="29"/>
      <c r="E305" s="29"/>
      <c r="F305" s="29"/>
      <c r="G305" s="29"/>
      <c r="H305" s="29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1:42" ht="15.75" customHeight="1" x14ac:dyDescent="0.2">
      <c r="A306"/>
      <c r="B306" s="2"/>
      <c r="C306" s="29"/>
      <c r="D306" s="29"/>
      <c r="E306" s="29"/>
      <c r="F306" s="29"/>
      <c r="G306" s="29"/>
      <c r="H306" s="29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1:42" ht="15.75" customHeight="1" x14ac:dyDescent="0.2">
      <c r="A307"/>
      <c r="B307" s="2"/>
      <c r="C307" s="29"/>
      <c r="D307" s="29"/>
      <c r="E307" s="29"/>
      <c r="F307" s="29"/>
      <c r="G307" s="29"/>
      <c r="H307" s="29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1:42" ht="15.75" customHeight="1" x14ac:dyDescent="0.2">
      <c r="A308"/>
      <c r="B308" s="2"/>
      <c r="C308" s="29"/>
      <c r="D308" s="29"/>
      <c r="E308" s="29"/>
      <c r="F308" s="29"/>
      <c r="G308" s="29"/>
      <c r="H308" s="29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1:42" ht="15.75" customHeight="1" x14ac:dyDescent="0.2">
      <c r="A309"/>
      <c r="B309" s="2"/>
      <c r="C309" s="29"/>
      <c r="D309" s="29"/>
      <c r="E309" s="29"/>
      <c r="F309" s="29"/>
      <c r="G309" s="29"/>
      <c r="H309" s="29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1:42" ht="15.75" customHeight="1" x14ac:dyDescent="0.2">
      <c r="A310"/>
      <c r="B310" s="2"/>
      <c r="C310" s="29"/>
      <c r="D310" s="29"/>
      <c r="E310" s="29"/>
      <c r="F310" s="29"/>
      <c r="G310" s="29"/>
      <c r="H310" s="29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1:42" ht="15.75" customHeight="1" x14ac:dyDescent="0.2">
      <c r="A311"/>
      <c r="B311" s="2"/>
      <c r="C311" s="29"/>
      <c r="D311" s="29"/>
      <c r="E311" s="29"/>
      <c r="F311" s="29"/>
      <c r="G311" s="29"/>
      <c r="H311" s="29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1:42" ht="15.75" customHeight="1" x14ac:dyDescent="0.2">
      <c r="A312"/>
      <c r="B312" s="2"/>
      <c r="C312" s="29"/>
      <c r="D312" s="29"/>
      <c r="E312" s="29"/>
      <c r="F312" s="29"/>
      <c r="G312" s="29"/>
      <c r="H312" s="29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1:42" ht="15.75" customHeight="1" x14ac:dyDescent="0.2">
      <c r="A313"/>
      <c r="B313" s="2"/>
      <c r="C313" s="29"/>
      <c r="D313" s="29"/>
      <c r="E313" s="29"/>
      <c r="F313" s="29"/>
      <c r="G313" s="29"/>
      <c r="H313" s="29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1:42" ht="15.75" customHeight="1" x14ac:dyDescent="0.2">
      <c r="A314"/>
      <c r="B314" s="2"/>
      <c r="C314" s="29"/>
      <c r="D314" s="29"/>
      <c r="E314" s="29"/>
      <c r="F314" s="29"/>
      <c r="G314" s="29"/>
      <c r="H314" s="29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1:42" ht="15.75" customHeight="1" x14ac:dyDescent="0.2">
      <c r="A315"/>
      <c r="B315" s="2"/>
      <c r="C315" s="29"/>
      <c r="D315" s="29"/>
      <c r="E315" s="29"/>
      <c r="F315" s="29"/>
      <c r="G315" s="29"/>
      <c r="H315" s="29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1:42" ht="15.75" customHeight="1" x14ac:dyDescent="0.2">
      <c r="A316"/>
      <c r="B316" s="2"/>
      <c r="C316" s="29"/>
      <c r="D316" s="29"/>
      <c r="E316" s="29"/>
      <c r="F316" s="29"/>
      <c r="G316" s="29"/>
      <c r="H316" s="29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1:42" ht="15.75" customHeight="1" x14ac:dyDescent="0.2">
      <c r="A317"/>
      <c r="B317" s="2"/>
      <c r="C317" s="29"/>
      <c r="D317" s="29"/>
      <c r="E317" s="29"/>
      <c r="F317" s="29"/>
      <c r="G317" s="29"/>
      <c r="H317" s="29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1:42" ht="15.75" customHeight="1" x14ac:dyDescent="0.2">
      <c r="A318"/>
      <c r="B318" s="2"/>
      <c r="C318" s="29"/>
      <c r="D318" s="29"/>
      <c r="E318" s="29"/>
      <c r="F318" s="29"/>
      <c r="G318" s="29"/>
      <c r="H318" s="29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1:42" ht="15.75" customHeight="1" x14ac:dyDescent="0.2">
      <c r="A319"/>
      <c r="B319" s="2"/>
      <c r="C319" s="29"/>
      <c r="D319" s="29"/>
      <c r="E319" s="29"/>
      <c r="F319" s="29"/>
      <c r="G319" s="29"/>
      <c r="H319" s="29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1:42" ht="15.75" customHeight="1" x14ac:dyDescent="0.2">
      <c r="A320"/>
      <c r="B320" s="2"/>
      <c r="C320" s="29"/>
      <c r="D320" s="29"/>
      <c r="E320" s="29"/>
      <c r="F320" s="29"/>
      <c r="G320" s="29"/>
      <c r="H320" s="29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1:42" ht="15.75" customHeight="1" x14ac:dyDescent="0.2">
      <c r="A321"/>
      <c r="B321" s="2"/>
      <c r="C321" s="29"/>
      <c r="D321" s="29"/>
      <c r="E321" s="29"/>
      <c r="F321" s="29"/>
      <c r="G321" s="29"/>
      <c r="H321" s="29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1:42" ht="15.75" customHeight="1" x14ac:dyDescent="0.2">
      <c r="A322"/>
      <c r="B322" s="2"/>
      <c r="C322" s="29"/>
      <c r="D322" s="29"/>
      <c r="E322" s="29"/>
      <c r="F322" s="29"/>
      <c r="G322" s="29"/>
      <c r="H322" s="29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1:42" ht="15.75" customHeight="1" x14ac:dyDescent="0.2">
      <c r="A323"/>
      <c r="B323" s="2"/>
      <c r="C323" s="29"/>
      <c r="D323" s="29"/>
      <c r="E323" s="29"/>
      <c r="F323" s="29"/>
      <c r="G323" s="29"/>
      <c r="H323" s="29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1:42" ht="15.75" customHeight="1" x14ac:dyDescent="0.2">
      <c r="A324"/>
      <c r="B324" s="2"/>
      <c r="C324" s="29"/>
      <c r="D324" s="29"/>
      <c r="E324" s="29"/>
      <c r="F324" s="29"/>
      <c r="G324" s="29"/>
      <c r="H324" s="29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1:42" ht="15.75" customHeight="1" x14ac:dyDescent="0.2">
      <c r="A325"/>
      <c r="B325" s="2"/>
      <c r="C325" s="29"/>
      <c r="D325" s="29"/>
      <c r="E325" s="29"/>
      <c r="F325" s="29"/>
      <c r="G325" s="29"/>
      <c r="H325" s="29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1:42" ht="15.75" customHeight="1" x14ac:dyDescent="0.2">
      <c r="A326"/>
      <c r="B326" s="2"/>
      <c r="C326" s="29"/>
      <c r="D326" s="29"/>
      <c r="E326" s="29"/>
      <c r="F326" s="29"/>
      <c r="G326" s="29"/>
      <c r="H326" s="29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1:42" ht="15.75" customHeight="1" x14ac:dyDescent="0.2">
      <c r="A327"/>
      <c r="B327" s="2"/>
      <c r="C327" s="29"/>
      <c r="D327" s="29"/>
      <c r="E327" s="29"/>
      <c r="F327" s="29"/>
      <c r="G327" s="29"/>
      <c r="H327" s="29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1:42" ht="15.75" customHeight="1" x14ac:dyDescent="0.2">
      <c r="A328"/>
      <c r="B328" s="2"/>
      <c r="C328" s="29"/>
      <c r="D328" s="29"/>
      <c r="E328" s="29"/>
      <c r="F328" s="29"/>
      <c r="G328" s="29"/>
      <c r="H328" s="29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1:42" ht="15.75" customHeight="1" x14ac:dyDescent="0.2">
      <c r="A329"/>
      <c r="B329" s="2"/>
      <c r="C329" s="29"/>
      <c r="D329" s="29"/>
      <c r="E329" s="29"/>
      <c r="F329" s="29"/>
      <c r="G329" s="29"/>
      <c r="H329" s="29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1:42" ht="15.75" customHeight="1" x14ac:dyDescent="0.2">
      <c r="A330"/>
      <c r="B330" s="2"/>
      <c r="C330" s="29"/>
      <c r="D330" s="29"/>
      <c r="E330" s="29"/>
      <c r="F330" s="29"/>
      <c r="G330" s="29"/>
      <c r="H330" s="29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1:42" ht="15.75" customHeight="1" x14ac:dyDescent="0.2">
      <c r="A331"/>
      <c r="B331" s="2"/>
      <c r="C331" s="29"/>
      <c r="D331" s="29"/>
      <c r="E331" s="29"/>
      <c r="F331" s="29"/>
      <c r="G331" s="29"/>
      <c r="H331" s="29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1:42" ht="15.75" customHeight="1" x14ac:dyDescent="0.2">
      <c r="A332"/>
      <c r="B332" s="2"/>
      <c r="C332" s="29"/>
      <c r="D332" s="29"/>
      <c r="E332" s="29"/>
      <c r="F332" s="29"/>
      <c r="G332" s="29"/>
      <c r="H332" s="29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1:42" ht="15.75" customHeight="1" x14ac:dyDescent="0.2">
      <c r="A333"/>
      <c r="B333" s="2"/>
      <c r="C333" s="29"/>
      <c r="D333" s="29"/>
      <c r="E333" s="29"/>
      <c r="F333" s="29"/>
      <c r="G333" s="29"/>
      <c r="H333" s="29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1:42" ht="15.75" customHeight="1" x14ac:dyDescent="0.2">
      <c r="A334"/>
      <c r="B334" s="2"/>
      <c r="C334" s="29"/>
      <c r="D334" s="29"/>
      <c r="E334" s="29"/>
      <c r="F334" s="29"/>
      <c r="G334" s="29"/>
      <c r="H334" s="29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1:42" ht="15.75" customHeight="1" x14ac:dyDescent="0.2">
      <c r="A335"/>
      <c r="B335" s="2"/>
      <c r="C335" s="29"/>
      <c r="D335" s="29"/>
      <c r="E335" s="29"/>
      <c r="F335" s="29"/>
      <c r="G335" s="29"/>
      <c r="H335" s="29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1:42" ht="15.75" customHeight="1" x14ac:dyDescent="0.2">
      <c r="A336"/>
      <c r="B336" s="2"/>
      <c r="C336" s="29"/>
      <c r="D336" s="29"/>
      <c r="E336" s="29"/>
      <c r="F336" s="29"/>
      <c r="G336" s="29"/>
      <c r="H336" s="29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42" ht="15.75" customHeight="1" x14ac:dyDescent="0.2">
      <c r="A337"/>
      <c r="B337" s="2"/>
      <c r="C337" s="29"/>
      <c r="D337" s="29"/>
      <c r="E337" s="29"/>
      <c r="F337" s="29"/>
      <c r="G337" s="29"/>
      <c r="H337" s="29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1:42" ht="15.75" customHeight="1" x14ac:dyDescent="0.2">
      <c r="A338"/>
      <c r="B338" s="2"/>
      <c r="C338" s="29"/>
      <c r="D338" s="29"/>
      <c r="E338" s="29"/>
      <c r="F338" s="29"/>
      <c r="G338" s="29"/>
      <c r="H338" s="29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1:42" ht="15.75" customHeight="1" x14ac:dyDescent="0.2">
      <c r="A339"/>
      <c r="B339" s="2"/>
      <c r="C339" s="29"/>
      <c r="D339" s="29"/>
      <c r="E339" s="29"/>
      <c r="F339" s="29"/>
      <c r="G339" s="29"/>
      <c r="H339" s="29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1:42" ht="15.75" customHeight="1" x14ac:dyDescent="0.2">
      <c r="A340"/>
      <c r="B340" s="2"/>
      <c r="C340" s="29"/>
      <c r="D340" s="29"/>
      <c r="E340" s="29"/>
      <c r="F340" s="29"/>
      <c r="G340" s="29"/>
      <c r="H340" s="29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1:42" ht="15.75" customHeight="1" x14ac:dyDescent="0.2">
      <c r="A341"/>
      <c r="B341" s="2"/>
      <c r="C341" s="29"/>
      <c r="D341" s="29"/>
      <c r="E341" s="29"/>
      <c r="F341" s="29"/>
      <c r="G341" s="29"/>
      <c r="H341" s="29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1:42" ht="15.75" customHeight="1" x14ac:dyDescent="0.2">
      <c r="A342"/>
      <c r="B342" s="2"/>
      <c r="C342" s="29"/>
      <c r="D342" s="29"/>
      <c r="E342" s="29"/>
      <c r="F342" s="29"/>
      <c r="G342" s="29"/>
      <c r="H342" s="29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1:42" ht="15.75" customHeight="1" x14ac:dyDescent="0.2">
      <c r="A343"/>
      <c r="B343" s="2"/>
      <c r="C343" s="29"/>
      <c r="D343" s="29"/>
      <c r="E343" s="29"/>
      <c r="F343" s="29"/>
      <c r="G343" s="29"/>
      <c r="H343" s="29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1:42" ht="15.75" customHeight="1" x14ac:dyDescent="0.2">
      <c r="A344"/>
      <c r="B344" s="2"/>
      <c r="C344" s="29"/>
      <c r="D344" s="29"/>
      <c r="E344" s="29"/>
      <c r="F344" s="29"/>
      <c r="G344" s="29"/>
      <c r="H344" s="29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1:42" ht="15.75" customHeight="1" x14ac:dyDescent="0.2">
      <c r="A345"/>
      <c r="B345" s="2"/>
      <c r="C345" s="29"/>
      <c r="D345" s="29"/>
      <c r="E345" s="29"/>
      <c r="F345" s="29"/>
      <c r="G345" s="29"/>
      <c r="H345" s="29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1:42" ht="15.75" customHeight="1" x14ac:dyDescent="0.2">
      <c r="A346"/>
      <c r="B346" s="2"/>
      <c r="C346" s="29"/>
      <c r="D346" s="29"/>
      <c r="E346" s="29"/>
      <c r="F346" s="29"/>
      <c r="G346" s="29"/>
      <c r="H346" s="29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1:42" ht="15.75" customHeight="1" x14ac:dyDescent="0.2">
      <c r="A347"/>
      <c r="B347" s="2"/>
      <c r="C347" s="29"/>
      <c r="D347" s="29"/>
      <c r="E347" s="29"/>
      <c r="F347" s="29"/>
      <c r="G347" s="29"/>
      <c r="H347" s="29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ht="15.75" customHeight="1" x14ac:dyDescent="0.2">
      <c r="A348"/>
      <c r="B348" s="2"/>
      <c r="C348" s="29"/>
      <c r="D348" s="29"/>
      <c r="E348" s="29"/>
      <c r="F348" s="29"/>
      <c r="G348" s="29"/>
      <c r="H348" s="29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ht="15.75" customHeight="1" x14ac:dyDescent="0.2">
      <c r="A349"/>
      <c r="B349" s="2"/>
      <c r="C349" s="29"/>
      <c r="D349" s="29"/>
      <c r="E349" s="29"/>
      <c r="F349" s="29"/>
      <c r="G349" s="29"/>
      <c r="H349" s="29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ht="15.75" customHeight="1" x14ac:dyDescent="0.2">
      <c r="A350"/>
      <c r="B350" s="2"/>
      <c r="C350" s="29"/>
      <c r="D350" s="29"/>
      <c r="E350" s="29"/>
      <c r="F350" s="29"/>
      <c r="G350" s="29"/>
      <c r="H350" s="29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ht="15.75" customHeight="1" x14ac:dyDescent="0.2">
      <c r="A351"/>
      <c r="B351" s="2"/>
      <c r="C351" s="29"/>
      <c r="D351" s="29"/>
      <c r="E351" s="29"/>
      <c r="F351" s="29"/>
      <c r="G351" s="29"/>
      <c r="H351" s="29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ht="15.75" customHeight="1" x14ac:dyDescent="0.2">
      <c r="A352"/>
      <c r="B352" s="2"/>
      <c r="C352" s="29"/>
      <c r="D352" s="29"/>
      <c r="E352" s="29"/>
      <c r="F352" s="29"/>
      <c r="G352" s="29"/>
      <c r="H352" s="29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ht="15.75" customHeight="1" x14ac:dyDescent="0.2">
      <c r="A353"/>
      <c r="B353" s="2"/>
      <c r="C353" s="29"/>
      <c r="D353" s="29"/>
      <c r="E353" s="29"/>
      <c r="F353" s="29"/>
      <c r="G353" s="29"/>
      <c r="H353" s="29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ht="15.75" customHeight="1" x14ac:dyDescent="0.2">
      <c r="A354"/>
      <c r="B354" s="2"/>
      <c r="C354" s="29"/>
      <c r="D354" s="29"/>
      <c r="E354" s="29"/>
      <c r="F354" s="29"/>
      <c r="G354" s="29"/>
      <c r="H354" s="29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ht="15.75" customHeight="1" x14ac:dyDescent="0.2">
      <c r="A355"/>
      <c r="B355" s="2"/>
      <c r="C355" s="29"/>
      <c r="D355" s="29"/>
      <c r="E355" s="29"/>
      <c r="F355" s="29"/>
      <c r="G355" s="29"/>
      <c r="H355" s="29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ht="15.75" customHeight="1" x14ac:dyDescent="0.2">
      <c r="A356"/>
      <c r="B356" s="2"/>
      <c r="C356" s="29"/>
      <c r="D356" s="29"/>
      <c r="E356" s="29"/>
      <c r="F356" s="29"/>
      <c r="G356" s="29"/>
      <c r="H356" s="29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ht="15.75" customHeight="1" x14ac:dyDescent="0.2">
      <c r="A357"/>
      <c r="B357" s="2"/>
      <c r="C357" s="29"/>
      <c r="D357" s="29"/>
      <c r="E357" s="29"/>
      <c r="F357" s="29"/>
      <c r="G357" s="29"/>
      <c r="H357" s="29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ht="15.75" customHeight="1" x14ac:dyDescent="0.2">
      <c r="A358"/>
      <c r="B358" s="2"/>
      <c r="C358" s="29"/>
      <c r="D358" s="29"/>
      <c r="E358" s="29"/>
      <c r="F358" s="29"/>
      <c r="G358" s="29"/>
      <c r="H358" s="29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ht="15.75" customHeight="1" x14ac:dyDescent="0.2">
      <c r="A359"/>
      <c r="B359" s="2"/>
      <c r="C359" s="29"/>
      <c r="D359" s="29"/>
      <c r="E359" s="29"/>
      <c r="F359" s="29"/>
      <c r="G359" s="29"/>
      <c r="H359" s="29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ht="15.75" customHeight="1" x14ac:dyDescent="0.2">
      <c r="A360"/>
      <c r="B360" s="2"/>
      <c r="C360" s="29"/>
      <c r="D360" s="29"/>
      <c r="E360" s="29"/>
      <c r="F360" s="29"/>
      <c r="G360" s="29"/>
      <c r="H360" s="29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1:42" ht="15.75" customHeight="1" x14ac:dyDescent="0.2">
      <c r="A361"/>
      <c r="B361" s="2"/>
      <c r="C361" s="29"/>
      <c r="D361" s="29"/>
      <c r="E361" s="29"/>
      <c r="F361" s="29"/>
      <c r="G361" s="29"/>
      <c r="H361" s="29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ht="15.75" customHeight="1" x14ac:dyDescent="0.2">
      <c r="A362"/>
      <c r="B362" s="2"/>
      <c r="C362" s="29"/>
      <c r="D362" s="29"/>
      <c r="E362" s="29"/>
      <c r="F362" s="29"/>
      <c r="G362" s="29"/>
      <c r="H362" s="29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ht="15.75" customHeight="1" x14ac:dyDescent="0.2">
      <c r="A363"/>
      <c r="B363" s="2"/>
      <c r="C363" s="29"/>
      <c r="D363" s="29"/>
      <c r="E363" s="29"/>
      <c r="F363" s="29"/>
      <c r="G363" s="29"/>
      <c r="H363" s="29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ht="15.75" customHeight="1" x14ac:dyDescent="0.2">
      <c r="A364"/>
      <c r="B364" s="2"/>
      <c r="C364" s="29"/>
      <c r="D364" s="29"/>
      <c r="E364" s="29"/>
      <c r="F364" s="29"/>
      <c r="G364" s="29"/>
      <c r="H364" s="29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ht="15.75" customHeight="1" x14ac:dyDescent="0.2">
      <c r="A365"/>
      <c r="B365" s="2"/>
      <c r="C365" s="29"/>
      <c r="D365" s="29"/>
      <c r="E365" s="29"/>
      <c r="F365" s="29"/>
      <c r="G365" s="29"/>
      <c r="H365" s="29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ht="15.75" customHeight="1" x14ac:dyDescent="0.2">
      <c r="A366"/>
      <c r="B366" s="2"/>
      <c r="C366" s="29"/>
      <c r="D366" s="29"/>
      <c r="E366" s="29"/>
      <c r="F366" s="29"/>
      <c r="G366" s="29"/>
      <c r="H366" s="29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ht="15.75" customHeight="1" x14ac:dyDescent="0.2">
      <c r="A367"/>
      <c r="B367" s="2"/>
      <c r="C367" s="29"/>
      <c r="D367" s="29"/>
      <c r="E367" s="29"/>
      <c r="F367" s="29"/>
      <c r="G367" s="29"/>
      <c r="H367" s="29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ht="15.75" customHeight="1" x14ac:dyDescent="0.2">
      <c r="A368"/>
      <c r="B368" s="2"/>
      <c r="C368" s="29"/>
      <c r="D368" s="29"/>
      <c r="E368" s="29"/>
      <c r="F368" s="29"/>
      <c r="G368" s="29"/>
      <c r="H368" s="29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ht="15.75" customHeight="1" x14ac:dyDescent="0.2">
      <c r="A369"/>
      <c r="B369" s="2"/>
      <c r="C369" s="29"/>
      <c r="D369" s="29"/>
      <c r="E369" s="29"/>
      <c r="F369" s="29"/>
      <c r="G369" s="29"/>
      <c r="H369" s="29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ht="15.75" customHeight="1" x14ac:dyDescent="0.2">
      <c r="A370"/>
      <c r="B370" s="2"/>
      <c r="C370" s="29"/>
      <c r="D370" s="29"/>
      <c r="E370" s="29"/>
      <c r="F370" s="29"/>
      <c r="G370" s="29"/>
      <c r="H370" s="29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ht="15.75" customHeight="1" x14ac:dyDescent="0.2">
      <c r="A371"/>
      <c r="B371" s="2"/>
      <c r="C371" s="29"/>
      <c r="D371" s="29"/>
      <c r="E371" s="29"/>
      <c r="F371" s="29"/>
      <c r="G371" s="29"/>
      <c r="H371" s="29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ht="15.75" customHeight="1" x14ac:dyDescent="0.2">
      <c r="A372"/>
      <c r="B372" s="2"/>
      <c r="C372" s="29"/>
      <c r="D372" s="29"/>
      <c r="E372" s="29"/>
      <c r="F372" s="29"/>
      <c r="G372" s="29"/>
      <c r="H372" s="29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ht="15.75" customHeight="1" x14ac:dyDescent="0.2">
      <c r="A373"/>
      <c r="B373" s="2"/>
      <c r="C373" s="29"/>
      <c r="D373" s="29"/>
      <c r="E373" s="29"/>
      <c r="F373" s="29"/>
      <c r="G373" s="29"/>
      <c r="H373" s="29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ht="15.75" customHeight="1" x14ac:dyDescent="0.2">
      <c r="A374"/>
      <c r="B374" s="2"/>
      <c r="C374" s="29"/>
      <c r="D374" s="29"/>
      <c r="E374" s="29"/>
      <c r="F374" s="29"/>
      <c r="G374" s="29"/>
      <c r="H374" s="29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1:42" ht="15.75" customHeight="1" x14ac:dyDescent="0.2">
      <c r="A375"/>
      <c r="B375" s="2"/>
      <c r="C375" s="29"/>
      <c r="D375" s="29"/>
      <c r="E375" s="29"/>
      <c r="F375" s="29"/>
      <c r="G375" s="29"/>
      <c r="H375" s="29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ht="15.75" customHeight="1" x14ac:dyDescent="0.2">
      <c r="A376"/>
      <c r="B376" s="2"/>
      <c r="C376" s="29"/>
      <c r="D376" s="29"/>
      <c r="E376" s="29"/>
      <c r="F376" s="29"/>
      <c r="G376" s="29"/>
      <c r="H376" s="29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ht="15.75" customHeight="1" x14ac:dyDescent="0.2">
      <c r="A377"/>
      <c r="B377" s="2"/>
      <c r="C377" s="29"/>
      <c r="D377" s="29"/>
      <c r="E377" s="29"/>
      <c r="F377" s="29"/>
      <c r="G377" s="29"/>
      <c r="H377" s="29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ht="15.75" customHeight="1" x14ac:dyDescent="0.2">
      <c r="A378"/>
      <c r="B378" s="2"/>
      <c r="C378" s="29"/>
      <c r="D378" s="29"/>
      <c r="E378" s="29"/>
      <c r="F378" s="29"/>
      <c r="G378" s="29"/>
      <c r="H378" s="29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1:42" ht="15.75" customHeight="1" x14ac:dyDescent="0.2">
      <c r="A379"/>
      <c r="B379" s="2"/>
      <c r="C379" s="29"/>
      <c r="D379" s="29"/>
      <c r="E379" s="29"/>
      <c r="F379" s="29"/>
      <c r="G379" s="29"/>
      <c r="H379" s="29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1:42" ht="15.75" customHeight="1" x14ac:dyDescent="0.2">
      <c r="A380"/>
      <c r="B380" s="2"/>
      <c r="C380" s="29"/>
      <c r="D380" s="29"/>
      <c r="E380" s="29"/>
      <c r="F380" s="29"/>
      <c r="G380" s="29"/>
      <c r="H380" s="29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ht="15.75" customHeight="1" x14ac:dyDescent="0.2">
      <c r="A381"/>
      <c r="B381" s="2"/>
      <c r="C381" s="29"/>
      <c r="D381" s="29"/>
      <c r="E381" s="29"/>
      <c r="F381" s="29"/>
      <c r="G381" s="29"/>
      <c r="H381" s="29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1:42" ht="15.75" customHeight="1" x14ac:dyDescent="0.2">
      <c r="A382"/>
      <c r="B382" s="2"/>
      <c r="C382" s="29"/>
      <c r="D382" s="29"/>
      <c r="E382" s="29"/>
      <c r="F382" s="29"/>
      <c r="G382" s="29"/>
      <c r="H382" s="29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ht="15.75" customHeight="1" x14ac:dyDescent="0.2">
      <c r="A383"/>
      <c r="B383" s="2"/>
      <c r="C383" s="29"/>
      <c r="D383" s="29"/>
      <c r="E383" s="29"/>
      <c r="F383" s="29"/>
      <c r="G383" s="29"/>
      <c r="H383" s="29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ht="15.75" customHeight="1" x14ac:dyDescent="0.2">
      <c r="A384"/>
      <c r="B384" s="2"/>
      <c r="C384" s="29"/>
      <c r="D384" s="29"/>
      <c r="E384" s="29"/>
      <c r="F384" s="29"/>
      <c r="G384" s="29"/>
      <c r="H384" s="29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ht="15.75" customHeight="1" x14ac:dyDescent="0.2">
      <c r="A385"/>
      <c r="B385" s="2"/>
      <c r="C385" s="29"/>
      <c r="D385" s="29"/>
      <c r="E385" s="29"/>
      <c r="F385" s="29"/>
      <c r="G385" s="29"/>
      <c r="H385" s="29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ht="15.75" customHeight="1" x14ac:dyDescent="0.2">
      <c r="A386"/>
      <c r="B386" s="2"/>
      <c r="C386" s="29"/>
      <c r="D386" s="29"/>
      <c r="E386" s="29"/>
      <c r="F386" s="29"/>
      <c r="G386" s="29"/>
      <c r="H386" s="29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ht="15.75" customHeight="1" x14ac:dyDescent="0.2">
      <c r="A387"/>
      <c r="B387" s="2"/>
      <c r="C387" s="29"/>
      <c r="D387" s="29"/>
      <c r="E387" s="29"/>
      <c r="F387" s="29"/>
      <c r="G387" s="29"/>
      <c r="H387" s="29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ht="15.75" customHeight="1" x14ac:dyDescent="0.2">
      <c r="A388"/>
      <c r="B388" s="2"/>
      <c r="C388" s="29"/>
      <c r="D388" s="29"/>
      <c r="E388" s="29"/>
      <c r="F388" s="29"/>
      <c r="G388" s="29"/>
      <c r="H388" s="29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ht="15.75" customHeight="1" x14ac:dyDescent="0.2">
      <c r="A389"/>
      <c r="B389" s="2"/>
      <c r="C389" s="29"/>
      <c r="D389" s="29"/>
      <c r="E389" s="29"/>
      <c r="F389" s="29"/>
      <c r="G389" s="29"/>
      <c r="H389" s="29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1:42" ht="15.75" customHeight="1" x14ac:dyDescent="0.2">
      <c r="A390"/>
      <c r="B390" s="2"/>
      <c r="C390" s="29"/>
      <c r="D390" s="29"/>
      <c r="E390" s="29"/>
      <c r="F390" s="29"/>
      <c r="G390" s="29"/>
      <c r="H390" s="29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ht="15.75" customHeight="1" x14ac:dyDescent="0.2">
      <c r="A391"/>
      <c r="B391" s="2"/>
      <c r="C391" s="29"/>
      <c r="D391" s="29"/>
      <c r="E391" s="29"/>
      <c r="F391" s="29"/>
      <c r="G391" s="29"/>
      <c r="H391" s="29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1:42" ht="15.75" customHeight="1" x14ac:dyDescent="0.2">
      <c r="A392"/>
      <c r="B392" s="2"/>
      <c r="C392" s="29"/>
      <c r="D392" s="29"/>
      <c r="E392" s="29"/>
      <c r="F392" s="29"/>
      <c r="G392" s="29"/>
      <c r="H392" s="29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ht="15.75" customHeight="1" x14ac:dyDescent="0.2">
      <c r="A393"/>
      <c r="B393" s="2"/>
      <c r="C393" s="29"/>
      <c r="D393" s="29"/>
      <c r="E393" s="29"/>
      <c r="F393" s="29"/>
      <c r="G393" s="29"/>
      <c r="H393" s="29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ht="15.75" customHeight="1" x14ac:dyDescent="0.2">
      <c r="A394"/>
      <c r="B394" s="2"/>
      <c r="C394" s="29"/>
      <c r="D394" s="29"/>
      <c r="E394" s="29"/>
      <c r="F394" s="29"/>
      <c r="G394" s="29"/>
      <c r="H394" s="29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ht="15.75" customHeight="1" x14ac:dyDescent="0.2">
      <c r="A395"/>
      <c r="B395" s="2"/>
      <c r="C395" s="29"/>
      <c r="D395" s="29"/>
      <c r="E395" s="29"/>
      <c r="F395" s="29"/>
      <c r="G395" s="29"/>
      <c r="H395" s="29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ht="15.75" customHeight="1" x14ac:dyDescent="0.2">
      <c r="A396"/>
      <c r="B396" s="2"/>
      <c r="C396" s="29"/>
      <c r="D396" s="29"/>
      <c r="E396" s="29"/>
      <c r="F396" s="29"/>
      <c r="G396" s="29"/>
      <c r="H396" s="29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ht="15.75" customHeight="1" x14ac:dyDescent="0.2">
      <c r="A397"/>
      <c r="B397" s="2"/>
      <c r="C397" s="29"/>
      <c r="D397" s="29"/>
      <c r="E397" s="29"/>
      <c r="F397" s="29"/>
      <c r="G397" s="29"/>
      <c r="H397" s="29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ht="15.75" customHeight="1" x14ac:dyDescent="0.2">
      <c r="A398"/>
      <c r="B398" s="2"/>
      <c r="C398" s="29"/>
      <c r="D398" s="29"/>
      <c r="E398" s="29"/>
      <c r="F398" s="29"/>
      <c r="G398" s="29"/>
      <c r="H398" s="29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ht="15.75" customHeight="1" x14ac:dyDescent="0.2">
      <c r="A399"/>
      <c r="B399" s="2"/>
      <c r="C399" s="29"/>
      <c r="D399" s="29"/>
      <c r="E399" s="29"/>
      <c r="F399" s="29"/>
      <c r="G399" s="29"/>
      <c r="H399" s="29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ht="15.75" customHeight="1" x14ac:dyDescent="0.2">
      <c r="A400"/>
      <c r="B400" s="2"/>
      <c r="C400" s="29"/>
      <c r="D400" s="29"/>
      <c r="E400" s="29"/>
      <c r="F400" s="29"/>
      <c r="G400" s="29"/>
      <c r="H400" s="29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ht="15.75" customHeight="1" x14ac:dyDescent="0.2">
      <c r="A401"/>
      <c r="B401" s="2"/>
      <c r="C401" s="29"/>
      <c r="D401" s="29"/>
      <c r="E401" s="29"/>
      <c r="F401" s="29"/>
      <c r="G401" s="29"/>
      <c r="H401" s="29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ht="15.75" customHeight="1" x14ac:dyDescent="0.2">
      <c r="A402"/>
      <c r="B402" s="2"/>
      <c r="C402" s="29"/>
      <c r="D402" s="29"/>
      <c r="E402" s="29"/>
      <c r="F402" s="29"/>
      <c r="G402" s="29"/>
      <c r="H402" s="29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ht="15.75" customHeight="1" x14ac:dyDescent="0.2">
      <c r="A403"/>
      <c r="B403" s="2"/>
      <c r="C403" s="29"/>
      <c r="D403" s="29"/>
      <c r="E403" s="29"/>
      <c r="F403" s="29"/>
      <c r="G403" s="29"/>
      <c r="H403" s="29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ht="15.75" customHeight="1" x14ac:dyDescent="0.2">
      <c r="A404"/>
      <c r="B404" s="2"/>
      <c r="C404" s="29"/>
      <c r="D404" s="29"/>
      <c r="E404" s="29"/>
      <c r="F404" s="29"/>
      <c r="G404" s="29"/>
      <c r="H404" s="29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ht="15.75" customHeight="1" x14ac:dyDescent="0.2">
      <c r="A405"/>
      <c r="B405" s="2"/>
      <c r="C405" s="29"/>
      <c r="D405" s="29"/>
      <c r="E405" s="29"/>
      <c r="F405" s="29"/>
      <c r="G405" s="29"/>
      <c r="H405" s="29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ht="15.75" customHeight="1" x14ac:dyDescent="0.2">
      <c r="A406"/>
      <c r="B406" s="2"/>
      <c r="C406" s="29"/>
      <c r="D406" s="29"/>
      <c r="E406" s="29"/>
      <c r="F406" s="29"/>
      <c r="G406" s="29"/>
      <c r="H406" s="29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ht="15.75" customHeight="1" x14ac:dyDescent="0.2">
      <c r="A407"/>
      <c r="B407" s="2"/>
      <c r="C407" s="29"/>
      <c r="D407" s="29"/>
      <c r="E407" s="29"/>
      <c r="F407" s="29"/>
      <c r="G407" s="29"/>
      <c r="H407" s="29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ht="15.75" customHeight="1" x14ac:dyDescent="0.2">
      <c r="A408"/>
      <c r="B408" s="2"/>
      <c r="C408" s="29"/>
      <c r="D408" s="29"/>
      <c r="E408" s="29"/>
      <c r="F408" s="29"/>
      <c r="G408" s="29"/>
      <c r="H408" s="29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ht="15.75" customHeight="1" x14ac:dyDescent="0.2">
      <c r="A409"/>
      <c r="B409" s="2"/>
      <c r="C409" s="29"/>
      <c r="D409" s="29"/>
      <c r="E409" s="29"/>
      <c r="F409" s="29"/>
      <c r="G409" s="29"/>
      <c r="H409" s="29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ht="15.75" customHeight="1" x14ac:dyDescent="0.2">
      <c r="A410"/>
      <c r="B410" s="2"/>
      <c r="C410" s="29"/>
      <c r="D410" s="29"/>
      <c r="E410" s="29"/>
      <c r="F410" s="29"/>
      <c r="G410" s="29"/>
      <c r="H410" s="29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1:42" ht="15.75" customHeight="1" x14ac:dyDescent="0.2">
      <c r="A411"/>
      <c r="B411" s="2"/>
      <c r="C411" s="29"/>
      <c r="D411" s="29"/>
      <c r="E411" s="29"/>
      <c r="F411" s="29"/>
      <c r="G411" s="29"/>
      <c r="H411" s="29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1:42" ht="15.75" customHeight="1" x14ac:dyDescent="0.2">
      <c r="A412"/>
      <c r="B412" s="2"/>
      <c r="C412" s="29"/>
      <c r="D412" s="29"/>
      <c r="E412" s="29"/>
      <c r="F412" s="29"/>
      <c r="G412" s="29"/>
      <c r="H412" s="29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1:42" ht="15.75" customHeight="1" x14ac:dyDescent="0.2">
      <c r="A413"/>
      <c r="B413" s="2"/>
      <c r="C413" s="29"/>
      <c r="D413" s="29"/>
      <c r="E413" s="29"/>
      <c r="F413" s="29"/>
      <c r="G413" s="29"/>
      <c r="H413" s="29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ht="15.75" customHeight="1" x14ac:dyDescent="0.2">
      <c r="A414"/>
      <c r="B414" s="2"/>
      <c r="C414" s="29"/>
      <c r="D414" s="29"/>
      <c r="E414" s="29"/>
      <c r="F414" s="29"/>
      <c r="G414" s="29"/>
      <c r="H414" s="29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ht="15.75" customHeight="1" x14ac:dyDescent="0.2">
      <c r="A415"/>
      <c r="B415" s="2"/>
      <c r="C415" s="29"/>
      <c r="D415" s="29"/>
      <c r="E415" s="29"/>
      <c r="F415" s="29"/>
      <c r="G415" s="29"/>
      <c r="H415" s="29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ht="15.75" customHeight="1" x14ac:dyDescent="0.2">
      <c r="A416"/>
      <c r="B416" s="2"/>
      <c r="C416" s="29"/>
      <c r="D416" s="29"/>
      <c r="E416" s="29"/>
      <c r="F416" s="29"/>
      <c r="G416" s="29"/>
      <c r="H416" s="29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ht="15.75" customHeight="1" x14ac:dyDescent="0.2">
      <c r="A417"/>
      <c r="B417" s="2"/>
      <c r="C417" s="29"/>
      <c r="D417" s="29"/>
      <c r="E417" s="29"/>
      <c r="F417" s="29"/>
      <c r="G417" s="29"/>
      <c r="H417" s="29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ht="15.75" customHeight="1" x14ac:dyDescent="0.2">
      <c r="A418"/>
      <c r="B418" s="2"/>
      <c r="C418" s="29"/>
      <c r="D418" s="29"/>
      <c r="E418" s="29"/>
      <c r="F418" s="29"/>
      <c r="G418" s="29"/>
      <c r="H418" s="29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1:42" ht="15.75" customHeight="1" x14ac:dyDescent="0.2">
      <c r="A419"/>
      <c r="B419" s="2"/>
      <c r="C419" s="29"/>
      <c r="D419" s="29"/>
      <c r="E419" s="29"/>
      <c r="F419" s="29"/>
      <c r="G419" s="29"/>
      <c r="H419" s="29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ht="15.75" customHeight="1" x14ac:dyDescent="0.2">
      <c r="A420"/>
      <c r="B420" s="2"/>
      <c r="C420" s="29"/>
      <c r="D420" s="29"/>
      <c r="E420" s="29"/>
      <c r="F420" s="29"/>
      <c r="G420" s="29"/>
      <c r="H420" s="29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ht="15.75" customHeight="1" x14ac:dyDescent="0.2">
      <c r="A421"/>
      <c r="B421" s="2"/>
      <c r="C421" s="29"/>
      <c r="D421" s="29"/>
      <c r="E421" s="29"/>
      <c r="F421" s="29"/>
      <c r="G421" s="29"/>
      <c r="H421" s="29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1:42" ht="15.75" customHeight="1" x14ac:dyDescent="0.2">
      <c r="A422"/>
      <c r="B422" s="2"/>
      <c r="C422" s="29"/>
      <c r="D422" s="29"/>
      <c r="E422" s="29"/>
      <c r="F422" s="29"/>
      <c r="G422" s="29"/>
      <c r="H422" s="29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ht="15.75" customHeight="1" x14ac:dyDescent="0.2">
      <c r="A423"/>
      <c r="B423" s="2"/>
      <c r="C423" s="29"/>
      <c r="D423" s="29"/>
      <c r="E423" s="29"/>
      <c r="F423" s="29"/>
      <c r="G423" s="29"/>
      <c r="H423" s="29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ht="15.75" customHeight="1" x14ac:dyDescent="0.2">
      <c r="A424"/>
      <c r="B424" s="2"/>
      <c r="C424" s="29"/>
      <c r="D424" s="29"/>
      <c r="E424" s="29"/>
      <c r="F424" s="29"/>
      <c r="G424" s="29"/>
      <c r="H424" s="29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ht="15.75" customHeight="1" x14ac:dyDescent="0.2">
      <c r="A425"/>
      <c r="B425" s="2"/>
      <c r="C425" s="29"/>
      <c r="D425" s="29"/>
      <c r="E425" s="29"/>
      <c r="F425" s="29"/>
      <c r="G425" s="29"/>
      <c r="H425" s="29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ht="15.75" customHeight="1" x14ac:dyDescent="0.2">
      <c r="A426"/>
      <c r="B426" s="2"/>
      <c r="C426" s="29"/>
      <c r="D426" s="29"/>
      <c r="E426" s="29"/>
      <c r="F426" s="29"/>
      <c r="G426" s="29"/>
      <c r="H426" s="29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ht="15.75" customHeight="1" x14ac:dyDescent="0.2">
      <c r="A427"/>
      <c r="B427" s="2"/>
      <c r="C427" s="29"/>
      <c r="D427" s="29"/>
      <c r="E427" s="29"/>
      <c r="F427" s="29"/>
      <c r="G427" s="29"/>
      <c r="H427" s="29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ht="15.75" customHeight="1" x14ac:dyDescent="0.2">
      <c r="A428"/>
      <c r="B428" s="2"/>
      <c r="C428" s="29"/>
      <c r="D428" s="29"/>
      <c r="E428" s="29"/>
      <c r="F428" s="29"/>
      <c r="G428" s="29"/>
      <c r="H428" s="29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ht="15.75" customHeight="1" x14ac:dyDescent="0.2">
      <c r="A429"/>
      <c r="B429" s="2"/>
      <c r="C429" s="29"/>
      <c r="D429" s="29"/>
      <c r="E429" s="29"/>
      <c r="F429" s="29"/>
      <c r="G429" s="29"/>
      <c r="H429" s="29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ht="15.75" customHeight="1" x14ac:dyDescent="0.2">
      <c r="A430"/>
      <c r="B430" s="2"/>
      <c r="C430" s="29"/>
      <c r="D430" s="29"/>
      <c r="E430" s="29"/>
      <c r="F430" s="29"/>
      <c r="G430" s="29"/>
      <c r="H430" s="29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ht="15.75" customHeight="1" x14ac:dyDescent="0.2">
      <c r="A431"/>
      <c r="B431" s="2"/>
      <c r="C431" s="29"/>
      <c r="D431" s="29"/>
      <c r="E431" s="29"/>
      <c r="F431" s="29"/>
      <c r="G431" s="29"/>
      <c r="H431" s="29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ht="15.75" customHeight="1" x14ac:dyDescent="0.2">
      <c r="A432"/>
      <c r="B432" s="2"/>
      <c r="C432" s="29"/>
      <c r="D432" s="29"/>
      <c r="E432" s="29"/>
      <c r="F432" s="29"/>
      <c r="G432" s="29"/>
      <c r="H432" s="29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1:42" ht="15.75" customHeight="1" x14ac:dyDescent="0.2">
      <c r="A433"/>
      <c r="B433" s="2"/>
      <c r="C433" s="29"/>
      <c r="D433" s="29"/>
      <c r="E433" s="29"/>
      <c r="F433" s="29"/>
      <c r="G433" s="29"/>
      <c r="H433" s="29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ht="15.75" customHeight="1" x14ac:dyDescent="0.2">
      <c r="A434"/>
      <c r="B434" s="2"/>
      <c r="C434" s="29"/>
      <c r="D434" s="29"/>
      <c r="E434" s="29"/>
      <c r="F434" s="29"/>
      <c r="G434" s="29"/>
      <c r="H434" s="29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ht="15.75" customHeight="1" x14ac:dyDescent="0.2">
      <c r="A435"/>
      <c r="B435" s="2"/>
      <c r="C435" s="29"/>
      <c r="D435" s="29"/>
      <c r="E435" s="29"/>
      <c r="F435" s="29"/>
      <c r="G435" s="29"/>
      <c r="H435" s="29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ht="15.75" customHeight="1" x14ac:dyDescent="0.2">
      <c r="A436"/>
      <c r="B436" s="2"/>
      <c r="C436" s="29"/>
      <c r="D436" s="29"/>
      <c r="E436" s="29"/>
      <c r="F436" s="29"/>
      <c r="G436" s="29"/>
      <c r="H436" s="29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ht="15.75" customHeight="1" x14ac:dyDescent="0.2">
      <c r="A437"/>
      <c r="B437" s="2"/>
      <c r="C437" s="29"/>
      <c r="D437" s="29"/>
      <c r="E437" s="29"/>
      <c r="F437" s="29"/>
      <c r="G437" s="29"/>
      <c r="H437" s="29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ht="15.75" customHeight="1" x14ac:dyDescent="0.2">
      <c r="A438"/>
      <c r="B438" s="2"/>
      <c r="C438" s="29"/>
      <c r="D438" s="29"/>
      <c r="E438" s="29"/>
      <c r="F438" s="29"/>
      <c r="G438" s="29"/>
      <c r="H438" s="29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ht="15.75" customHeight="1" x14ac:dyDescent="0.2">
      <c r="A439"/>
      <c r="B439" s="2"/>
      <c r="C439" s="29"/>
      <c r="D439" s="29"/>
      <c r="E439" s="29"/>
      <c r="F439" s="29"/>
      <c r="G439" s="29"/>
      <c r="H439" s="29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ht="15.75" customHeight="1" x14ac:dyDescent="0.2">
      <c r="A440"/>
      <c r="B440" s="2"/>
      <c r="C440" s="29"/>
      <c r="D440" s="29"/>
      <c r="E440" s="29"/>
      <c r="F440" s="29"/>
      <c r="G440" s="29"/>
      <c r="H440" s="29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ht="15.75" customHeight="1" x14ac:dyDescent="0.2">
      <c r="A441"/>
      <c r="B441" s="2"/>
      <c r="C441" s="29"/>
      <c r="D441" s="29"/>
      <c r="E441" s="29"/>
      <c r="F441" s="29"/>
      <c r="G441" s="29"/>
      <c r="H441" s="29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1:42" ht="15.75" customHeight="1" x14ac:dyDescent="0.2">
      <c r="A442"/>
      <c r="B442" s="2"/>
      <c r="C442" s="29"/>
      <c r="D442" s="29"/>
      <c r="E442" s="29"/>
      <c r="F442" s="29"/>
      <c r="G442" s="29"/>
      <c r="H442" s="29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ht="15.75" customHeight="1" x14ac:dyDescent="0.2">
      <c r="A443"/>
      <c r="B443" s="2"/>
      <c r="C443" s="29"/>
      <c r="D443" s="29"/>
      <c r="E443" s="29"/>
      <c r="F443" s="29"/>
      <c r="G443" s="29"/>
      <c r="H443" s="29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ht="15.75" customHeight="1" x14ac:dyDescent="0.2">
      <c r="A444"/>
      <c r="B444" s="2"/>
      <c r="C444" s="29"/>
      <c r="D444" s="29"/>
      <c r="E444" s="29"/>
      <c r="F444" s="29"/>
      <c r="G444" s="29"/>
      <c r="H444" s="29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1:42" ht="15.75" customHeight="1" x14ac:dyDescent="0.2">
      <c r="A445"/>
      <c r="B445" s="2"/>
      <c r="C445" s="29"/>
      <c r="D445" s="29"/>
      <c r="E445" s="29"/>
      <c r="F445" s="29"/>
      <c r="G445" s="29"/>
      <c r="H445" s="29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ht="15.75" customHeight="1" x14ac:dyDescent="0.2">
      <c r="A446"/>
      <c r="B446" s="2"/>
      <c r="C446" s="29"/>
      <c r="D446" s="29"/>
      <c r="E446" s="29"/>
      <c r="F446" s="29"/>
      <c r="G446" s="29"/>
      <c r="H446" s="29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ht="15.75" customHeight="1" x14ac:dyDescent="0.2">
      <c r="A447"/>
      <c r="B447" s="2"/>
      <c r="C447" s="29"/>
      <c r="D447" s="29"/>
      <c r="E447" s="29"/>
      <c r="F447" s="29"/>
      <c r="G447" s="29"/>
      <c r="H447" s="29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ht="15.75" customHeight="1" x14ac:dyDescent="0.2">
      <c r="A448"/>
      <c r="B448" s="2"/>
      <c r="C448" s="29"/>
      <c r="D448" s="29"/>
      <c r="E448" s="29"/>
      <c r="F448" s="29"/>
      <c r="G448" s="29"/>
      <c r="H448" s="29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ht="15.75" customHeight="1" x14ac:dyDescent="0.2">
      <c r="A449"/>
      <c r="B449" s="2"/>
      <c r="C449" s="29"/>
      <c r="D449" s="29"/>
      <c r="E449" s="29"/>
      <c r="F449" s="29"/>
      <c r="G449" s="29"/>
      <c r="H449" s="29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ht="15.75" customHeight="1" x14ac:dyDescent="0.2">
      <c r="A450"/>
      <c r="B450" s="2"/>
      <c r="C450" s="29"/>
      <c r="D450" s="29"/>
      <c r="E450" s="29"/>
      <c r="F450" s="29"/>
      <c r="G450" s="29"/>
      <c r="H450" s="29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ht="15.75" customHeight="1" x14ac:dyDescent="0.2">
      <c r="A451"/>
      <c r="B451" s="2"/>
      <c r="C451" s="29"/>
      <c r="D451" s="29"/>
      <c r="E451" s="29"/>
      <c r="F451" s="29"/>
      <c r="G451" s="29"/>
      <c r="H451" s="29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ht="15.75" customHeight="1" x14ac:dyDescent="0.2">
      <c r="A452"/>
      <c r="B452" s="2"/>
      <c r="C452" s="29"/>
      <c r="D452" s="29"/>
      <c r="E452" s="29"/>
      <c r="F452" s="29"/>
      <c r="G452" s="29"/>
      <c r="H452" s="29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ht="15.75" customHeight="1" x14ac:dyDescent="0.2">
      <c r="A453"/>
      <c r="B453" s="2"/>
      <c r="C453" s="29"/>
      <c r="D453" s="29"/>
      <c r="E453" s="29"/>
      <c r="F453" s="29"/>
      <c r="G453" s="29"/>
      <c r="H453" s="29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ht="15.75" customHeight="1" x14ac:dyDescent="0.2">
      <c r="A454"/>
      <c r="B454" s="2"/>
      <c r="C454" s="29"/>
      <c r="D454" s="29"/>
      <c r="E454" s="29"/>
      <c r="F454" s="29"/>
      <c r="G454" s="29"/>
      <c r="H454" s="29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ht="15.75" customHeight="1" x14ac:dyDescent="0.2">
      <c r="A455"/>
      <c r="B455" s="2"/>
      <c r="C455" s="29"/>
      <c r="D455" s="29"/>
      <c r="E455" s="29"/>
      <c r="F455" s="29"/>
      <c r="G455" s="29"/>
      <c r="H455" s="29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ht="15.75" customHeight="1" x14ac:dyDescent="0.2">
      <c r="A456"/>
      <c r="B456" s="2"/>
      <c r="C456" s="29"/>
      <c r="D456" s="29"/>
      <c r="E456" s="29"/>
      <c r="F456" s="29"/>
      <c r="G456" s="29"/>
      <c r="H456" s="29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1:42" ht="15.75" customHeight="1" x14ac:dyDescent="0.2">
      <c r="A457"/>
      <c r="B457" s="2"/>
      <c r="C457" s="29"/>
      <c r="D457" s="29"/>
      <c r="E457" s="29"/>
      <c r="F457" s="29"/>
      <c r="G457" s="29"/>
      <c r="H457" s="29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ht="15.75" customHeight="1" x14ac:dyDescent="0.2">
      <c r="A458"/>
      <c r="B458" s="2"/>
      <c r="C458" s="29"/>
      <c r="D458" s="29"/>
      <c r="E458" s="29"/>
      <c r="F458" s="29"/>
      <c r="G458" s="29"/>
      <c r="H458" s="29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1:42" ht="15.75" customHeight="1" x14ac:dyDescent="0.2">
      <c r="A459"/>
      <c r="B459" s="2"/>
      <c r="C459" s="29"/>
      <c r="D459" s="29"/>
      <c r="E459" s="29"/>
      <c r="F459" s="29"/>
      <c r="G459" s="29"/>
      <c r="H459" s="29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1:42" ht="15.75" customHeight="1" x14ac:dyDescent="0.2">
      <c r="A460"/>
      <c r="B460" s="2"/>
      <c r="C460" s="29"/>
      <c r="D460" s="29"/>
      <c r="E460" s="29"/>
      <c r="F460" s="29"/>
      <c r="G460" s="29"/>
      <c r="H460" s="29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1:42" ht="15.75" customHeight="1" x14ac:dyDescent="0.2">
      <c r="A461"/>
      <c r="B461" s="2"/>
      <c r="C461" s="29"/>
      <c r="D461" s="29"/>
      <c r="E461" s="29"/>
      <c r="F461" s="29"/>
      <c r="G461" s="29"/>
      <c r="H461" s="29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1:42" ht="15.75" customHeight="1" x14ac:dyDescent="0.2">
      <c r="A462"/>
      <c r="B462" s="2"/>
      <c r="C462" s="29"/>
      <c r="D462" s="29"/>
      <c r="E462" s="29"/>
      <c r="F462" s="29"/>
      <c r="G462" s="29"/>
      <c r="H462" s="29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1:42" ht="15.75" customHeight="1" x14ac:dyDescent="0.2">
      <c r="A463"/>
      <c r="B463" s="2"/>
      <c r="C463" s="29"/>
      <c r="D463" s="29"/>
      <c r="E463" s="29"/>
      <c r="F463" s="29"/>
      <c r="G463" s="29"/>
      <c r="H463" s="29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1:42" ht="15.75" customHeight="1" x14ac:dyDescent="0.2">
      <c r="A464"/>
      <c r="B464" s="2"/>
      <c r="C464" s="29"/>
      <c r="D464" s="29"/>
      <c r="E464" s="29"/>
      <c r="F464" s="29"/>
      <c r="G464" s="29"/>
      <c r="H464" s="29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1:42" ht="15.75" customHeight="1" x14ac:dyDescent="0.2">
      <c r="A465"/>
      <c r="B465" s="2"/>
      <c r="C465" s="29"/>
      <c r="D465" s="29"/>
      <c r="E465" s="29"/>
      <c r="F465" s="29"/>
      <c r="G465" s="29"/>
      <c r="H465" s="29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1:42" ht="15.75" customHeight="1" x14ac:dyDescent="0.2">
      <c r="A466"/>
      <c r="B466" s="2"/>
      <c r="C466" s="29"/>
      <c r="D466" s="29"/>
      <c r="E466" s="29"/>
      <c r="F466" s="29"/>
      <c r="G466" s="29"/>
      <c r="H466" s="29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1:42" ht="15.75" customHeight="1" x14ac:dyDescent="0.2">
      <c r="A467"/>
      <c r="B467" s="2"/>
      <c r="C467" s="29"/>
      <c r="D467" s="29"/>
      <c r="E467" s="29"/>
      <c r="F467" s="29"/>
      <c r="G467" s="29"/>
      <c r="H467" s="29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1:42" ht="15.75" customHeight="1" x14ac:dyDescent="0.2">
      <c r="A468"/>
      <c r="B468" s="2"/>
      <c r="C468" s="29"/>
      <c r="D468" s="29"/>
      <c r="E468" s="29"/>
      <c r="F468" s="29"/>
      <c r="G468" s="29"/>
      <c r="H468" s="29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1:42" ht="15.75" customHeight="1" x14ac:dyDescent="0.2">
      <c r="A469"/>
      <c r="B469" s="2"/>
      <c r="C469" s="29"/>
      <c r="D469" s="29"/>
      <c r="E469" s="29"/>
      <c r="F469" s="29"/>
      <c r="G469" s="29"/>
      <c r="H469" s="29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1:42" ht="15.75" customHeight="1" x14ac:dyDescent="0.2">
      <c r="A470"/>
      <c r="B470" s="2"/>
      <c r="C470" s="29"/>
      <c r="D470" s="29"/>
      <c r="E470" s="29"/>
      <c r="F470" s="29"/>
      <c r="G470" s="29"/>
      <c r="H470" s="29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1:42" ht="15.75" customHeight="1" x14ac:dyDescent="0.2">
      <c r="A471"/>
      <c r="B471" s="2"/>
      <c r="C471" s="29"/>
      <c r="D471" s="29"/>
      <c r="E471" s="29"/>
      <c r="F471" s="29"/>
      <c r="G471" s="29"/>
      <c r="H471" s="29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1:42" ht="15.75" customHeight="1" x14ac:dyDescent="0.2">
      <c r="A472"/>
      <c r="B472" s="2"/>
      <c r="C472" s="29"/>
      <c r="D472" s="29"/>
      <c r="E472" s="29"/>
      <c r="F472" s="29"/>
      <c r="G472" s="29"/>
      <c r="H472" s="29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1:42" ht="15.75" customHeight="1" x14ac:dyDescent="0.2">
      <c r="A473"/>
      <c r="B473" s="2"/>
      <c r="C473" s="29"/>
      <c r="D473" s="29"/>
      <c r="E473" s="29"/>
      <c r="F473" s="29"/>
      <c r="G473" s="29"/>
      <c r="H473" s="29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1:42" ht="15.75" customHeight="1" x14ac:dyDescent="0.2">
      <c r="A474"/>
      <c r="B474" s="2"/>
      <c r="C474" s="29"/>
      <c r="D474" s="29"/>
      <c r="E474" s="29"/>
      <c r="F474" s="29"/>
      <c r="G474" s="29"/>
      <c r="H474" s="29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1:42" ht="15.75" customHeight="1" x14ac:dyDescent="0.2">
      <c r="A475"/>
      <c r="B475" s="2"/>
      <c r="C475" s="29"/>
      <c r="D475" s="29"/>
      <c r="E475" s="29"/>
      <c r="F475" s="29"/>
      <c r="G475" s="29"/>
      <c r="H475" s="29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1:42" ht="15.75" customHeight="1" x14ac:dyDescent="0.2">
      <c r="A476"/>
      <c r="B476" s="2"/>
      <c r="C476" s="29"/>
      <c r="D476" s="29"/>
      <c r="E476" s="29"/>
      <c r="F476" s="29"/>
      <c r="G476" s="29"/>
      <c r="H476" s="29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1:42" ht="15.75" customHeight="1" x14ac:dyDescent="0.2">
      <c r="A477"/>
      <c r="B477" s="2"/>
      <c r="C477" s="29"/>
      <c r="D477" s="29"/>
      <c r="E477" s="29"/>
      <c r="F477" s="29"/>
      <c r="G477" s="29"/>
      <c r="H477" s="29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1:42" ht="15.75" customHeight="1" x14ac:dyDescent="0.2">
      <c r="A478"/>
      <c r="B478" s="2"/>
      <c r="C478" s="29"/>
      <c r="D478" s="29"/>
      <c r="E478" s="29"/>
      <c r="F478" s="29"/>
      <c r="G478" s="29"/>
      <c r="H478" s="29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1:42" ht="15.75" customHeight="1" x14ac:dyDescent="0.2">
      <c r="A479"/>
      <c r="B479" s="2"/>
      <c r="C479" s="29"/>
      <c r="D479" s="29"/>
      <c r="E479" s="29"/>
      <c r="F479" s="29"/>
      <c r="G479" s="29"/>
      <c r="H479" s="29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1:42" ht="15.75" customHeight="1" x14ac:dyDescent="0.2">
      <c r="A480"/>
      <c r="B480" s="2"/>
      <c r="C480" s="29"/>
      <c r="D480" s="29"/>
      <c r="E480" s="29"/>
      <c r="F480" s="29"/>
      <c r="G480" s="29"/>
      <c r="H480" s="29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1:42" ht="15.75" customHeight="1" x14ac:dyDescent="0.2">
      <c r="A481"/>
      <c r="B481" s="2"/>
      <c r="C481" s="29"/>
      <c r="D481" s="29"/>
      <c r="E481" s="29"/>
      <c r="F481" s="29"/>
      <c r="G481" s="29"/>
      <c r="H481" s="29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1:42" ht="15.75" customHeight="1" x14ac:dyDescent="0.2">
      <c r="A482"/>
      <c r="B482" s="2"/>
      <c r="C482" s="29"/>
      <c r="D482" s="29"/>
      <c r="E482" s="29"/>
      <c r="F482" s="29"/>
      <c r="G482" s="29"/>
      <c r="H482" s="29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1:42" ht="15.75" customHeight="1" x14ac:dyDescent="0.2">
      <c r="A483"/>
      <c r="B483" s="2"/>
      <c r="C483" s="29"/>
      <c r="D483" s="29"/>
      <c r="E483" s="29"/>
      <c r="F483" s="29"/>
      <c r="G483" s="29"/>
      <c r="H483" s="29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1:42" ht="15.75" customHeight="1" x14ac:dyDescent="0.2">
      <c r="A484"/>
      <c r="B484" s="2"/>
      <c r="C484" s="29"/>
      <c r="D484" s="29"/>
      <c r="E484" s="29"/>
      <c r="F484" s="29"/>
      <c r="G484" s="29"/>
      <c r="H484" s="29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1:42" ht="15.75" customHeight="1" x14ac:dyDescent="0.2">
      <c r="A485"/>
      <c r="B485" s="2"/>
      <c r="C485" s="29"/>
      <c r="D485" s="29"/>
      <c r="E485" s="29"/>
      <c r="F485" s="29"/>
      <c r="G485" s="29"/>
      <c r="H485" s="29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1:42" ht="15.75" customHeight="1" x14ac:dyDescent="0.2">
      <c r="A486"/>
      <c r="B486" s="2"/>
      <c r="C486" s="29"/>
      <c r="D486" s="29"/>
      <c r="E486" s="29"/>
      <c r="F486" s="29"/>
      <c r="G486" s="29"/>
      <c r="H486" s="29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1:42" ht="15.75" customHeight="1" x14ac:dyDescent="0.2">
      <c r="A487"/>
      <c r="B487" s="2"/>
      <c r="C487" s="29"/>
      <c r="D487" s="29"/>
      <c r="E487" s="29"/>
      <c r="F487" s="29"/>
      <c r="G487" s="29"/>
      <c r="H487" s="29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1:42" ht="15.75" customHeight="1" x14ac:dyDescent="0.2">
      <c r="A488"/>
      <c r="B488" s="2"/>
      <c r="C488" s="29"/>
      <c r="D488" s="29"/>
      <c r="E488" s="29"/>
      <c r="F488" s="29"/>
      <c r="G488" s="29"/>
      <c r="H488" s="29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1:42" ht="15.75" customHeight="1" x14ac:dyDescent="0.2">
      <c r="A489"/>
      <c r="B489" s="2"/>
      <c r="C489" s="29"/>
      <c r="D489" s="29"/>
      <c r="E489" s="29"/>
      <c r="F489" s="29"/>
      <c r="G489" s="29"/>
      <c r="H489" s="29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1:42" ht="15.75" customHeight="1" x14ac:dyDescent="0.2">
      <c r="A490"/>
      <c r="B490" s="2"/>
      <c r="C490" s="29"/>
      <c r="D490" s="29"/>
      <c r="E490" s="29"/>
      <c r="F490" s="29"/>
      <c r="G490" s="29"/>
      <c r="H490" s="29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1:42" ht="15.75" customHeight="1" x14ac:dyDescent="0.2">
      <c r="A491"/>
      <c r="B491" s="2"/>
      <c r="C491" s="29"/>
      <c r="D491" s="29"/>
      <c r="E491" s="29"/>
      <c r="F491" s="29"/>
      <c r="G491" s="29"/>
      <c r="H491" s="29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1:42" ht="15.75" customHeight="1" x14ac:dyDescent="0.2">
      <c r="A492"/>
      <c r="B492" s="2"/>
      <c r="C492" s="29"/>
      <c r="D492" s="29"/>
      <c r="E492" s="29"/>
      <c r="F492" s="29"/>
      <c r="G492" s="29"/>
      <c r="H492" s="29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1:42" ht="15.75" customHeight="1" x14ac:dyDescent="0.2">
      <c r="A493"/>
      <c r="B493" s="2"/>
      <c r="C493" s="29"/>
      <c r="D493" s="29"/>
      <c r="E493" s="29"/>
      <c r="F493" s="29"/>
      <c r="G493" s="29"/>
      <c r="H493" s="29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1:42" ht="15.75" customHeight="1" x14ac:dyDescent="0.2">
      <c r="A494"/>
      <c r="B494" s="2"/>
      <c r="C494" s="29"/>
      <c r="D494" s="29"/>
      <c r="E494" s="29"/>
      <c r="F494" s="29"/>
      <c r="G494" s="29"/>
      <c r="H494" s="29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1:42" ht="15.75" customHeight="1" x14ac:dyDescent="0.2">
      <c r="A495"/>
      <c r="B495" s="2"/>
      <c r="C495" s="29"/>
      <c r="D495" s="29"/>
      <c r="E495" s="29"/>
      <c r="F495" s="29"/>
      <c r="G495" s="29"/>
      <c r="H495" s="29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1:42" ht="15.75" customHeight="1" x14ac:dyDescent="0.2">
      <c r="A496"/>
      <c r="B496" s="2"/>
      <c r="C496" s="29"/>
      <c r="D496" s="29"/>
      <c r="E496" s="29"/>
      <c r="F496" s="29"/>
      <c r="G496" s="29"/>
      <c r="H496" s="29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1:42" ht="15.75" customHeight="1" x14ac:dyDescent="0.2">
      <c r="A497"/>
      <c r="B497" s="2"/>
      <c r="C497" s="29"/>
      <c r="D497" s="29"/>
      <c r="E497" s="29"/>
      <c r="F497" s="29"/>
      <c r="G497" s="29"/>
      <c r="H497" s="29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1:42" ht="15.75" customHeight="1" x14ac:dyDescent="0.2">
      <c r="A498"/>
      <c r="B498" s="2"/>
      <c r="C498" s="29"/>
      <c r="D498" s="29"/>
      <c r="E498" s="29"/>
      <c r="F498" s="29"/>
      <c r="G498" s="29"/>
      <c r="H498" s="29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1:42" ht="15.75" customHeight="1" x14ac:dyDescent="0.2">
      <c r="A499"/>
      <c r="B499" s="2"/>
      <c r="C499" s="29"/>
      <c r="D499" s="29"/>
      <c r="E499" s="29"/>
      <c r="F499" s="29"/>
      <c r="G499" s="29"/>
      <c r="H499" s="29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1:42" ht="15.75" customHeight="1" x14ac:dyDescent="0.2">
      <c r="A500"/>
      <c r="B500" s="2"/>
      <c r="C500" s="29"/>
      <c r="D500" s="29"/>
      <c r="E500" s="29"/>
      <c r="F500" s="29"/>
      <c r="G500" s="29"/>
      <c r="H500" s="29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1:42" ht="15.75" customHeight="1" x14ac:dyDescent="0.2">
      <c r="A501"/>
      <c r="B501" s="2"/>
      <c r="C501" s="29"/>
      <c r="D501" s="29"/>
      <c r="E501" s="29"/>
      <c r="F501" s="29"/>
      <c r="G501" s="29"/>
      <c r="H501" s="29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1:42" ht="15.75" customHeight="1" x14ac:dyDescent="0.2">
      <c r="A502"/>
      <c r="B502" s="2"/>
      <c r="C502" s="29"/>
      <c r="D502" s="29"/>
      <c r="E502" s="29"/>
      <c r="F502" s="29"/>
      <c r="G502" s="29"/>
      <c r="H502" s="29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1:42" ht="15.75" customHeight="1" x14ac:dyDescent="0.2">
      <c r="A503"/>
      <c r="B503" s="2"/>
      <c r="C503" s="29"/>
      <c r="D503" s="29"/>
      <c r="E503" s="29"/>
      <c r="F503" s="29"/>
      <c r="G503" s="29"/>
      <c r="H503" s="29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1:42" ht="15.75" customHeight="1" x14ac:dyDescent="0.2">
      <c r="A504"/>
      <c r="B504" s="2"/>
      <c r="C504" s="29"/>
      <c r="D504" s="29"/>
      <c r="E504" s="29"/>
      <c r="F504" s="29"/>
      <c r="G504" s="29"/>
      <c r="H504" s="29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1:42" ht="15.75" customHeight="1" x14ac:dyDescent="0.2">
      <c r="A505"/>
      <c r="B505" s="2"/>
      <c r="C505" s="29"/>
      <c r="D505" s="29"/>
      <c r="E505" s="29"/>
      <c r="F505" s="29"/>
      <c r="G505" s="29"/>
      <c r="H505" s="29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1:42" ht="15.75" customHeight="1" x14ac:dyDescent="0.2">
      <c r="A506"/>
      <c r="B506" s="2"/>
      <c r="C506" s="29"/>
      <c r="D506" s="29"/>
      <c r="E506" s="29"/>
      <c r="F506" s="29"/>
      <c r="G506" s="29"/>
      <c r="H506" s="29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1:42" ht="15.75" customHeight="1" x14ac:dyDescent="0.2">
      <c r="A507"/>
      <c r="B507" s="2"/>
      <c r="C507" s="29"/>
      <c r="D507" s="29"/>
      <c r="E507" s="29"/>
      <c r="F507" s="29"/>
      <c r="G507" s="29"/>
      <c r="H507" s="29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1:42" ht="15.75" customHeight="1" x14ac:dyDescent="0.2">
      <c r="A508"/>
      <c r="B508" s="2"/>
      <c r="C508" s="29"/>
      <c r="D508" s="29"/>
      <c r="E508" s="29"/>
      <c r="F508" s="29"/>
      <c r="G508" s="29"/>
      <c r="H508" s="29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1:42" ht="15.75" customHeight="1" x14ac:dyDescent="0.2">
      <c r="A509"/>
      <c r="B509" s="2"/>
      <c r="C509" s="29"/>
      <c r="D509" s="29"/>
      <c r="E509" s="29"/>
      <c r="F509" s="29"/>
      <c r="G509" s="29"/>
      <c r="H509" s="29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1:42" ht="15.75" customHeight="1" x14ac:dyDescent="0.2">
      <c r="A510"/>
      <c r="B510" s="2"/>
      <c r="C510" s="29"/>
      <c r="D510" s="29"/>
      <c r="E510" s="29"/>
      <c r="F510" s="29"/>
      <c r="G510" s="29"/>
      <c r="H510" s="29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1:42" ht="15.75" customHeight="1" x14ac:dyDescent="0.2">
      <c r="A511"/>
      <c r="B511" s="2"/>
      <c r="C511" s="29"/>
      <c r="D511" s="29"/>
      <c r="E511" s="29"/>
      <c r="F511" s="29"/>
      <c r="G511" s="29"/>
      <c r="H511" s="29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1:42" ht="15.75" customHeight="1" x14ac:dyDescent="0.2">
      <c r="A512"/>
      <c r="B512" s="2"/>
      <c r="C512" s="29"/>
      <c r="D512" s="29"/>
      <c r="E512" s="29"/>
      <c r="F512" s="29"/>
      <c r="G512" s="29"/>
      <c r="H512" s="29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1:42" ht="15.75" customHeight="1" x14ac:dyDescent="0.2">
      <c r="A513"/>
      <c r="B513" s="2"/>
      <c r="C513" s="29"/>
      <c r="D513" s="29"/>
      <c r="E513" s="29"/>
      <c r="F513" s="29"/>
      <c r="G513" s="29"/>
      <c r="H513" s="29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1:42" ht="15.75" customHeight="1" x14ac:dyDescent="0.2">
      <c r="A514"/>
      <c r="B514" s="2"/>
      <c r="C514" s="29"/>
      <c r="D514" s="29"/>
      <c r="E514" s="29"/>
      <c r="F514" s="29"/>
      <c r="G514" s="29"/>
      <c r="H514" s="29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42" ht="15.75" customHeight="1" x14ac:dyDescent="0.2">
      <c r="A515"/>
      <c r="B515" s="2"/>
      <c r="C515" s="29"/>
      <c r="D515" s="29"/>
      <c r="E515" s="29"/>
      <c r="F515" s="29"/>
      <c r="G515" s="29"/>
      <c r="H515" s="29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42" ht="15.75" customHeight="1" x14ac:dyDescent="0.2">
      <c r="A516"/>
      <c r="B516" s="2"/>
      <c r="C516" s="29"/>
      <c r="D516" s="29"/>
      <c r="E516" s="29"/>
      <c r="F516" s="29"/>
      <c r="G516" s="29"/>
      <c r="H516" s="29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42" ht="15.75" customHeight="1" x14ac:dyDescent="0.2">
      <c r="A517"/>
      <c r="B517" s="2"/>
      <c r="C517" s="29"/>
      <c r="D517" s="29"/>
      <c r="E517" s="29"/>
      <c r="F517" s="29"/>
      <c r="G517" s="29"/>
      <c r="H517" s="29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42" ht="15.75" customHeight="1" x14ac:dyDescent="0.2">
      <c r="A518"/>
      <c r="B518" s="2"/>
      <c r="C518" s="29"/>
      <c r="D518" s="29"/>
      <c r="E518" s="29"/>
      <c r="F518" s="29"/>
      <c r="G518" s="29"/>
      <c r="H518" s="29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42" ht="15.75" customHeight="1" x14ac:dyDescent="0.2">
      <c r="A519"/>
      <c r="B519" s="2"/>
      <c r="C519" s="29"/>
      <c r="D519" s="29"/>
      <c r="E519" s="29"/>
      <c r="F519" s="29"/>
      <c r="G519" s="29"/>
      <c r="H519" s="29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42" ht="15.75" customHeight="1" x14ac:dyDescent="0.2">
      <c r="A520"/>
      <c r="B520" s="2"/>
      <c r="C520" s="29"/>
      <c r="D520" s="29"/>
      <c r="E520" s="29"/>
      <c r="F520" s="29"/>
      <c r="G520" s="29"/>
      <c r="H520" s="29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42" ht="15.75" customHeight="1" x14ac:dyDescent="0.2">
      <c r="A521"/>
      <c r="B521" s="2"/>
      <c r="C521" s="29"/>
      <c r="D521" s="29"/>
      <c r="E521" s="29"/>
      <c r="F521" s="29"/>
      <c r="G521" s="29"/>
      <c r="H521" s="29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42" ht="15.75" customHeight="1" x14ac:dyDescent="0.2">
      <c r="A522"/>
      <c r="B522" s="2"/>
      <c r="C522" s="29"/>
      <c r="D522" s="29"/>
      <c r="E522" s="29"/>
      <c r="F522" s="29"/>
      <c r="G522" s="29"/>
      <c r="H522" s="29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42" ht="15.75" customHeight="1" x14ac:dyDescent="0.2">
      <c r="A523"/>
      <c r="B523" s="2"/>
      <c r="C523" s="29"/>
      <c r="D523" s="29"/>
      <c r="E523" s="29"/>
      <c r="F523" s="29"/>
      <c r="G523" s="29"/>
      <c r="H523" s="29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42" ht="15.75" customHeight="1" x14ac:dyDescent="0.2">
      <c r="A524"/>
      <c r="B524" s="2"/>
      <c r="C524" s="29"/>
      <c r="D524" s="29"/>
      <c r="E524" s="29"/>
      <c r="F524" s="29"/>
      <c r="G524" s="29"/>
      <c r="H524" s="29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42" ht="15.75" customHeight="1" x14ac:dyDescent="0.2">
      <c r="A525"/>
      <c r="B525" s="2"/>
      <c r="C525" s="29"/>
      <c r="D525" s="29"/>
      <c r="E525" s="29"/>
      <c r="F525" s="29"/>
      <c r="G525" s="29"/>
      <c r="H525" s="29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42" ht="15.75" customHeight="1" x14ac:dyDescent="0.2">
      <c r="A526"/>
      <c r="B526" s="2"/>
      <c r="C526" s="29"/>
      <c r="D526" s="29"/>
      <c r="E526" s="29"/>
      <c r="F526" s="29"/>
      <c r="G526" s="29"/>
      <c r="H526" s="29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42" ht="15.75" customHeight="1" x14ac:dyDescent="0.2">
      <c r="A527"/>
      <c r="B527" s="2"/>
      <c r="C527" s="29"/>
      <c r="D527" s="29"/>
      <c r="E527" s="29"/>
      <c r="F527" s="29"/>
      <c r="G527" s="29"/>
      <c r="H527" s="29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42" ht="15.75" customHeight="1" x14ac:dyDescent="0.2">
      <c r="A528"/>
      <c r="B528" s="2"/>
      <c r="C528" s="29"/>
      <c r="D528" s="29"/>
      <c r="E528" s="29"/>
      <c r="F528" s="29"/>
      <c r="G528" s="29"/>
      <c r="H528" s="29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ht="15.75" customHeight="1" x14ac:dyDescent="0.2">
      <c r="A529"/>
      <c r="B529" s="2"/>
      <c r="C529" s="29"/>
      <c r="D529" s="29"/>
      <c r="E529" s="29"/>
      <c r="F529" s="29"/>
      <c r="G529" s="29"/>
      <c r="H529" s="29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ht="15.75" customHeight="1" x14ac:dyDescent="0.2">
      <c r="A530"/>
      <c r="B530" s="2"/>
      <c r="C530" s="29"/>
      <c r="D530" s="29"/>
      <c r="E530" s="29"/>
      <c r="F530" s="29"/>
      <c r="G530" s="29"/>
      <c r="H530" s="29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ht="15.75" customHeight="1" x14ac:dyDescent="0.2">
      <c r="A531"/>
      <c r="B531" s="2"/>
      <c r="C531" s="29"/>
      <c r="D531" s="29"/>
      <c r="E531" s="29"/>
      <c r="F531" s="29"/>
      <c r="G531" s="29"/>
      <c r="H531" s="29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ht="15.75" customHeight="1" x14ac:dyDescent="0.2">
      <c r="A532"/>
      <c r="B532" s="2"/>
      <c r="C532" s="29"/>
      <c r="D532" s="29"/>
      <c r="E532" s="29"/>
      <c r="F532" s="29"/>
      <c r="G532" s="29"/>
      <c r="H532" s="29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ht="15.75" customHeight="1" x14ac:dyDescent="0.2">
      <c r="A533"/>
      <c r="B533" s="2"/>
      <c r="C533" s="29"/>
      <c r="D533" s="29"/>
      <c r="E533" s="29"/>
      <c r="F533" s="29"/>
      <c r="G533" s="29"/>
      <c r="H533" s="29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ht="15.75" customHeight="1" x14ac:dyDescent="0.2">
      <c r="A534"/>
      <c r="B534" s="2"/>
      <c r="C534" s="29"/>
      <c r="D534" s="29"/>
      <c r="E534" s="29"/>
      <c r="F534" s="29"/>
      <c r="G534" s="29"/>
      <c r="H534" s="29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ht="15.75" customHeight="1" x14ac:dyDescent="0.2">
      <c r="A535"/>
      <c r="B535" s="2"/>
      <c r="C535" s="29"/>
      <c r="D535" s="29"/>
      <c r="E535" s="29"/>
      <c r="F535" s="29"/>
      <c r="G535" s="29"/>
      <c r="H535" s="29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ht="15.75" customHeight="1" x14ac:dyDescent="0.2">
      <c r="A536"/>
      <c r="B536" s="2"/>
      <c r="C536" s="29"/>
      <c r="D536" s="29"/>
      <c r="E536" s="29"/>
      <c r="F536" s="29"/>
      <c r="G536" s="29"/>
      <c r="H536" s="29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ht="15.75" customHeight="1" x14ac:dyDescent="0.2">
      <c r="A537"/>
      <c r="B537" s="2"/>
      <c r="C537" s="29"/>
      <c r="D537" s="29"/>
      <c r="E537" s="29"/>
      <c r="F537" s="29"/>
      <c r="G537" s="29"/>
      <c r="H537" s="29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ht="15.75" customHeight="1" x14ac:dyDescent="0.2">
      <c r="A538"/>
      <c r="B538" s="2"/>
      <c r="C538" s="29"/>
      <c r="D538" s="29"/>
      <c r="E538" s="29"/>
      <c r="F538" s="29"/>
      <c r="G538" s="29"/>
      <c r="H538" s="29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ht="15.75" customHeight="1" x14ac:dyDescent="0.2">
      <c r="A539"/>
      <c r="B539" s="2"/>
      <c r="C539" s="29"/>
      <c r="D539" s="29"/>
      <c r="E539" s="29"/>
      <c r="F539" s="29"/>
      <c r="G539" s="29"/>
      <c r="H539" s="29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ht="15.75" customHeight="1" x14ac:dyDescent="0.2">
      <c r="A540"/>
      <c r="B540" s="2"/>
      <c r="C540" s="29"/>
      <c r="D540" s="29"/>
      <c r="E540" s="29"/>
      <c r="F540" s="29"/>
      <c r="G540" s="29"/>
      <c r="H540" s="29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ht="15.75" customHeight="1" x14ac:dyDescent="0.2">
      <c r="A541"/>
      <c r="B541" s="2"/>
      <c r="C541" s="29"/>
      <c r="D541" s="29"/>
      <c r="E541" s="29"/>
      <c r="F541" s="29"/>
      <c r="G541" s="29"/>
      <c r="H541" s="29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ht="15.75" customHeight="1" x14ac:dyDescent="0.2">
      <c r="A542"/>
      <c r="B542" s="2"/>
      <c r="C542" s="29"/>
      <c r="D542" s="29"/>
      <c r="E542" s="29"/>
      <c r="F542" s="29"/>
      <c r="G542" s="29"/>
      <c r="H542" s="29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ht="15.75" customHeight="1" x14ac:dyDescent="0.2">
      <c r="A543"/>
      <c r="B543" s="2"/>
      <c r="C543" s="29"/>
      <c r="D543" s="29"/>
      <c r="E543" s="29"/>
      <c r="F543" s="29"/>
      <c r="G543" s="29"/>
      <c r="H543" s="29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ht="15.75" customHeight="1" x14ac:dyDescent="0.2">
      <c r="A544"/>
      <c r="B544" s="2"/>
      <c r="C544" s="29"/>
      <c r="D544" s="29"/>
      <c r="E544" s="29"/>
      <c r="F544" s="29"/>
      <c r="G544" s="29"/>
      <c r="H544" s="29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ht="15.75" customHeight="1" x14ac:dyDescent="0.2">
      <c r="A545"/>
      <c r="B545" s="2"/>
      <c r="C545" s="29"/>
      <c r="D545" s="29"/>
      <c r="E545" s="29"/>
      <c r="F545" s="29"/>
      <c r="G545" s="29"/>
      <c r="H545" s="29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ht="15.75" customHeight="1" x14ac:dyDescent="0.2">
      <c r="A546"/>
      <c r="B546" s="2"/>
      <c r="C546" s="29"/>
      <c r="D546" s="29"/>
      <c r="E546" s="29"/>
      <c r="F546" s="29"/>
      <c r="G546" s="29"/>
      <c r="H546" s="29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ht="15.75" customHeight="1" x14ac:dyDescent="0.2">
      <c r="A547"/>
      <c r="B547" s="2"/>
      <c r="C547" s="29"/>
      <c r="D547" s="29"/>
      <c r="E547" s="29"/>
      <c r="F547" s="29"/>
      <c r="G547" s="29"/>
      <c r="H547" s="29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ht="15.75" customHeight="1" x14ac:dyDescent="0.2">
      <c r="A548"/>
      <c r="B548" s="2"/>
      <c r="C548" s="29"/>
      <c r="D548" s="29"/>
      <c r="E548" s="29"/>
      <c r="F548" s="29"/>
      <c r="G548" s="29"/>
      <c r="H548" s="29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ht="15.75" customHeight="1" x14ac:dyDescent="0.2">
      <c r="A549"/>
      <c r="B549" s="2"/>
      <c r="C549" s="29"/>
      <c r="D549" s="29"/>
      <c r="E549" s="29"/>
      <c r="F549" s="29"/>
      <c r="G549" s="29"/>
      <c r="H549" s="29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ht="15.75" customHeight="1" x14ac:dyDescent="0.2">
      <c r="A550"/>
      <c r="B550" s="2"/>
      <c r="C550" s="29"/>
      <c r="D550" s="29"/>
      <c r="E550" s="29"/>
      <c r="F550" s="29"/>
      <c r="G550" s="29"/>
      <c r="H550" s="29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ht="15.75" customHeight="1" x14ac:dyDescent="0.2">
      <c r="A551"/>
      <c r="B551" s="2"/>
      <c r="C551" s="29"/>
      <c r="D551" s="29"/>
      <c r="E551" s="29"/>
      <c r="F551" s="29"/>
      <c r="G551" s="29"/>
      <c r="H551" s="29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ht="15.75" customHeight="1" x14ac:dyDescent="0.2">
      <c r="A552"/>
      <c r="B552" s="2"/>
      <c r="C552" s="29"/>
      <c r="D552" s="29"/>
      <c r="E552" s="29"/>
      <c r="F552" s="29"/>
      <c r="G552" s="29"/>
      <c r="H552" s="29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ht="15.75" customHeight="1" x14ac:dyDescent="0.2">
      <c r="A553"/>
      <c r="B553" s="2"/>
      <c r="C553" s="29"/>
      <c r="D553" s="29"/>
      <c r="E553" s="29"/>
      <c r="F553" s="29"/>
      <c r="G553" s="29"/>
      <c r="H553" s="29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ht="15.75" customHeight="1" x14ac:dyDescent="0.2">
      <c r="A554"/>
      <c r="B554" s="2"/>
      <c r="C554" s="29"/>
      <c r="D554" s="29"/>
      <c r="E554" s="29"/>
      <c r="F554" s="29"/>
      <c r="G554" s="29"/>
      <c r="H554" s="29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ht="15.75" customHeight="1" x14ac:dyDescent="0.2">
      <c r="A555"/>
      <c r="B555" s="2"/>
      <c r="C555" s="29"/>
      <c r="D555" s="29"/>
      <c r="E555" s="29"/>
      <c r="F555" s="29"/>
      <c r="G555" s="29"/>
      <c r="H555" s="29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ht="15.75" customHeight="1" x14ac:dyDescent="0.2">
      <c r="A556"/>
      <c r="B556" s="2"/>
      <c r="C556" s="29"/>
      <c r="D556" s="29"/>
      <c r="E556" s="29"/>
      <c r="F556" s="29"/>
      <c r="G556" s="29"/>
      <c r="H556" s="29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ht="15.75" customHeight="1" x14ac:dyDescent="0.2">
      <c r="A557"/>
      <c r="B557" s="2"/>
      <c r="C557" s="29"/>
      <c r="D557" s="29"/>
      <c r="E557" s="29"/>
      <c r="F557" s="29"/>
      <c r="G557" s="29"/>
      <c r="H557" s="29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ht="15.75" customHeight="1" x14ac:dyDescent="0.2">
      <c r="A558"/>
      <c r="B558" s="2"/>
      <c r="C558" s="29"/>
      <c r="D558" s="29"/>
      <c r="E558" s="29"/>
      <c r="F558" s="29"/>
      <c r="G558" s="29"/>
      <c r="H558" s="29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ht="15.75" customHeight="1" x14ac:dyDescent="0.2">
      <c r="A559"/>
      <c r="B559" s="2"/>
      <c r="C559" s="29"/>
      <c r="D559" s="29"/>
      <c r="E559" s="29"/>
      <c r="F559" s="29"/>
      <c r="G559" s="29"/>
      <c r="H559" s="29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ht="15.75" customHeight="1" x14ac:dyDescent="0.2">
      <c r="A560"/>
      <c r="B560" s="2"/>
      <c r="C560" s="29"/>
      <c r="D560" s="29"/>
      <c r="E560" s="29"/>
      <c r="F560" s="29"/>
      <c r="G560" s="29"/>
      <c r="H560" s="29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ht="15.75" customHeight="1" x14ac:dyDescent="0.2">
      <c r="A561"/>
      <c r="B561" s="2"/>
      <c r="C561" s="29"/>
      <c r="D561" s="29"/>
      <c r="E561" s="29"/>
      <c r="F561" s="29"/>
      <c r="G561" s="29"/>
      <c r="H561" s="29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ht="15.75" customHeight="1" x14ac:dyDescent="0.2">
      <c r="A562"/>
      <c r="B562" s="2"/>
      <c r="C562" s="29"/>
      <c r="D562" s="29"/>
      <c r="E562" s="29"/>
      <c r="F562" s="29"/>
      <c r="G562" s="29"/>
      <c r="H562" s="29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ht="15.75" customHeight="1" x14ac:dyDescent="0.2">
      <c r="A563"/>
      <c r="B563" s="2"/>
      <c r="C563" s="29"/>
      <c r="D563" s="29"/>
      <c r="E563" s="29"/>
      <c r="F563" s="29"/>
      <c r="G563" s="29"/>
      <c r="H563" s="29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ht="15.75" customHeight="1" x14ac:dyDescent="0.2">
      <c r="A564"/>
      <c r="B564" s="2"/>
      <c r="C564" s="29"/>
      <c r="D564" s="29"/>
      <c r="E564" s="29"/>
      <c r="F564" s="29"/>
      <c r="G564" s="29"/>
      <c r="H564" s="29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ht="15.75" customHeight="1" x14ac:dyDescent="0.2">
      <c r="A565"/>
      <c r="B565" s="2"/>
      <c r="C565" s="29"/>
      <c r="D565" s="29"/>
      <c r="E565" s="29"/>
      <c r="F565" s="29"/>
      <c r="G565" s="29"/>
      <c r="H565" s="29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ht="15.75" customHeight="1" x14ac:dyDescent="0.2">
      <c r="A566"/>
      <c r="B566" s="2"/>
      <c r="C566" s="29"/>
      <c r="D566" s="29"/>
      <c r="E566" s="29"/>
      <c r="F566" s="29"/>
      <c r="G566" s="29"/>
      <c r="H566" s="29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ht="15.75" customHeight="1" x14ac:dyDescent="0.2">
      <c r="A567"/>
      <c r="B567" s="2"/>
      <c r="C567" s="29"/>
      <c r="D567" s="29"/>
      <c r="E567" s="29"/>
      <c r="F567" s="29"/>
      <c r="G567" s="29"/>
      <c r="H567" s="29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ht="15.75" customHeight="1" x14ac:dyDescent="0.2">
      <c r="A568"/>
      <c r="B568" s="2"/>
      <c r="C568" s="29"/>
      <c r="D568" s="29"/>
      <c r="E568" s="29"/>
      <c r="F568" s="29"/>
      <c r="G568" s="29"/>
      <c r="H568" s="29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ht="15.75" customHeight="1" x14ac:dyDescent="0.2">
      <c r="A569"/>
      <c r="B569" s="2"/>
      <c r="C569" s="29"/>
      <c r="D569" s="29"/>
      <c r="E569" s="29"/>
      <c r="F569" s="29"/>
      <c r="G569" s="29"/>
      <c r="H569" s="29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ht="15.75" customHeight="1" x14ac:dyDescent="0.2">
      <c r="A570"/>
      <c r="B570" s="2"/>
      <c r="C570" s="29"/>
      <c r="D570" s="29"/>
      <c r="E570" s="29"/>
      <c r="F570" s="29"/>
      <c r="G570" s="29"/>
      <c r="H570" s="29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ht="15.75" customHeight="1" x14ac:dyDescent="0.2">
      <c r="A571"/>
      <c r="B571" s="2"/>
      <c r="C571" s="29"/>
      <c r="D571" s="29"/>
      <c r="E571" s="29"/>
      <c r="F571" s="29"/>
      <c r="G571" s="29"/>
      <c r="H571" s="29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ht="15.75" customHeight="1" x14ac:dyDescent="0.2">
      <c r="A572"/>
      <c r="B572" s="2"/>
      <c r="C572" s="29"/>
      <c r="D572" s="29"/>
      <c r="E572" s="29"/>
      <c r="F572" s="29"/>
      <c r="G572" s="29"/>
      <c r="H572" s="29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ht="15.75" customHeight="1" x14ac:dyDescent="0.2">
      <c r="A573"/>
      <c r="B573" s="2"/>
      <c r="C573" s="29"/>
      <c r="D573" s="29"/>
      <c r="E573" s="29"/>
      <c r="F573" s="29"/>
      <c r="G573" s="29"/>
      <c r="H573" s="29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ht="15.75" customHeight="1" x14ac:dyDescent="0.2">
      <c r="A574"/>
      <c r="B574" s="2"/>
      <c r="C574" s="29"/>
      <c r="D574" s="29"/>
      <c r="E574" s="29"/>
      <c r="F574" s="29"/>
      <c r="G574" s="29"/>
      <c r="H574" s="29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ht="15.75" customHeight="1" x14ac:dyDescent="0.2">
      <c r="A575"/>
      <c r="B575" s="2"/>
      <c r="C575" s="29"/>
      <c r="D575" s="29"/>
      <c r="E575" s="29"/>
      <c r="F575" s="29"/>
      <c r="G575" s="29"/>
      <c r="H575" s="29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ht="15.75" customHeight="1" x14ac:dyDescent="0.2">
      <c r="A576"/>
      <c r="B576" s="2"/>
      <c r="C576" s="29"/>
      <c r="D576" s="29"/>
      <c r="E576" s="29"/>
      <c r="F576" s="29"/>
      <c r="G576" s="29"/>
      <c r="H576" s="29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ht="15.75" customHeight="1" x14ac:dyDescent="0.2">
      <c r="A577"/>
      <c r="B577" s="2"/>
      <c r="C577" s="29"/>
      <c r="D577" s="29"/>
      <c r="E577" s="29"/>
      <c r="F577" s="29"/>
      <c r="G577" s="29"/>
      <c r="H577" s="29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ht="15.75" customHeight="1" x14ac:dyDescent="0.2">
      <c r="A578"/>
      <c r="B578" s="2"/>
      <c r="C578" s="29"/>
      <c r="D578" s="29"/>
      <c r="E578" s="29"/>
      <c r="F578" s="29"/>
      <c r="G578" s="29"/>
      <c r="H578" s="29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ht="15.75" customHeight="1" x14ac:dyDescent="0.2">
      <c r="A579"/>
      <c r="B579" s="2"/>
      <c r="C579" s="29"/>
      <c r="D579" s="29"/>
      <c r="E579" s="29"/>
      <c r="F579" s="29"/>
      <c r="G579" s="29"/>
      <c r="H579" s="29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ht="15.75" customHeight="1" x14ac:dyDescent="0.2">
      <c r="A580"/>
      <c r="B580" s="2"/>
      <c r="C580" s="29"/>
      <c r="D580" s="29"/>
      <c r="E580" s="29"/>
      <c r="F580" s="29"/>
      <c r="G580" s="29"/>
      <c r="H580" s="29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ht="15.75" customHeight="1" x14ac:dyDescent="0.2">
      <c r="A581"/>
      <c r="B581" s="2"/>
      <c r="C581" s="29"/>
      <c r="D581" s="29"/>
      <c r="E581" s="29"/>
      <c r="F581" s="29"/>
      <c r="G581" s="29"/>
      <c r="H581" s="29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ht="15.75" customHeight="1" x14ac:dyDescent="0.2">
      <c r="A582"/>
      <c r="B582" s="2"/>
      <c r="C582" s="29"/>
      <c r="D582" s="29"/>
      <c r="E582" s="29"/>
      <c r="F582" s="29"/>
      <c r="G582" s="29"/>
      <c r="H582" s="29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ht="15.75" customHeight="1" x14ac:dyDescent="0.2">
      <c r="A583"/>
      <c r="B583" s="2"/>
      <c r="C583" s="29"/>
      <c r="D583" s="29"/>
      <c r="E583" s="29"/>
      <c r="F583" s="29"/>
      <c r="G583" s="29"/>
      <c r="H583" s="29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ht="15.75" customHeight="1" x14ac:dyDescent="0.2">
      <c r="A584"/>
      <c r="B584" s="2"/>
      <c r="C584" s="29"/>
      <c r="D584" s="29"/>
      <c r="E584" s="29"/>
      <c r="F584" s="29"/>
      <c r="G584" s="29"/>
      <c r="H584" s="29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ht="15.75" customHeight="1" x14ac:dyDescent="0.2">
      <c r="A585"/>
      <c r="B585" s="2"/>
      <c r="C585" s="29"/>
      <c r="D585" s="29"/>
      <c r="E585" s="29"/>
      <c r="F585" s="29"/>
      <c r="G585" s="29"/>
      <c r="H585" s="29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ht="15.75" customHeight="1" x14ac:dyDescent="0.2">
      <c r="A586"/>
      <c r="B586" s="2"/>
      <c r="C586" s="29"/>
      <c r="D586" s="29"/>
      <c r="E586" s="29"/>
      <c r="F586" s="29"/>
      <c r="G586" s="29"/>
      <c r="H586" s="29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ht="15.75" customHeight="1" x14ac:dyDescent="0.2">
      <c r="A587"/>
      <c r="B587" s="2"/>
      <c r="C587" s="29"/>
      <c r="D587" s="29"/>
      <c r="E587" s="29"/>
      <c r="F587" s="29"/>
      <c r="G587" s="29"/>
      <c r="H587" s="29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ht="15.75" customHeight="1" x14ac:dyDescent="0.2">
      <c r="A588"/>
      <c r="B588" s="2"/>
      <c r="C588" s="29"/>
      <c r="D588" s="29"/>
      <c r="E588" s="29"/>
      <c r="F588" s="29"/>
      <c r="G588" s="29"/>
      <c r="H588" s="29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ht="15.75" customHeight="1" x14ac:dyDescent="0.2">
      <c r="A589"/>
      <c r="B589" s="2"/>
      <c r="C589" s="29"/>
      <c r="D589" s="29"/>
      <c r="E589" s="29"/>
      <c r="F589" s="29"/>
      <c r="G589" s="29"/>
      <c r="H589" s="29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ht="15.75" customHeight="1" x14ac:dyDescent="0.2">
      <c r="A590"/>
      <c r="B590" s="2"/>
      <c r="C590" s="29"/>
      <c r="D590" s="29"/>
      <c r="E590" s="29"/>
      <c r="F590" s="29"/>
      <c r="G590" s="29"/>
      <c r="H590" s="29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ht="15.75" customHeight="1" x14ac:dyDescent="0.2">
      <c r="A591"/>
      <c r="B591" s="2"/>
      <c r="C591" s="29"/>
      <c r="D591" s="29"/>
      <c r="E591" s="29"/>
      <c r="F591" s="29"/>
      <c r="G591" s="29"/>
      <c r="H591" s="29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ht="15.75" customHeight="1" x14ac:dyDescent="0.2">
      <c r="A592"/>
      <c r="B592" s="2"/>
      <c r="C592" s="29"/>
      <c r="D592" s="29"/>
      <c r="E592" s="29"/>
      <c r="F592" s="29"/>
      <c r="G592" s="29"/>
      <c r="H592" s="29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ht="15.75" customHeight="1" x14ac:dyDescent="0.2">
      <c r="A593"/>
      <c r="B593" s="2"/>
      <c r="C593" s="29"/>
      <c r="D593" s="29"/>
      <c r="E593" s="29"/>
      <c r="F593" s="29"/>
      <c r="G593" s="29"/>
      <c r="H593" s="29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ht="15.75" customHeight="1" x14ac:dyDescent="0.2">
      <c r="A594"/>
      <c r="B594" s="2"/>
      <c r="C594" s="29"/>
      <c r="D594" s="29"/>
      <c r="E594" s="29"/>
      <c r="F594" s="29"/>
      <c r="G594" s="29"/>
      <c r="H594" s="29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ht="15.75" customHeight="1" x14ac:dyDescent="0.2">
      <c r="A595"/>
      <c r="B595" s="2"/>
      <c r="C595" s="29"/>
      <c r="D595" s="29"/>
      <c r="E595" s="29"/>
      <c r="F595" s="29"/>
      <c r="G595" s="29"/>
      <c r="H595" s="29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ht="15.75" customHeight="1" x14ac:dyDescent="0.2">
      <c r="A596"/>
      <c r="B596" s="2"/>
      <c r="C596" s="29"/>
      <c r="D596" s="29"/>
      <c r="E596" s="29"/>
      <c r="F596" s="29"/>
      <c r="G596" s="29"/>
      <c r="H596" s="29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ht="15.75" customHeight="1" x14ac:dyDescent="0.2">
      <c r="A597"/>
      <c r="B597" s="2"/>
      <c r="C597" s="29"/>
      <c r="D597" s="29"/>
      <c r="E597" s="29"/>
      <c r="F597" s="29"/>
      <c r="G597" s="29"/>
      <c r="H597" s="29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ht="15.75" customHeight="1" x14ac:dyDescent="0.2">
      <c r="A598"/>
      <c r="B598" s="2"/>
      <c r="C598" s="29"/>
      <c r="D598" s="29"/>
      <c r="E598" s="29"/>
      <c r="F598" s="29"/>
      <c r="G598" s="29"/>
      <c r="H598" s="29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ht="15.75" customHeight="1" x14ac:dyDescent="0.2">
      <c r="A599"/>
      <c r="B599" s="2"/>
      <c r="C599" s="29"/>
      <c r="D599" s="29"/>
      <c r="E599" s="29"/>
      <c r="F599" s="29"/>
      <c r="G599" s="29"/>
      <c r="H599" s="29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ht="15.75" customHeight="1" x14ac:dyDescent="0.2">
      <c r="A600"/>
      <c r="B600" s="2"/>
      <c r="C600" s="29"/>
      <c r="D600" s="29"/>
      <c r="E600" s="29"/>
      <c r="F600" s="29"/>
      <c r="G600" s="29"/>
      <c r="H600" s="29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ht="15.75" customHeight="1" x14ac:dyDescent="0.2">
      <c r="A601"/>
      <c r="B601" s="2"/>
      <c r="C601" s="29"/>
      <c r="D601" s="29"/>
      <c r="E601" s="29"/>
      <c r="F601" s="29"/>
      <c r="G601" s="29"/>
      <c r="H601" s="29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ht="15.75" customHeight="1" x14ac:dyDescent="0.2">
      <c r="A602"/>
      <c r="B602" s="2"/>
      <c r="C602" s="29"/>
      <c r="D602" s="29"/>
      <c r="E602" s="29"/>
      <c r="F602" s="29"/>
      <c r="G602" s="29"/>
      <c r="H602" s="29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ht="15.75" customHeight="1" x14ac:dyDescent="0.2">
      <c r="A603"/>
      <c r="B603" s="2"/>
      <c r="C603" s="29"/>
      <c r="D603" s="29"/>
      <c r="E603" s="29"/>
      <c r="F603" s="29"/>
      <c r="G603" s="29"/>
      <c r="H603" s="29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ht="15.75" customHeight="1" x14ac:dyDescent="0.2">
      <c r="A604"/>
      <c r="B604" s="2"/>
      <c r="C604" s="29"/>
      <c r="D604" s="29"/>
      <c r="E604" s="29"/>
      <c r="F604" s="29"/>
      <c r="G604" s="29"/>
      <c r="H604" s="29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ht="15.75" customHeight="1" x14ac:dyDescent="0.2">
      <c r="A605"/>
      <c r="B605" s="2"/>
      <c r="C605" s="29"/>
      <c r="D605" s="29"/>
      <c r="E605" s="29"/>
      <c r="F605" s="29"/>
      <c r="G605" s="29"/>
      <c r="H605" s="29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ht="15.75" customHeight="1" x14ac:dyDescent="0.2">
      <c r="A606"/>
      <c r="B606" s="2"/>
      <c r="C606" s="29"/>
      <c r="D606" s="29"/>
      <c r="E606" s="29"/>
      <c r="F606" s="29"/>
      <c r="G606" s="29"/>
      <c r="H606" s="29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ht="15.75" customHeight="1" x14ac:dyDescent="0.2">
      <c r="A607"/>
      <c r="B607" s="2"/>
      <c r="C607" s="29"/>
      <c r="D607" s="29"/>
      <c r="E607" s="29"/>
      <c r="F607" s="29"/>
      <c r="G607" s="29"/>
      <c r="H607" s="29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ht="15.75" customHeight="1" x14ac:dyDescent="0.2">
      <c r="A608"/>
      <c r="B608" s="2"/>
      <c r="C608" s="29"/>
      <c r="D608" s="29"/>
      <c r="E608" s="29"/>
      <c r="F608" s="29"/>
      <c r="G608" s="29"/>
      <c r="H608" s="29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42" ht="15.75" customHeight="1" x14ac:dyDescent="0.2">
      <c r="A609"/>
      <c r="B609" s="2"/>
      <c r="C609" s="29"/>
      <c r="D609" s="29"/>
      <c r="E609" s="29"/>
      <c r="F609" s="29"/>
      <c r="G609" s="29"/>
      <c r="H609" s="29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1:42" ht="15.75" customHeight="1" x14ac:dyDescent="0.2">
      <c r="A610"/>
      <c r="B610" s="2"/>
      <c r="C610" s="29"/>
      <c r="D610" s="29"/>
      <c r="E610" s="29"/>
      <c r="F610" s="29"/>
      <c r="G610" s="29"/>
      <c r="H610" s="29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1:42" ht="15.75" customHeight="1" x14ac:dyDescent="0.2">
      <c r="A611"/>
      <c r="B611" s="2"/>
      <c r="C611" s="29"/>
      <c r="D611" s="29"/>
      <c r="E611" s="29"/>
      <c r="F611" s="29"/>
      <c r="G611" s="29"/>
      <c r="H611" s="29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1:42" ht="15.75" customHeight="1" x14ac:dyDescent="0.2">
      <c r="A612"/>
      <c r="B612" s="2"/>
      <c r="C612" s="29"/>
      <c r="D612" s="29"/>
      <c r="E612" s="29"/>
      <c r="F612" s="29"/>
      <c r="G612" s="29"/>
      <c r="H612" s="29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1:42" ht="15.75" customHeight="1" x14ac:dyDescent="0.2">
      <c r="A613"/>
      <c r="B613" s="2"/>
      <c r="C613" s="29"/>
      <c r="D613" s="29"/>
      <c r="E613" s="29"/>
      <c r="F613" s="29"/>
      <c r="G613" s="29"/>
      <c r="H613" s="29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1:42" ht="15.75" customHeight="1" x14ac:dyDescent="0.2">
      <c r="A614"/>
      <c r="B614" s="2"/>
      <c r="C614" s="29"/>
      <c r="D614" s="29"/>
      <c r="E614" s="29"/>
      <c r="F614" s="29"/>
      <c r="G614" s="29"/>
      <c r="H614" s="29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1:42" ht="15.75" customHeight="1" x14ac:dyDescent="0.2">
      <c r="A615"/>
      <c r="B615" s="2"/>
      <c r="C615" s="29"/>
      <c r="D615" s="29"/>
      <c r="E615" s="29"/>
      <c r="F615" s="29"/>
      <c r="G615" s="29"/>
      <c r="H615" s="29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1:42" ht="15.75" customHeight="1" x14ac:dyDescent="0.2">
      <c r="A616"/>
      <c r="B616" s="2"/>
      <c r="C616" s="29"/>
      <c r="D616" s="29"/>
      <c r="E616" s="29"/>
      <c r="F616" s="29"/>
      <c r="G616" s="29"/>
      <c r="H616" s="29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1:42" ht="15.75" customHeight="1" x14ac:dyDescent="0.2">
      <c r="A617"/>
      <c r="B617" s="2"/>
      <c r="C617" s="29"/>
      <c r="D617" s="29"/>
      <c r="E617" s="29"/>
      <c r="F617" s="29"/>
      <c r="G617" s="29"/>
      <c r="H617" s="29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1:42" ht="15.75" customHeight="1" x14ac:dyDescent="0.2">
      <c r="A618"/>
      <c r="B618" s="2"/>
      <c r="C618" s="29"/>
      <c r="D618" s="29"/>
      <c r="E618" s="29"/>
      <c r="F618" s="29"/>
      <c r="G618" s="29"/>
      <c r="H618" s="29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1:42" ht="15.75" customHeight="1" x14ac:dyDescent="0.2">
      <c r="A619"/>
      <c r="B619" s="2"/>
      <c r="C619" s="29"/>
      <c r="D619" s="29"/>
      <c r="E619" s="29"/>
      <c r="F619" s="29"/>
      <c r="G619" s="29"/>
      <c r="H619" s="29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1:42" ht="15.75" customHeight="1" x14ac:dyDescent="0.2">
      <c r="A620"/>
      <c r="B620" s="2"/>
      <c r="C620" s="29"/>
      <c r="D620" s="29"/>
      <c r="E620" s="29"/>
      <c r="F620" s="29"/>
      <c r="G620" s="29"/>
      <c r="H620" s="29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1:42" ht="15.75" customHeight="1" x14ac:dyDescent="0.2">
      <c r="A621"/>
      <c r="B621" s="2"/>
      <c r="C621" s="29"/>
      <c r="D621" s="29"/>
      <c r="E621" s="29"/>
      <c r="F621" s="29"/>
      <c r="G621" s="29"/>
      <c r="H621" s="29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1:42" ht="15.75" customHeight="1" x14ac:dyDescent="0.2">
      <c r="A622"/>
      <c r="B622" s="2"/>
      <c r="C622" s="29"/>
      <c r="D622" s="29"/>
      <c r="E622" s="29"/>
      <c r="F622" s="29"/>
      <c r="G622" s="29"/>
      <c r="H622" s="29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1:42" ht="15.75" customHeight="1" x14ac:dyDescent="0.2">
      <c r="A623"/>
      <c r="B623" s="2"/>
      <c r="C623" s="29"/>
      <c r="D623" s="29"/>
      <c r="E623" s="29"/>
      <c r="F623" s="29"/>
      <c r="G623" s="29"/>
      <c r="H623" s="29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1:42" ht="15.75" customHeight="1" x14ac:dyDescent="0.2">
      <c r="A624"/>
      <c r="B624" s="2"/>
      <c r="C624" s="29"/>
      <c r="D624" s="29"/>
      <c r="E624" s="29"/>
      <c r="F624" s="29"/>
      <c r="G624" s="29"/>
      <c r="H624" s="29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1:42" ht="15.75" customHeight="1" x14ac:dyDescent="0.2">
      <c r="A625"/>
      <c r="B625" s="2"/>
      <c r="C625" s="29"/>
      <c r="D625" s="29"/>
      <c r="E625" s="29"/>
      <c r="F625" s="29"/>
      <c r="G625" s="29"/>
      <c r="H625" s="29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1:42" ht="15.75" customHeight="1" x14ac:dyDescent="0.2">
      <c r="A626"/>
      <c r="B626" s="2"/>
      <c r="C626" s="29"/>
      <c r="D626" s="29"/>
      <c r="E626" s="29"/>
      <c r="F626" s="29"/>
      <c r="G626" s="29"/>
      <c r="H626" s="29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1:42" ht="15.75" customHeight="1" x14ac:dyDescent="0.2">
      <c r="A627"/>
      <c r="B627" s="2"/>
      <c r="C627" s="29"/>
      <c r="D627" s="29"/>
      <c r="E627" s="29"/>
      <c r="F627" s="29"/>
      <c r="G627" s="29"/>
      <c r="H627" s="29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1:42" ht="15.75" customHeight="1" x14ac:dyDescent="0.2">
      <c r="A628"/>
      <c r="B628" s="2"/>
      <c r="C628" s="29"/>
      <c r="D628" s="29"/>
      <c r="E628" s="29"/>
      <c r="F628" s="29"/>
      <c r="G628" s="29"/>
      <c r="H628" s="29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1:42" ht="15.75" customHeight="1" x14ac:dyDescent="0.2">
      <c r="A629"/>
      <c r="B629" s="2"/>
      <c r="C629" s="29"/>
      <c r="D629" s="29"/>
      <c r="E629" s="29"/>
      <c r="F629" s="29"/>
      <c r="G629" s="29"/>
      <c r="H629" s="29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1:42" ht="15.75" customHeight="1" x14ac:dyDescent="0.2">
      <c r="A630"/>
      <c r="B630" s="2"/>
      <c r="C630" s="29"/>
      <c r="D630" s="29"/>
      <c r="E630" s="29"/>
      <c r="F630" s="29"/>
      <c r="G630" s="29"/>
      <c r="H630" s="29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1:42" ht="15.75" customHeight="1" x14ac:dyDescent="0.2">
      <c r="A631"/>
      <c r="B631" s="2"/>
      <c r="C631" s="29"/>
      <c r="D631" s="29"/>
      <c r="E631" s="29"/>
      <c r="F631" s="29"/>
      <c r="G631" s="29"/>
      <c r="H631" s="29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1:42" ht="15.75" customHeight="1" x14ac:dyDescent="0.2">
      <c r="A632"/>
      <c r="B632" s="2"/>
      <c r="C632" s="29"/>
      <c r="D632" s="29"/>
      <c r="E632" s="29"/>
      <c r="F632" s="29"/>
      <c r="G632" s="29"/>
      <c r="H632" s="29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1:42" ht="15.75" customHeight="1" x14ac:dyDescent="0.2">
      <c r="A633"/>
      <c r="B633" s="2"/>
      <c r="C633" s="29"/>
      <c r="D633" s="29"/>
      <c r="E633" s="29"/>
      <c r="F633" s="29"/>
      <c r="G633" s="29"/>
      <c r="H633" s="29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1:42" ht="15.75" customHeight="1" x14ac:dyDescent="0.2">
      <c r="A634"/>
      <c r="B634" s="2"/>
      <c r="C634" s="29"/>
      <c r="D634" s="29"/>
      <c r="E634" s="29"/>
      <c r="F634" s="29"/>
      <c r="G634" s="29"/>
      <c r="H634" s="29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1:42" ht="15.75" customHeight="1" x14ac:dyDescent="0.2">
      <c r="A635"/>
      <c r="B635" s="2"/>
      <c r="C635" s="29"/>
      <c r="D635" s="29"/>
      <c r="E635" s="29"/>
      <c r="F635" s="29"/>
      <c r="G635" s="29"/>
      <c r="H635" s="29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1:42" ht="15.75" customHeight="1" x14ac:dyDescent="0.2">
      <c r="A636"/>
      <c r="B636" s="2"/>
      <c r="C636" s="29"/>
      <c r="D636" s="29"/>
      <c r="E636" s="29"/>
      <c r="F636" s="29"/>
      <c r="G636" s="29"/>
      <c r="H636" s="29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1:42" ht="15.75" customHeight="1" x14ac:dyDescent="0.2">
      <c r="A637"/>
      <c r="B637" s="2"/>
      <c r="C637" s="29"/>
      <c r="D637" s="29"/>
      <c r="E637" s="29"/>
      <c r="F637" s="29"/>
      <c r="G637" s="29"/>
      <c r="H637" s="29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1:42" ht="15.75" customHeight="1" x14ac:dyDescent="0.2">
      <c r="A638"/>
      <c r="B638" s="2"/>
      <c r="C638" s="29"/>
      <c r="D638" s="29"/>
      <c r="E638" s="29"/>
      <c r="F638" s="29"/>
      <c r="G638" s="29"/>
      <c r="H638" s="29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1:42" ht="15.75" customHeight="1" x14ac:dyDescent="0.2">
      <c r="A639"/>
      <c r="B639" s="2"/>
      <c r="C639" s="29"/>
      <c r="D639" s="29"/>
      <c r="E639" s="29"/>
      <c r="F639" s="29"/>
      <c r="G639" s="29"/>
      <c r="H639" s="29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1:42" ht="15.75" customHeight="1" x14ac:dyDescent="0.2">
      <c r="A640"/>
      <c r="B640" s="2"/>
      <c r="C640" s="29"/>
      <c r="D640" s="29"/>
      <c r="E640" s="29"/>
      <c r="F640" s="29"/>
      <c r="G640" s="29"/>
      <c r="H640" s="29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1:42" ht="15.75" customHeight="1" x14ac:dyDescent="0.2">
      <c r="A641"/>
      <c r="B641" s="2"/>
      <c r="C641" s="29"/>
      <c r="D641" s="29"/>
      <c r="E641" s="29"/>
      <c r="F641" s="29"/>
      <c r="G641" s="29"/>
      <c r="H641" s="29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1:42" ht="15.75" customHeight="1" x14ac:dyDescent="0.2">
      <c r="A642"/>
      <c r="B642" s="2"/>
      <c r="C642" s="29"/>
      <c r="D642" s="29"/>
      <c r="E642" s="29"/>
      <c r="F642" s="29"/>
      <c r="G642" s="29"/>
      <c r="H642" s="29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1:42" ht="15.75" customHeight="1" x14ac:dyDescent="0.2">
      <c r="A643"/>
    </row>
    <row r="644" spans="1:42" ht="15.75" customHeight="1" x14ac:dyDescent="0.2">
      <c r="A644"/>
    </row>
    <row r="645" spans="1:42" ht="15.75" customHeight="1" x14ac:dyDescent="0.2">
      <c r="A645"/>
    </row>
    <row r="646" spans="1:42" ht="15.75" customHeight="1" x14ac:dyDescent="0.2">
      <c r="A646"/>
    </row>
    <row r="647" spans="1:42" ht="15.75" customHeight="1" x14ac:dyDescent="0.2">
      <c r="A647"/>
      <c r="C647"/>
      <c r="D647"/>
      <c r="E647"/>
      <c r="F647"/>
      <c r="G647"/>
      <c r="H647"/>
    </row>
    <row r="648" spans="1:42" ht="15.75" customHeight="1" x14ac:dyDescent="0.2">
      <c r="A648"/>
      <c r="C648"/>
      <c r="D648"/>
      <c r="E648"/>
      <c r="F648"/>
      <c r="G648"/>
      <c r="H648"/>
    </row>
    <row r="649" spans="1:42" ht="15.75" customHeight="1" x14ac:dyDescent="0.2">
      <c r="A649"/>
      <c r="C649"/>
      <c r="D649"/>
      <c r="E649"/>
      <c r="F649"/>
      <c r="G649"/>
      <c r="H649"/>
    </row>
    <row r="650" spans="1:42" ht="15.75" customHeight="1" x14ac:dyDescent="0.2">
      <c r="A650"/>
      <c r="C650"/>
      <c r="D650"/>
      <c r="E650"/>
      <c r="F650"/>
      <c r="G650"/>
      <c r="H650"/>
    </row>
    <row r="651" spans="1:42" ht="15.75" customHeight="1" x14ac:dyDescent="0.2">
      <c r="A651"/>
      <c r="C651"/>
      <c r="D651"/>
      <c r="E651"/>
      <c r="F651"/>
      <c r="G651"/>
      <c r="H651"/>
    </row>
    <row r="652" spans="1:42" ht="15.75" customHeight="1" x14ac:dyDescent="0.2">
      <c r="A652"/>
      <c r="C652"/>
      <c r="D652"/>
      <c r="E652"/>
      <c r="F652"/>
      <c r="G652"/>
      <c r="H652"/>
    </row>
    <row r="653" spans="1:42" ht="15.75" customHeight="1" x14ac:dyDescent="0.2">
      <c r="A653"/>
      <c r="C653"/>
      <c r="D653"/>
      <c r="E653"/>
      <c r="F653"/>
      <c r="G653"/>
      <c r="H653"/>
    </row>
    <row r="654" spans="1:42" ht="15.75" customHeight="1" x14ac:dyDescent="0.2">
      <c r="A654"/>
      <c r="C654"/>
      <c r="D654"/>
      <c r="E654"/>
      <c r="F654"/>
      <c r="G654"/>
      <c r="H654"/>
    </row>
    <row r="655" spans="1:42" ht="15.75" customHeight="1" x14ac:dyDescent="0.2">
      <c r="A655"/>
      <c r="C655"/>
      <c r="D655"/>
      <c r="E655"/>
      <c r="F655"/>
      <c r="G655"/>
      <c r="H655"/>
    </row>
    <row r="656" spans="1:42" ht="15.75" customHeight="1" x14ac:dyDescent="0.2">
      <c r="A656"/>
      <c r="C656"/>
      <c r="D656"/>
      <c r="E656"/>
      <c r="F656"/>
      <c r="G656"/>
      <c r="H656"/>
    </row>
    <row r="657" customFormat="1" ht="15.75" customHeight="1" x14ac:dyDescent="0.2"/>
    <row r="658" customFormat="1" ht="15.75" customHeight="1" x14ac:dyDescent="0.2"/>
    <row r="659" customFormat="1" ht="15.75" customHeight="1" x14ac:dyDescent="0.2"/>
    <row r="660" customFormat="1" ht="15.75" customHeight="1" x14ac:dyDescent="0.2"/>
    <row r="661" customFormat="1" ht="15.75" customHeight="1" x14ac:dyDescent="0.2"/>
    <row r="662" customFormat="1" ht="15.75" customHeight="1" x14ac:dyDescent="0.2"/>
    <row r="663" customFormat="1" ht="15.75" customHeight="1" x14ac:dyDescent="0.2"/>
    <row r="664" customFormat="1" ht="15.75" customHeight="1" x14ac:dyDescent="0.2"/>
    <row r="665" customFormat="1" ht="15.75" customHeight="1" x14ac:dyDescent="0.2"/>
    <row r="666" customFormat="1" ht="15.75" customHeight="1" x14ac:dyDescent="0.2"/>
    <row r="667" customFormat="1" ht="15.75" customHeight="1" x14ac:dyDescent="0.2"/>
    <row r="668" customFormat="1" ht="15.75" customHeight="1" x14ac:dyDescent="0.2"/>
    <row r="669" customFormat="1" ht="15.75" customHeight="1" x14ac:dyDescent="0.2"/>
    <row r="670" customFormat="1" ht="15.75" customHeight="1" x14ac:dyDescent="0.2"/>
    <row r="671" customFormat="1" ht="15.75" customHeight="1" x14ac:dyDescent="0.2"/>
    <row r="672" customFormat="1" ht="15.75" customHeight="1" x14ac:dyDescent="0.2"/>
    <row r="673" customFormat="1" ht="15.75" customHeight="1" x14ac:dyDescent="0.2"/>
    <row r="674" customFormat="1" ht="15.75" customHeight="1" x14ac:dyDescent="0.2"/>
    <row r="675" customFormat="1" ht="15.75" customHeight="1" x14ac:dyDescent="0.2"/>
    <row r="676" customFormat="1" ht="15.75" customHeight="1" x14ac:dyDescent="0.2"/>
    <row r="677" customFormat="1" ht="15.75" customHeight="1" x14ac:dyDescent="0.2"/>
    <row r="678" customFormat="1" ht="15.75" customHeight="1" x14ac:dyDescent="0.2"/>
    <row r="679" customFormat="1" ht="15.75" customHeight="1" x14ac:dyDescent="0.2"/>
    <row r="680" customFormat="1" ht="15.75" customHeight="1" x14ac:dyDescent="0.2"/>
    <row r="681" customFormat="1" ht="15.75" customHeight="1" x14ac:dyDescent="0.2"/>
    <row r="682" customFormat="1" ht="15.75" customHeight="1" x14ac:dyDescent="0.2"/>
    <row r="683" customFormat="1" ht="15.75" customHeight="1" x14ac:dyDescent="0.2"/>
    <row r="684" customFormat="1" ht="15.75" customHeight="1" x14ac:dyDescent="0.2"/>
    <row r="685" customFormat="1" ht="15.75" customHeight="1" x14ac:dyDescent="0.2"/>
    <row r="686" customFormat="1" ht="15.75" customHeight="1" x14ac:dyDescent="0.2"/>
    <row r="687" customFormat="1" ht="15.75" customHeight="1" x14ac:dyDescent="0.2"/>
    <row r="688" customFormat="1" ht="15.75" customHeight="1" x14ac:dyDescent="0.2"/>
    <row r="689" customFormat="1" ht="15.75" customHeight="1" x14ac:dyDescent="0.2"/>
    <row r="690" customFormat="1" ht="15.75" customHeight="1" x14ac:dyDescent="0.2"/>
    <row r="691" customFormat="1" ht="15.75" customHeight="1" x14ac:dyDescent="0.2"/>
    <row r="692" customFormat="1" ht="15.75" customHeight="1" x14ac:dyDescent="0.2"/>
    <row r="693" customFormat="1" ht="15.75" customHeight="1" x14ac:dyDescent="0.2"/>
    <row r="694" customFormat="1" ht="15.75" customHeight="1" x14ac:dyDescent="0.2"/>
    <row r="695" customFormat="1" ht="15.75" customHeight="1" x14ac:dyDescent="0.2"/>
    <row r="696" customFormat="1" ht="15.75" customHeight="1" x14ac:dyDescent="0.2"/>
    <row r="697" customFormat="1" ht="15.75" customHeight="1" x14ac:dyDescent="0.2"/>
    <row r="698" customFormat="1" ht="15.75" customHeight="1" x14ac:dyDescent="0.2"/>
    <row r="699" customFormat="1" ht="15.75" customHeight="1" x14ac:dyDescent="0.2"/>
    <row r="700" customFormat="1" ht="15.75" customHeight="1" x14ac:dyDescent="0.2"/>
    <row r="701" customFormat="1" ht="15.75" customHeight="1" x14ac:dyDescent="0.2"/>
    <row r="702" customFormat="1" ht="15.75" customHeight="1" x14ac:dyDescent="0.2"/>
    <row r="703" customFormat="1" ht="15.75" customHeight="1" x14ac:dyDescent="0.2"/>
    <row r="704" customFormat="1" ht="15.75" customHeight="1" x14ac:dyDescent="0.2"/>
    <row r="705" customFormat="1" ht="15.75" customHeight="1" x14ac:dyDescent="0.2"/>
    <row r="706" customFormat="1" ht="15.75" customHeight="1" x14ac:dyDescent="0.2"/>
    <row r="707" customFormat="1" ht="15.75" customHeight="1" x14ac:dyDescent="0.2"/>
    <row r="708" customFormat="1" ht="15.75" customHeight="1" x14ac:dyDescent="0.2"/>
    <row r="709" customFormat="1" ht="15.75" customHeight="1" x14ac:dyDescent="0.2"/>
    <row r="710" customFormat="1" ht="15.75" customHeight="1" x14ac:dyDescent="0.2"/>
    <row r="711" customFormat="1" ht="15.75" customHeight="1" x14ac:dyDescent="0.2"/>
    <row r="712" customFormat="1" ht="15.75" customHeight="1" x14ac:dyDescent="0.2"/>
    <row r="713" customFormat="1" ht="15.75" customHeight="1" x14ac:dyDescent="0.2"/>
    <row r="714" customFormat="1" ht="15.75" customHeight="1" x14ac:dyDescent="0.2"/>
    <row r="715" customFormat="1" ht="15.75" customHeight="1" x14ac:dyDescent="0.2"/>
    <row r="716" customFormat="1" ht="15.75" customHeight="1" x14ac:dyDescent="0.2"/>
    <row r="717" customFormat="1" ht="15.75" customHeight="1" x14ac:dyDescent="0.2"/>
    <row r="718" customFormat="1" ht="15.75" customHeight="1" x14ac:dyDescent="0.2"/>
    <row r="719" customFormat="1" ht="15.75" customHeight="1" x14ac:dyDescent="0.2"/>
    <row r="720" customFormat="1" ht="15.75" customHeight="1" x14ac:dyDescent="0.2"/>
    <row r="721" customFormat="1" ht="15.75" customHeight="1" x14ac:dyDescent="0.2"/>
    <row r="722" customFormat="1" ht="15.75" customHeight="1" x14ac:dyDescent="0.2"/>
    <row r="723" customFormat="1" ht="15.75" customHeight="1" x14ac:dyDescent="0.2"/>
    <row r="724" customFormat="1" ht="15.75" customHeight="1" x14ac:dyDescent="0.2"/>
    <row r="725" customFormat="1" ht="15.75" customHeight="1" x14ac:dyDescent="0.2"/>
    <row r="726" customFormat="1" ht="15.75" customHeight="1" x14ac:dyDescent="0.2"/>
    <row r="727" customFormat="1" ht="15.75" customHeight="1" x14ac:dyDescent="0.2"/>
    <row r="728" customFormat="1" ht="15.75" customHeight="1" x14ac:dyDescent="0.2"/>
    <row r="729" customFormat="1" ht="15.75" customHeight="1" x14ac:dyDescent="0.2"/>
    <row r="730" customFormat="1" ht="15.75" customHeight="1" x14ac:dyDescent="0.2"/>
    <row r="731" customFormat="1" ht="15.75" customHeight="1" x14ac:dyDescent="0.2"/>
    <row r="732" customFormat="1" ht="15.75" customHeight="1" x14ac:dyDescent="0.2"/>
    <row r="733" customFormat="1" ht="15.75" customHeight="1" x14ac:dyDescent="0.2"/>
    <row r="734" customFormat="1" ht="15.75" customHeight="1" x14ac:dyDescent="0.2"/>
    <row r="735" customFormat="1" ht="15.75" customHeight="1" x14ac:dyDescent="0.2"/>
    <row r="736" customFormat="1" ht="15.75" customHeight="1" x14ac:dyDescent="0.2"/>
    <row r="737" customFormat="1" ht="15.75" customHeight="1" x14ac:dyDescent="0.2"/>
    <row r="738" customFormat="1" ht="15.75" customHeight="1" x14ac:dyDescent="0.2"/>
    <row r="739" customFormat="1" ht="15.75" customHeight="1" x14ac:dyDescent="0.2"/>
    <row r="740" customFormat="1" ht="15.75" customHeight="1" x14ac:dyDescent="0.2"/>
    <row r="741" customFormat="1" ht="15.75" customHeight="1" x14ac:dyDescent="0.2"/>
    <row r="742" customFormat="1" ht="15.75" customHeight="1" x14ac:dyDescent="0.2"/>
    <row r="743" customFormat="1" ht="15.75" customHeight="1" x14ac:dyDescent="0.2"/>
    <row r="744" customFormat="1" ht="15.75" customHeight="1" x14ac:dyDescent="0.2"/>
    <row r="745" customFormat="1" ht="15.75" customHeight="1" x14ac:dyDescent="0.2"/>
    <row r="746" customFormat="1" ht="15.75" customHeight="1" x14ac:dyDescent="0.2"/>
  </sheetData>
  <mergeCells count="4">
    <mergeCell ref="A2:H2"/>
    <mergeCell ref="A3:H3"/>
    <mergeCell ref="I38:T38"/>
    <mergeCell ref="I41:P41"/>
  </mergeCells>
  <pageMargins left="1.2204724409448819" right="0.15748031496062992" top="0.15748031496062992" bottom="0.15748031496062992" header="0.15748031496062992" footer="0.15748031496062992"/>
  <pageSetup paperSize="9" scale="73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U41"/>
  <sheetViews>
    <sheetView topLeftCell="A16" zoomScaleNormal="100" workbookViewId="0">
      <selection activeCell="P3" sqref="P3"/>
    </sheetView>
  </sheetViews>
  <sheetFormatPr defaultRowHeight="15" x14ac:dyDescent="0.25"/>
  <cols>
    <col min="1" max="1" width="21.140625" style="442" customWidth="1"/>
    <col min="2" max="2" width="10.28515625" style="442" customWidth="1"/>
    <col min="3" max="4" width="10.42578125" style="442" customWidth="1"/>
    <col min="5" max="5" width="9.7109375" style="442" customWidth="1"/>
    <col min="6" max="6" width="9.42578125" style="442" customWidth="1"/>
    <col min="7" max="7" width="9.85546875" style="442" customWidth="1"/>
    <col min="8" max="8" width="10.28515625" style="442" customWidth="1"/>
    <col min="9" max="9" width="9.7109375" style="442" customWidth="1"/>
    <col min="10" max="10" width="9.85546875" style="442" customWidth="1"/>
    <col min="11" max="11" width="10.42578125" style="442" customWidth="1"/>
    <col min="12" max="12" width="9" style="442" customWidth="1"/>
    <col min="13" max="13" width="9.85546875" style="442" customWidth="1"/>
    <col min="14" max="14" width="10.7109375" style="442" customWidth="1"/>
    <col min="15" max="15" width="9.7109375" style="442" customWidth="1"/>
    <col min="16" max="16" width="11.28515625" style="442" customWidth="1"/>
    <col min="17" max="16384" width="9.140625" style="442"/>
  </cols>
  <sheetData>
    <row r="1" spans="1:20" ht="15.75" x14ac:dyDescent="0.25">
      <c r="A1" s="954" t="s">
        <v>755</v>
      </c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954"/>
      <c r="O1" s="954"/>
      <c r="P1" s="954"/>
    </row>
    <row r="2" spans="1:20" x14ac:dyDescent="0.25">
      <c r="A2" s="443"/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85" t="s">
        <v>844</v>
      </c>
    </row>
    <row r="3" spans="1:20" ht="15" customHeight="1" x14ac:dyDescent="0.25">
      <c r="A3" s="444" t="s">
        <v>756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</row>
    <row r="4" spans="1:20" x14ac:dyDescent="0.25">
      <c r="A4" s="444" t="s">
        <v>757</v>
      </c>
    </row>
    <row r="5" spans="1:20" x14ac:dyDescent="0.25">
      <c r="A5" s="444" t="s">
        <v>758</v>
      </c>
    </row>
    <row r="6" spans="1:20" x14ac:dyDescent="0.25">
      <c r="A6" s="444" t="s">
        <v>759</v>
      </c>
    </row>
    <row r="7" spans="1:20" ht="15.75" thickBot="1" x14ac:dyDescent="0.3"/>
    <row r="8" spans="1:20" x14ac:dyDescent="0.25">
      <c r="A8" s="955" t="s">
        <v>760</v>
      </c>
      <c r="B8" s="957" t="s">
        <v>761</v>
      </c>
      <c r="C8" s="958"/>
      <c r="D8" s="959"/>
      <c r="E8" s="957" t="s">
        <v>762</v>
      </c>
      <c r="F8" s="958"/>
      <c r="G8" s="959"/>
      <c r="H8" s="957" t="s">
        <v>763</v>
      </c>
      <c r="I8" s="958"/>
      <c r="J8" s="959"/>
      <c r="K8" s="957" t="s">
        <v>764</v>
      </c>
      <c r="L8" s="958"/>
      <c r="M8" s="959"/>
      <c r="N8" s="960" t="s">
        <v>47</v>
      </c>
      <c r="O8" s="960"/>
      <c r="P8" s="961"/>
      <c r="Q8" s="444"/>
      <c r="R8" s="444"/>
      <c r="S8" s="444"/>
    </row>
    <row r="9" spans="1:20" ht="15.75" thickBot="1" x14ac:dyDescent="0.3">
      <c r="A9" s="956"/>
      <c r="B9" s="446" t="s">
        <v>765</v>
      </c>
      <c r="C9" s="446" t="s">
        <v>766</v>
      </c>
      <c r="D9" s="446" t="s">
        <v>767</v>
      </c>
      <c r="E9" s="446" t="s">
        <v>765</v>
      </c>
      <c r="F9" s="446" t="s">
        <v>766</v>
      </c>
      <c r="G9" s="446" t="s">
        <v>767</v>
      </c>
      <c r="H9" s="446" t="s">
        <v>765</v>
      </c>
      <c r="I9" s="446" t="s">
        <v>766</v>
      </c>
      <c r="J9" s="446" t="s">
        <v>767</v>
      </c>
      <c r="K9" s="446" t="s">
        <v>765</v>
      </c>
      <c r="L9" s="446" t="s">
        <v>766</v>
      </c>
      <c r="M9" s="446" t="s">
        <v>767</v>
      </c>
      <c r="N9" s="446" t="s">
        <v>765</v>
      </c>
      <c r="O9" s="446" t="s">
        <v>766</v>
      </c>
      <c r="P9" s="447" t="s">
        <v>767</v>
      </c>
    </row>
    <row r="10" spans="1:20" x14ac:dyDescent="0.25">
      <c r="A10" s="448" t="s">
        <v>768</v>
      </c>
      <c r="B10" s="449">
        <v>3472866</v>
      </c>
      <c r="C10" s="449">
        <v>937674</v>
      </c>
      <c r="D10" s="449">
        <f>SUM(B10:C10)</f>
        <v>4410540</v>
      </c>
      <c r="E10" s="449">
        <v>7725555</v>
      </c>
      <c r="F10" s="449">
        <v>2085900</v>
      </c>
      <c r="G10" s="449">
        <f>SUM(E10:F10)</f>
        <v>9811455</v>
      </c>
      <c r="H10" s="449">
        <v>52964743</v>
      </c>
      <c r="I10" s="449">
        <v>14300481</v>
      </c>
      <c r="J10" s="449">
        <f>SUM(H10:I10)</f>
        <v>67265224</v>
      </c>
      <c r="K10" s="449">
        <v>32800000</v>
      </c>
      <c r="L10" s="449">
        <v>8856000</v>
      </c>
      <c r="M10" s="449">
        <f>SUM(K10:L10)</f>
        <v>41656000</v>
      </c>
      <c r="N10" s="449">
        <f>SUM(K10+H10+E10+B10)</f>
        <v>96963164</v>
      </c>
      <c r="O10" s="449">
        <f>SUM(L10+I10+F10+C10)</f>
        <v>26180055</v>
      </c>
      <c r="P10" s="449">
        <f>SUM(M10+J10+G10+D10)</f>
        <v>123143219</v>
      </c>
      <c r="Q10" s="450"/>
      <c r="R10" s="450"/>
      <c r="S10" s="450"/>
      <c r="T10" s="450"/>
    </row>
    <row r="11" spans="1:20" x14ac:dyDescent="0.25">
      <c r="A11" s="448" t="s">
        <v>768</v>
      </c>
      <c r="B11" s="451">
        <v>430635392</v>
      </c>
      <c r="C11" s="451">
        <v>116271555</v>
      </c>
      <c r="D11" s="451">
        <f t="shared" ref="D11:D25" si="0">SUM(B11:C11)</f>
        <v>546906947</v>
      </c>
      <c r="E11" s="451">
        <v>3282500</v>
      </c>
      <c r="F11" s="451">
        <v>886275</v>
      </c>
      <c r="G11" s="451">
        <f t="shared" ref="G11:G25" si="1">SUM(E11:F11)</f>
        <v>4168775</v>
      </c>
      <c r="H11" s="451">
        <v>11795100</v>
      </c>
      <c r="I11" s="451">
        <v>3184676</v>
      </c>
      <c r="J11" s="451">
        <f t="shared" ref="J11:J25" si="2">SUM(H11:I11)</f>
        <v>14979776</v>
      </c>
      <c r="K11" s="451">
        <v>45872441</v>
      </c>
      <c r="L11" s="451">
        <v>12385559</v>
      </c>
      <c r="M11" s="451">
        <f t="shared" ref="M11:M25" si="3">SUM(K11:L11)</f>
        <v>58258000</v>
      </c>
      <c r="N11" s="451">
        <f t="shared" ref="N11:N25" si="4">SUM(K11+H11+E11+B11)</f>
        <v>491585433</v>
      </c>
      <c r="O11" s="451">
        <f t="shared" ref="O11:O25" si="5">SUM(L11+I11+F11+C11)</f>
        <v>132728065</v>
      </c>
      <c r="P11" s="451">
        <f t="shared" ref="P11:P25" si="6">SUM(M11+J11+G11+D11)</f>
        <v>624313498</v>
      </c>
      <c r="Q11" s="450"/>
      <c r="R11" s="450"/>
      <c r="S11" s="450"/>
      <c r="T11" s="450"/>
    </row>
    <row r="12" spans="1:20" x14ac:dyDescent="0.25">
      <c r="A12" s="448" t="s">
        <v>768</v>
      </c>
      <c r="B12" s="451">
        <v>13891465</v>
      </c>
      <c r="C12" s="451">
        <v>3750695</v>
      </c>
      <c r="D12" s="451">
        <f t="shared" si="0"/>
        <v>17642160</v>
      </c>
      <c r="E12" s="451">
        <v>56551000</v>
      </c>
      <c r="F12" s="451">
        <v>15268770</v>
      </c>
      <c r="G12" s="451">
        <f t="shared" si="1"/>
        <v>71819770</v>
      </c>
      <c r="H12" s="451">
        <v>9500000</v>
      </c>
      <c r="I12" s="451">
        <v>2565000</v>
      </c>
      <c r="J12" s="451">
        <f t="shared" si="2"/>
        <v>12065000</v>
      </c>
      <c r="K12" s="451">
        <v>48540158</v>
      </c>
      <c r="L12" s="451">
        <v>13105842</v>
      </c>
      <c r="M12" s="451">
        <f t="shared" si="3"/>
        <v>61646000</v>
      </c>
      <c r="N12" s="451">
        <f t="shared" si="4"/>
        <v>128482623</v>
      </c>
      <c r="O12" s="451">
        <f t="shared" si="5"/>
        <v>34690307</v>
      </c>
      <c r="P12" s="451">
        <f t="shared" si="6"/>
        <v>163172930</v>
      </c>
      <c r="Q12" s="450"/>
      <c r="R12" s="450"/>
      <c r="S12" s="450"/>
      <c r="T12" s="450"/>
    </row>
    <row r="13" spans="1:20" x14ac:dyDescent="0.25">
      <c r="A13" s="448" t="s">
        <v>768</v>
      </c>
      <c r="B13" s="451">
        <v>23181381</v>
      </c>
      <c r="C13" s="451">
        <v>6258972</v>
      </c>
      <c r="D13" s="451">
        <f t="shared" si="0"/>
        <v>29440353</v>
      </c>
      <c r="E13" s="451">
        <v>0</v>
      </c>
      <c r="F13" s="451">
        <v>0</v>
      </c>
      <c r="G13" s="451">
        <f t="shared" si="1"/>
        <v>0</v>
      </c>
      <c r="H13" s="451">
        <v>22000000</v>
      </c>
      <c r="I13" s="451">
        <v>5940000</v>
      </c>
      <c r="J13" s="451">
        <f t="shared" si="2"/>
        <v>27940000</v>
      </c>
      <c r="K13" s="451">
        <v>8500000</v>
      </c>
      <c r="L13" s="451">
        <v>2295000</v>
      </c>
      <c r="M13" s="451">
        <f t="shared" si="3"/>
        <v>10795000</v>
      </c>
      <c r="N13" s="451">
        <f t="shared" si="4"/>
        <v>53681381</v>
      </c>
      <c r="O13" s="451">
        <f t="shared" si="5"/>
        <v>14493972</v>
      </c>
      <c r="P13" s="451">
        <f t="shared" si="6"/>
        <v>68175353</v>
      </c>
      <c r="Q13" s="450"/>
      <c r="R13" s="450"/>
      <c r="S13" s="450"/>
      <c r="T13" s="450"/>
    </row>
    <row r="14" spans="1:20" x14ac:dyDescent="0.25">
      <c r="A14" s="452" t="s">
        <v>768</v>
      </c>
      <c r="B14" s="453">
        <v>0</v>
      </c>
      <c r="C14" s="453">
        <v>0</v>
      </c>
      <c r="D14" s="453">
        <f t="shared" si="0"/>
        <v>0</v>
      </c>
      <c r="E14" s="453">
        <v>0</v>
      </c>
      <c r="F14" s="453">
        <v>0</v>
      </c>
      <c r="G14" s="453">
        <f t="shared" si="1"/>
        <v>0</v>
      </c>
      <c r="H14" s="453">
        <v>0</v>
      </c>
      <c r="I14" s="453">
        <v>0</v>
      </c>
      <c r="J14" s="453">
        <f t="shared" si="2"/>
        <v>0</v>
      </c>
      <c r="K14" s="453">
        <v>31842520</v>
      </c>
      <c r="L14" s="453">
        <v>8597480</v>
      </c>
      <c r="M14" s="453">
        <f t="shared" si="3"/>
        <v>40440000</v>
      </c>
      <c r="N14" s="453">
        <f t="shared" si="4"/>
        <v>31842520</v>
      </c>
      <c r="O14" s="453">
        <f t="shared" si="5"/>
        <v>8597480</v>
      </c>
      <c r="P14" s="453">
        <f t="shared" si="6"/>
        <v>40440000</v>
      </c>
      <c r="Q14" s="450"/>
      <c r="R14" s="450"/>
      <c r="S14" s="450"/>
      <c r="T14" s="450"/>
    </row>
    <row r="15" spans="1:20" x14ac:dyDescent="0.25">
      <c r="A15" s="454" t="s">
        <v>769</v>
      </c>
      <c r="B15" s="455">
        <f>SUM(B10:B14)</f>
        <v>471181104</v>
      </c>
      <c r="C15" s="455">
        <f>SUM(C10:C14)</f>
        <v>127218896</v>
      </c>
      <c r="D15" s="455">
        <f>SUM(D10:D14)</f>
        <v>598400000</v>
      </c>
      <c r="E15" s="455">
        <f t="shared" ref="E15:P15" si="7">SUM(E10:E14)</f>
        <v>67559055</v>
      </c>
      <c r="F15" s="455">
        <f t="shared" si="7"/>
        <v>18240945</v>
      </c>
      <c r="G15" s="455">
        <f t="shared" si="7"/>
        <v>85800000</v>
      </c>
      <c r="H15" s="455">
        <f t="shared" si="7"/>
        <v>96259843</v>
      </c>
      <c r="I15" s="455">
        <f t="shared" si="7"/>
        <v>25990157</v>
      </c>
      <c r="J15" s="455">
        <f t="shared" si="7"/>
        <v>122250000</v>
      </c>
      <c r="K15" s="455">
        <f t="shared" si="7"/>
        <v>167555119</v>
      </c>
      <c r="L15" s="455">
        <f t="shared" si="7"/>
        <v>45239881</v>
      </c>
      <c r="M15" s="455">
        <f t="shared" si="7"/>
        <v>212795000</v>
      </c>
      <c r="N15" s="455">
        <f t="shared" si="7"/>
        <v>802555121</v>
      </c>
      <c r="O15" s="455">
        <f t="shared" si="7"/>
        <v>216689879</v>
      </c>
      <c r="P15" s="455">
        <f t="shared" si="7"/>
        <v>1019245000</v>
      </c>
      <c r="Q15" s="450"/>
      <c r="R15" s="450"/>
      <c r="S15" s="450"/>
      <c r="T15" s="450"/>
    </row>
    <row r="16" spans="1:20" x14ac:dyDescent="0.25">
      <c r="A16" s="456" t="s">
        <v>770</v>
      </c>
      <c r="B16" s="457">
        <v>0</v>
      </c>
      <c r="C16" s="457">
        <v>0</v>
      </c>
      <c r="D16" s="457">
        <f t="shared" si="0"/>
        <v>0</v>
      </c>
      <c r="E16" s="457">
        <v>9448819</v>
      </c>
      <c r="F16" s="457">
        <v>2551181</v>
      </c>
      <c r="G16" s="457">
        <f t="shared" si="1"/>
        <v>12000000</v>
      </c>
      <c r="H16" s="457">
        <v>0</v>
      </c>
      <c r="I16" s="457">
        <v>0</v>
      </c>
      <c r="J16" s="457">
        <f t="shared" si="2"/>
        <v>0</v>
      </c>
      <c r="K16" s="457">
        <v>0</v>
      </c>
      <c r="L16" s="457">
        <v>0</v>
      </c>
      <c r="M16" s="457">
        <f t="shared" si="3"/>
        <v>0</v>
      </c>
      <c r="N16" s="451">
        <f t="shared" si="4"/>
        <v>9448819</v>
      </c>
      <c r="O16" s="451">
        <f t="shared" si="5"/>
        <v>2551181</v>
      </c>
      <c r="P16" s="451">
        <f t="shared" si="6"/>
        <v>12000000</v>
      </c>
      <c r="Q16" s="450"/>
      <c r="R16" s="450"/>
      <c r="S16" s="450"/>
      <c r="T16" s="450"/>
    </row>
    <row r="17" spans="1:21" x14ac:dyDescent="0.25">
      <c r="A17" s="458" t="s">
        <v>771</v>
      </c>
      <c r="B17" s="950">
        <f>6521654-2100000</f>
        <v>4421654</v>
      </c>
      <c r="C17" s="950">
        <f>7228346-5467500-567000</f>
        <v>1193846</v>
      </c>
      <c r="D17" s="459">
        <f t="shared" si="0"/>
        <v>5615500</v>
      </c>
      <c r="E17" s="950">
        <v>779528</v>
      </c>
      <c r="F17" s="950">
        <v>210472</v>
      </c>
      <c r="G17" s="459">
        <f t="shared" si="1"/>
        <v>990000</v>
      </c>
      <c r="H17" s="950">
        <f>4724410-3550000</f>
        <v>1174410</v>
      </c>
      <c r="I17" s="950">
        <f>1275590-958500</f>
        <v>317090</v>
      </c>
      <c r="J17" s="459">
        <f t="shared" si="2"/>
        <v>1491500</v>
      </c>
      <c r="K17" s="950">
        <v>8661417</v>
      </c>
      <c r="L17" s="950">
        <v>2338583</v>
      </c>
      <c r="M17" s="459">
        <f t="shared" si="3"/>
        <v>11000000</v>
      </c>
      <c r="N17" s="449">
        <f t="shared" si="4"/>
        <v>15037009</v>
      </c>
      <c r="O17" s="449">
        <f t="shared" si="5"/>
        <v>4059991</v>
      </c>
      <c r="P17" s="449">
        <f t="shared" si="6"/>
        <v>19097000</v>
      </c>
      <c r="Q17" s="450"/>
      <c r="R17" s="450"/>
      <c r="S17" s="450"/>
      <c r="T17" s="450"/>
    </row>
    <row r="18" spans="1:21" x14ac:dyDescent="0.25">
      <c r="A18" s="460" t="s">
        <v>772</v>
      </c>
      <c r="B18" s="951"/>
      <c r="C18" s="951"/>
      <c r="D18" s="461">
        <f t="shared" si="0"/>
        <v>0</v>
      </c>
      <c r="E18" s="951"/>
      <c r="F18" s="951"/>
      <c r="G18" s="461">
        <f t="shared" si="1"/>
        <v>0</v>
      </c>
      <c r="H18" s="951"/>
      <c r="I18" s="951"/>
      <c r="J18" s="461">
        <f t="shared" si="2"/>
        <v>0</v>
      </c>
      <c r="K18" s="951"/>
      <c r="L18" s="951"/>
      <c r="M18" s="461">
        <f t="shared" si="3"/>
        <v>0</v>
      </c>
      <c r="N18" s="451">
        <f t="shared" si="4"/>
        <v>0</v>
      </c>
      <c r="O18" s="451">
        <f t="shared" si="5"/>
        <v>0</v>
      </c>
      <c r="P18" s="451">
        <f t="shared" si="6"/>
        <v>0</v>
      </c>
      <c r="Q18" s="450"/>
      <c r="R18" s="450"/>
      <c r="S18" s="450"/>
      <c r="T18" s="450"/>
    </row>
    <row r="19" spans="1:21" x14ac:dyDescent="0.25">
      <c r="A19" s="460" t="s">
        <v>773</v>
      </c>
      <c r="B19" s="461">
        <v>20250000</v>
      </c>
      <c r="C19" s="461">
        <v>5467500</v>
      </c>
      <c r="D19" s="461">
        <f t="shared" si="0"/>
        <v>25717500</v>
      </c>
      <c r="E19" s="461">
        <v>3000000</v>
      </c>
      <c r="F19" s="461">
        <v>810000</v>
      </c>
      <c r="G19" s="461">
        <f t="shared" si="1"/>
        <v>3810000</v>
      </c>
      <c r="H19" s="461">
        <v>3550000</v>
      </c>
      <c r="I19" s="461">
        <v>958500</v>
      </c>
      <c r="J19" s="461">
        <f t="shared" si="2"/>
        <v>4508500</v>
      </c>
      <c r="K19" s="951"/>
      <c r="L19" s="951"/>
      <c r="M19" s="461">
        <f t="shared" si="3"/>
        <v>0</v>
      </c>
      <c r="N19" s="451">
        <f t="shared" si="4"/>
        <v>26800000</v>
      </c>
      <c r="O19" s="451">
        <f t="shared" si="5"/>
        <v>7236000</v>
      </c>
      <c r="P19" s="451">
        <f t="shared" si="6"/>
        <v>34036000</v>
      </c>
      <c r="Q19" s="450"/>
      <c r="R19" s="450"/>
      <c r="S19" s="450"/>
      <c r="T19" s="450"/>
    </row>
    <row r="20" spans="1:21" x14ac:dyDescent="0.25">
      <c r="A20" s="460" t="s">
        <v>774</v>
      </c>
      <c r="B20" s="461">
        <v>5354331</v>
      </c>
      <c r="C20" s="461">
        <v>1445669</v>
      </c>
      <c r="D20" s="461">
        <f t="shared" si="0"/>
        <v>6800000</v>
      </c>
      <c r="E20" s="461">
        <v>944882</v>
      </c>
      <c r="F20" s="461">
        <v>255118</v>
      </c>
      <c r="G20" s="461">
        <f t="shared" si="1"/>
        <v>1200000</v>
      </c>
      <c r="H20" s="461">
        <v>1181102</v>
      </c>
      <c r="I20" s="461">
        <v>318898</v>
      </c>
      <c r="J20" s="461">
        <f t="shared" si="2"/>
        <v>1500000</v>
      </c>
      <c r="K20" s="461">
        <v>1732283</v>
      </c>
      <c r="L20" s="461">
        <v>467716</v>
      </c>
      <c r="M20" s="461">
        <f t="shared" si="3"/>
        <v>2199999</v>
      </c>
      <c r="N20" s="451">
        <f t="shared" si="4"/>
        <v>9212598</v>
      </c>
      <c r="O20" s="451">
        <f t="shared" si="5"/>
        <v>2487401</v>
      </c>
      <c r="P20" s="451">
        <f t="shared" si="6"/>
        <v>11699999</v>
      </c>
      <c r="Q20" s="450"/>
      <c r="R20" s="450"/>
      <c r="S20" s="450"/>
      <c r="T20" s="450"/>
    </row>
    <row r="21" spans="1:21" x14ac:dyDescent="0.25">
      <c r="A21" s="460" t="s">
        <v>775</v>
      </c>
      <c r="B21" s="461">
        <v>5354331</v>
      </c>
      <c r="C21" s="461">
        <v>1445669</v>
      </c>
      <c r="D21" s="461">
        <f t="shared" si="0"/>
        <v>6800000</v>
      </c>
      <c r="E21" s="461">
        <v>944882</v>
      </c>
      <c r="F21" s="461">
        <f>(E21*0.27)</f>
        <v>255118.14</v>
      </c>
      <c r="G21" s="461">
        <f>SUM(E21:F21)</f>
        <v>1200000.1400000001</v>
      </c>
      <c r="H21" s="461">
        <v>1200000</v>
      </c>
      <c r="I21" s="461">
        <v>300000</v>
      </c>
      <c r="J21" s="461">
        <f t="shared" si="2"/>
        <v>1500000</v>
      </c>
      <c r="K21" s="461">
        <v>1732283</v>
      </c>
      <c r="L21" s="461">
        <v>467716</v>
      </c>
      <c r="M21" s="461">
        <f t="shared" si="3"/>
        <v>2199999</v>
      </c>
      <c r="N21" s="451">
        <f t="shared" si="4"/>
        <v>9231496</v>
      </c>
      <c r="O21" s="451">
        <f t="shared" si="5"/>
        <v>2468503.14</v>
      </c>
      <c r="P21" s="451">
        <f t="shared" si="6"/>
        <v>11699999.140000001</v>
      </c>
      <c r="Q21" s="450"/>
      <c r="R21" s="450"/>
      <c r="S21" s="450"/>
      <c r="T21" s="450"/>
    </row>
    <row r="22" spans="1:21" x14ac:dyDescent="0.25">
      <c r="A22" s="460" t="s">
        <v>776</v>
      </c>
      <c r="B22" s="461">
        <v>2677165</v>
      </c>
      <c r="C22" s="461">
        <v>722835</v>
      </c>
      <c r="D22" s="461">
        <f t="shared" si="0"/>
        <v>3400000</v>
      </c>
      <c r="E22" s="461">
        <v>472441</v>
      </c>
      <c r="F22" s="461">
        <f>(E22*0.27)</f>
        <v>127559.07</v>
      </c>
      <c r="G22" s="461">
        <f>SUM(E22:F22)</f>
        <v>600000.07000000007</v>
      </c>
      <c r="H22" s="461">
        <v>590551</v>
      </c>
      <c r="I22" s="461">
        <f>(H22*0.27)</f>
        <v>159448.77000000002</v>
      </c>
      <c r="J22" s="461">
        <f t="shared" si="2"/>
        <v>749999.77</v>
      </c>
      <c r="K22" s="461">
        <v>130000</v>
      </c>
      <c r="L22" s="461">
        <v>35100</v>
      </c>
      <c r="M22" s="461">
        <f t="shared" si="3"/>
        <v>165100</v>
      </c>
      <c r="N22" s="451">
        <f t="shared" si="4"/>
        <v>3870157</v>
      </c>
      <c r="O22" s="451">
        <f t="shared" si="5"/>
        <v>1044942.8400000001</v>
      </c>
      <c r="P22" s="451">
        <f t="shared" si="6"/>
        <v>4915099.84</v>
      </c>
      <c r="Q22" s="450"/>
      <c r="R22" s="450"/>
      <c r="S22" s="450"/>
      <c r="T22" s="450"/>
    </row>
    <row r="23" spans="1:21" x14ac:dyDescent="0.25">
      <c r="A23" s="462" t="s">
        <v>777</v>
      </c>
      <c r="B23" s="461">
        <v>2100000</v>
      </c>
      <c r="C23" s="461">
        <v>567000</v>
      </c>
      <c r="D23" s="461">
        <f t="shared" si="0"/>
        <v>2667000</v>
      </c>
      <c r="E23" s="461">
        <v>0</v>
      </c>
      <c r="F23" s="461">
        <v>0</v>
      </c>
      <c r="G23" s="461">
        <f t="shared" si="1"/>
        <v>0</v>
      </c>
      <c r="H23" s="461">
        <v>0</v>
      </c>
      <c r="I23" s="461">
        <v>0</v>
      </c>
      <c r="J23" s="461">
        <f t="shared" si="2"/>
        <v>0</v>
      </c>
      <c r="K23" s="461">
        <v>0</v>
      </c>
      <c r="L23" s="461">
        <v>0</v>
      </c>
      <c r="M23" s="461">
        <f t="shared" si="3"/>
        <v>0</v>
      </c>
      <c r="N23" s="451">
        <f t="shared" si="4"/>
        <v>2100000</v>
      </c>
      <c r="O23" s="451">
        <f t="shared" si="5"/>
        <v>567000</v>
      </c>
      <c r="P23" s="451">
        <f t="shared" si="6"/>
        <v>2667000</v>
      </c>
      <c r="Q23" s="450"/>
      <c r="R23" s="450"/>
      <c r="S23" s="450"/>
      <c r="T23" s="450"/>
    </row>
    <row r="24" spans="1:21" x14ac:dyDescent="0.25">
      <c r="A24" s="463" t="s">
        <v>778</v>
      </c>
      <c r="B24" s="461">
        <v>0</v>
      </c>
      <c r="C24" s="461">
        <v>0</v>
      </c>
      <c r="D24" s="461">
        <f t="shared" si="0"/>
        <v>0</v>
      </c>
      <c r="E24" s="461">
        <v>472441</v>
      </c>
      <c r="F24" s="461">
        <v>127559</v>
      </c>
      <c r="G24" s="461">
        <f t="shared" si="1"/>
        <v>600000</v>
      </c>
      <c r="H24" s="461">
        <v>590551</v>
      </c>
      <c r="I24" s="461">
        <v>159449</v>
      </c>
      <c r="J24" s="461">
        <f t="shared" si="2"/>
        <v>750000</v>
      </c>
      <c r="K24" s="461">
        <v>0</v>
      </c>
      <c r="L24" s="461">
        <v>0</v>
      </c>
      <c r="M24" s="461">
        <f t="shared" si="3"/>
        <v>0</v>
      </c>
      <c r="N24" s="451">
        <f t="shared" si="4"/>
        <v>1062992</v>
      </c>
      <c r="O24" s="451">
        <f t="shared" si="5"/>
        <v>287008</v>
      </c>
      <c r="P24" s="451">
        <f t="shared" si="6"/>
        <v>1350000</v>
      </c>
      <c r="Q24" s="450"/>
      <c r="R24" s="450"/>
      <c r="S24" s="450"/>
      <c r="T24" s="450"/>
    </row>
    <row r="25" spans="1:21" ht="24.75" x14ac:dyDescent="0.25">
      <c r="A25" s="463" t="s">
        <v>779</v>
      </c>
      <c r="B25" s="461">
        <v>0</v>
      </c>
      <c r="C25" s="461">
        <v>0</v>
      </c>
      <c r="D25" s="461">
        <f t="shared" si="0"/>
        <v>0</v>
      </c>
      <c r="E25" s="461">
        <v>0</v>
      </c>
      <c r="F25" s="461">
        <v>0</v>
      </c>
      <c r="G25" s="461">
        <f t="shared" si="1"/>
        <v>0</v>
      </c>
      <c r="H25" s="461">
        <v>0</v>
      </c>
      <c r="I25" s="461">
        <v>0</v>
      </c>
      <c r="J25" s="461">
        <f t="shared" si="2"/>
        <v>0</v>
      </c>
      <c r="K25" s="461">
        <v>100000</v>
      </c>
      <c r="L25" s="461">
        <v>27000</v>
      </c>
      <c r="M25" s="461">
        <f t="shared" si="3"/>
        <v>127000</v>
      </c>
      <c r="N25" s="451">
        <f t="shared" si="4"/>
        <v>100000</v>
      </c>
      <c r="O25" s="451">
        <f t="shared" si="5"/>
        <v>27000</v>
      </c>
      <c r="P25" s="451">
        <f t="shared" si="6"/>
        <v>127000</v>
      </c>
      <c r="Q25" s="450"/>
      <c r="R25" s="450"/>
      <c r="S25" s="450"/>
      <c r="T25" s="450"/>
    </row>
    <row r="26" spans="1:21" ht="24" x14ac:dyDescent="0.25">
      <c r="A26" s="464" t="s">
        <v>780</v>
      </c>
      <c r="B26" s="461">
        <v>10708662</v>
      </c>
      <c r="C26" s="461">
        <v>2891338</v>
      </c>
      <c r="D26" s="461">
        <f>SUM(B26:C26)</f>
        <v>13600000</v>
      </c>
      <c r="E26" s="461">
        <v>7559055</v>
      </c>
      <c r="F26" s="461">
        <f>(E26*0.27)</f>
        <v>2040944.85</v>
      </c>
      <c r="G26" s="461">
        <f>SUM(E26:F26)</f>
        <v>9599999.8499999996</v>
      </c>
      <c r="H26" s="461">
        <v>9448819</v>
      </c>
      <c r="I26" s="461">
        <f>(H26*0.27)</f>
        <v>2551181.1300000004</v>
      </c>
      <c r="J26" s="461">
        <f>SUM(H26:I26)</f>
        <v>12000000.130000001</v>
      </c>
      <c r="K26" s="461">
        <v>636142</v>
      </c>
      <c r="L26" s="461">
        <v>171758</v>
      </c>
      <c r="M26" s="461">
        <f>SUM(K26:L26)</f>
        <v>807900</v>
      </c>
      <c r="N26" s="451">
        <f>SUM(K26+H26+E26+B26)</f>
        <v>28352678</v>
      </c>
      <c r="O26" s="451">
        <f>SUM(L26+I26+F26+C26)</f>
        <v>7655221.9800000004</v>
      </c>
      <c r="P26" s="451">
        <f>SUM(M26+J26+G26+D26)</f>
        <v>36007899.980000004</v>
      </c>
      <c r="Q26" s="450"/>
      <c r="R26" s="450"/>
      <c r="S26" s="450"/>
      <c r="T26" s="450"/>
    </row>
    <row r="27" spans="1:21" x14ac:dyDescent="0.25">
      <c r="A27" s="465" t="s">
        <v>31</v>
      </c>
      <c r="B27" s="466">
        <f>SUM(B17:B26)</f>
        <v>50866143</v>
      </c>
      <c r="C27" s="466">
        <f>SUM(C17:C26)</f>
        <v>13733857</v>
      </c>
      <c r="D27" s="466">
        <f t="shared" ref="D27:P27" si="8">SUM(D17:D26)</f>
        <v>64600000</v>
      </c>
      <c r="E27" s="466">
        <f t="shared" si="8"/>
        <v>14173229</v>
      </c>
      <c r="F27" s="466">
        <f t="shared" si="8"/>
        <v>3826771.0600000005</v>
      </c>
      <c r="G27" s="466">
        <f t="shared" si="8"/>
        <v>18000000.060000002</v>
      </c>
      <c r="H27" s="466">
        <f t="shared" si="8"/>
        <v>17735433</v>
      </c>
      <c r="I27" s="466">
        <f t="shared" si="8"/>
        <v>4764566.9000000004</v>
      </c>
      <c r="J27" s="466">
        <f t="shared" si="8"/>
        <v>22499999.899999999</v>
      </c>
      <c r="K27" s="466">
        <f t="shared" si="8"/>
        <v>12992125</v>
      </c>
      <c r="L27" s="466">
        <f t="shared" si="8"/>
        <v>3507873</v>
      </c>
      <c r="M27" s="466">
        <f t="shared" si="8"/>
        <v>16499998</v>
      </c>
      <c r="N27" s="466">
        <f t="shared" si="8"/>
        <v>95766930</v>
      </c>
      <c r="O27" s="466">
        <f t="shared" si="8"/>
        <v>25833067.960000001</v>
      </c>
      <c r="P27" s="466">
        <f t="shared" si="8"/>
        <v>121599997.96000001</v>
      </c>
      <c r="Q27" s="450"/>
      <c r="R27" s="450"/>
      <c r="S27" s="450"/>
      <c r="T27" s="450"/>
    </row>
    <row r="28" spans="1:21" ht="27.75" customHeight="1" thickBot="1" x14ac:dyDescent="0.3">
      <c r="A28" s="467" t="s">
        <v>781</v>
      </c>
      <c r="B28" s="468">
        <v>1639344</v>
      </c>
      <c r="C28" s="468">
        <v>360656</v>
      </c>
      <c r="D28" s="468">
        <f>SUM(B28:C28)</f>
        <v>2000000</v>
      </c>
      <c r="E28" s="468"/>
      <c r="F28" s="468"/>
      <c r="G28" s="468"/>
      <c r="H28" s="468"/>
      <c r="I28" s="468"/>
      <c r="J28" s="468"/>
      <c r="K28" s="468"/>
      <c r="L28" s="468"/>
      <c r="M28" s="468"/>
      <c r="N28" s="469">
        <f>SUM(K28+H28+E28+B28)</f>
        <v>1639344</v>
      </c>
      <c r="O28" s="469">
        <f>SUM(L28+I28+F28+C28)</f>
        <v>360656</v>
      </c>
      <c r="P28" s="469">
        <f>SUM(M28+J28+G28+D28)</f>
        <v>2000000</v>
      </c>
      <c r="Q28" s="450"/>
      <c r="R28" s="450"/>
      <c r="S28" s="450"/>
      <c r="T28" s="450"/>
    </row>
    <row r="29" spans="1:21" ht="15.75" thickBot="1" x14ac:dyDescent="0.3">
      <c r="A29" s="470" t="s">
        <v>437</v>
      </c>
      <c r="B29" s="471">
        <f>SUM(B15+B16+B27+B28)</f>
        <v>523686591</v>
      </c>
      <c r="C29" s="471">
        <f t="shared" ref="C29:P29" si="9">SUM(C15+C16+C27+C28)</f>
        <v>141313409</v>
      </c>
      <c r="D29" s="471">
        <f t="shared" si="9"/>
        <v>665000000</v>
      </c>
      <c r="E29" s="471">
        <f t="shared" si="9"/>
        <v>91181103</v>
      </c>
      <c r="F29" s="471">
        <f t="shared" si="9"/>
        <v>24618897.060000002</v>
      </c>
      <c r="G29" s="471">
        <f t="shared" si="9"/>
        <v>115800000.06</v>
      </c>
      <c r="H29" s="471">
        <f t="shared" si="9"/>
        <v>113995276</v>
      </c>
      <c r="I29" s="471">
        <f t="shared" si="9"/>
        <v>30754723.899999999</v>
      </c>
      <c r="J29" s="471">
        <f t="shared" si="9"/>
        <v>144749999.90000001</v>
      </c>
      <c r="K29" s="471">
        <f t="shared" si="9"/>
        <v>180547244</v>
      </c>
      <c r="L29" s="471">
        <f t="shared" si="9"/>
        <v>48747754</v>
      </c>
      <c r="M29" s="471">
        <f t="shared" si="9"/>
        <v>229294998</v>
      </c>
      <c r="N29" s="471">
        <f t="shared" si="9"/>
        <v>909410214</v>
      </c>
      <c r="O29" s="471">
        <f t="shared" si="9"/>
        <v>245434783.96000001</v>
      </c>
      <c r="P29" s="472">
        <f t="shared" si="9"/>
        <v>1154844997.96</v>
      </c>
      <c r="Q29" s="450"/>
      <c r="R29" s="450"/>
      <c r="S29" s="473"/>
      <c r="T29" s="473"/>
    </row>
    <row r="30" spans="1:21" ht="24.75" x14ac:dyDescent="0.25">
      <c r="A30" s="474" t="s">
        <v>782</v>
      </c>
      <c r="B30" s="475"/>
      <c r="C30" s="476"/>
      <c r="D30" s="477">
        <f>SUM(B29:C29)</f>
        <v>665000000</v>
      </c>
      <c r="E30" s="477"/>
      <c r="F30" s="478"/>
      <c r="G30" s="479">
        <f>SUM(E29+F29)</f>
        <v>115800000.06</v>
      </c>
      <c r="H30" s="477"/>
      <c r="I30" s="478"/>
      <c r="J30" s="479">
        <f>SUM(H29+I29)</f>
        <v>144749999.90000001</v>
      </c>
      <c r="K30" s="477"/>
      <c r="L30" s="478"/>
      <c r="M30" s="479">
        <f>SUM(K29+L29)</f>
        <v>229294998</v>
      </c>
      <c r="N30" s="952"/>
      <c r="O30" s="953"/>
      <c r="P30" s="479">
        <f>SUM(N29+O29)</f>
        <v>1154844997.96</v>
      </c>
      <c r="Q30" s="450"/>
      <c r="R30" s="450"/>
      <c r="S30" s="473"/>
      <c r="T30" s="473"/>
    </row>
    <row r="31" spans="1:21" x14ac:dyDescent="0.25">
      <c r="A31" s="460" t="s">
        <v>783</v>
      </c>
      <c r="B31" s="480"/>
      <c r="C31" s="481"/>
      <c r="D31" s="482">
        <v>633766800</v>
      </c>
      <c r="E31" s="483"/>
      <c r="F31" s="484"/>
      <c r="G31" s="482">
        <v>104400000</v>
      </c>
      <c r="H31" s="483"/>
      <c r="I31" s="484"/>
      <c r="J31" s="482">
        <v>130500000</v>
      </c>
      <c r="K31" s="483"/>
      <c r="L31" s="484"/>
      <c r="M31" s="482">
        <v>226929899</v>
      </c>
      <c r="N31" s="482"/>
      <c r="O31" s="482"/>
      <c r="P31" s="482">
        <f>SUM(D31+G31+J31+M31)</f>
        <v>1095596699</v>
      </c>
      <c r="Q31" s="485"/>
      <c r="R31" s="485"/>
    </row>
    <row r="32" spans="1:21" x14ac:dyDescent="0.25">
      <c r="A32" s="486" t="s">
        <v>784</v>
      </c>
      <c r="B32" s="487"/>
      <c r="C32" s="488"/>
      <c r="D32" s="489">
        <f>SUM(D30-D31)</f>
        <v>31233200</v>
      </c>
      <c r="E32" s="490"/>
      <c r="F32" s="491"/>
      <c r="G32" s="489">
        <f>SUM(G30-G31)</f>
        <v>11400000.060000002</v>
      </c>
      <c r="H32" s="490"/>
      <c r="I32" s="491"/>
      <c r="J32" s="489">
        <f>SUM(J30-J31)</f>
        <v>14249999.900000006</v>
      </c>
      <c r="K32" s="490"/>
      <c r="L32" s="491"/>
      <c r="M32" s="489">
        <f>SUM(M30-M31)</f>
        <v>2365099</v>
      </c>
      <c r="N32" s="489"/>
      <c r="O32" s="489"/>
      <c r="P32" s="489">
        <f>SUM(P30-P31)</f>
        <v>59248298.960000038</v>
      </c>
      <c r="Q32" s="485"/>
      <c r="R32" s="485"/>
      <c r="S32" s="485"/>
      <c r="T32" s="485"/>
      <c r="U32" s="485"/>
    </row>
    <row r="33" spans="1:21" x14ac:dyDescent="0.25">
      <c r="B33" s="485"/>
      <c r="C33" s="485"/>
      <c r="D33" s="450">
        <f>SUM(B29:C29)</f>
        <v>665000000</v>
      </c>
      <c r="E33" s="485"/>
      <c r="F33" s="485"/>
      <c r="G33" s="450">
        <f>SUM(G15+G16+G17+G18+G19+G20+G21+G22+G23+G24+G25+G28+G26)</f>
        <v>115800000.05999999</v>
      </c>
      <c r="H33" s="485"/>
      <c r="I33" s="485"/>
      <c r="J33" s="450">
        <f>SUM(J15+J16+J17+J18+J19+J20+J21+J22+J23+J24+J25+J28+J26)</f>
        <v>144749999.90000001</v>
      </c>
      <c r="K33" s="485"/>
      <c r="L33" s="485"/>
      <c r="M33" s="450">
        <f>SUM(M15+M16+M17+M18+M19+M20+M21+M22+M23+M24+M25+M28+M26)</f>
        <v>229294998</v>
      </c>
      <c r="N33" s="450"/>
      <c r="O33" s="450"/>
      <c r="P33" s="492">
        <f>SUM(N29:O29)</f>
        <v>1154844997.96</v>
      </c>
      <c r="Q33" s="485"/>
      <c r="R33" s="485"/>
      <c r="S33" s="485"/>
      <c r="T33" s="485"/>
      <c r="U33" s="485"/>
    </row>
    <row r="34" spans="1:21" x14ac:dyDescent="0.25">
      <c r="B34" s="485"/>
      <c r="C34" s="485"/>
      <c r="D34" s="485"/>
      <c r="E34" s="485"/>
      <c r="F34" s="485"/>
      <c r="G34" s="485"/>
      <c r="H34" s="485"/>
      <c r="I34" s="485"/>
      <c r="J34" s="485"/>
      <c r="K34" s="485"/>
      <c r="L34" s="485"/>
      <c r="M34" s="485"/>
      <c r="N34" s="485"/>
      <c r="O34" s="485"/>
      <c r="P34" s="493">
        <f>SUM(D32+G32+J32+M32)</f>
        <v>59248298.960000008</v>
      </c>
      <c r="Q34" s="485"/>
      <c r="R34" s="485"/>
      <c r="S34" s="485"/>
      <c r="T34" s="485"/>
      <c r="U34" s="485"/>
    </row>
    <row r="35" spans="1:21" ht="27" thickBot="1" x14ac:dyDescent="0.3">
      <c r="A35" s="494" t="s">
        <v>785</v>
      </c>
      <c r="B35" s="450">
        <f>(D35/1.27)</f>
        <v>28577874.015748031</v>
      </c>
      <c r="C35" s="450">
        <f>(B35*0.27)</f>
        <v>7716025.9842519686</v>
      </c>
      <c r="D35" s="450">
        <v>36293900</v>
      </c>
      <c r="E35" s="450">
        <f>(G35/1.27)</f>
        <v>3165000</v>
      </c>
      <c r="F35" s="450">
        <f>(E35*0.27)</f>
        <v>854550</v>
      </c>
      <c r="G35" s="450">
        <v>4019550</v>
      </c>
      <c r="H35" s="450">
        <f>(J35/1.27)</f>
        <v>3985000</v>
      </c>
      <c r="I35" s="450">
        <f>(H35*0.27)</f>
        <v>1075950</v>
      </c>
      <c r="J35" s="450">
        <v>5060950</v>
      </c>
      <c r="K35" s="450">
        <f>(M35/1.27)</f>
        <v>6067007.8740157476</v>
      </c>
      <c r="L35" s="450">
        <f>(K35*0.27)</f>
        <v>1638092.125984252</v>
      </c>
      <c r="M35" s="450">
        <v>7705100</v>
      </c>
      <c r="N35" s="495">
        <f>(P35/1.27)</f>
        <v>41794881.88976378</v>
      </c>
      <c r="O35" s="495">
        <f>(N35*0.27)</f>
        <v>11284618.110236222</v>
      </c>
      <c r="P35" s="495">
        <f>SUM(D35+G35+J35+M35)</f>
        <v>53079500</v>
      </c>
    </row>
    <row r="36" spans="1:21" ht="27" thickBot="1" x14ac:dyDescent="0.3">
      <c r="A36" s="496" t="s">
        <v>786</v>
      </c>
      <c r="B36" s="450">
        <f t="shared" ref="B36:M36" si="10">SUM(B27-B35)</f>
        <v>22288268.984251969</v>
      </c>
      <c r="C36" s="450">
        <f t="shared" si="10"/>
        <v>6017831.0157480314</v>
      </c>
      <c r="D36" s="450">
        <f t="shared" si="10"/>
        <v>28306100</v>
      </c>
      <c r="E36" s="450">
        <f t="shared" si="10"/>
        <v>11008229</v>
      </c>
      <c r="F36" s="450">
        <f t="shared" si="10"/>
        <v>2972221.0600000005</v>
      </c>
      <c r="G36" s="450">
        <f t="shared" si="10"/>
        <v>13980450.060000002</v>
      </c>
      <c r="H36" s="450">
        <f t="shared" si="10"/>
        <v>13750433</v>
      </c>
      <c r="I36" s="450">
        <f t="shared" si="10"/>
        <v>3688616.9000000004</v>
      </c>
      <c r="J36" s="450">
        <f t="shared" si="10"/>
        <v>17439049.899999999</v>
      </c>
      <c r="K36" s="450">
        <f t="shared" si="10"/>
        <v>6925117.1259842524</v>
      </c>
      <c r="L36" s="450">
        <f t="shared" si="10"/>
        <v>1869780.874015748</v>
      </c>
      <c r="M36" s="450">
        <f t="shared" si="10"/>
        <v>8794898</v>
      </c>
      <c r="N36" s="497">
        <f>SUM(B36+E36+H36+K36)</f>
        <v>53972048.11023622</v>
      </c>
      <c r="O36" s="498">
        <f>SUM(C36+F36+I36+L36)</f>
        <v>14548449.849763781</v>
      </c>
      <c r="P36" s="499">
        <f>SUM(D36+G36+J36+M36)</f>
        <v>68520497.960000008</v>
      </c>
    </row>
    <row r="37" spans="1:21" x14ac:dyDescent="0.25">
      <c r="B37" s="473"/>
      <c r="C37" s="473"/>
      <c r="D37" s="473"/>
      <c r="E37" s="473"/>
      <c r="F37" s="473"/>
      <c r="G37" s="473"/>
      <c r="H37" s="473"/>
      <c r="I37" s="473"/>
      <c r="J37" s="473"/>
      <c r="K37" s="473"/>
      <c r="L37" s="473"/>
      <c r="M37" s="473"/>
      <c r="N37" s="473"/>
      <c r="O37" s="473"/>
      <c r="P37" s="473"/>
    </row>
    <row r="38" spans="1:21" x14ac:dyDescent="0.25">
      <c r="B38" s="473"/>
      <c r="C38" s="473"/>
      <c r="D38" s="473"/>
      <c r="E38" s="473"/>
      <c r="F38" s="473"/>
      <c r="G38" s="473"/>
      <c r="H38" s="473">
        <v>95970495</v>
      </c>
      <c r="I38" s="473"/>
      <c r="J38" s="473"/>
      <c r="K38" s="473"/>
      <c r="L38" s="473"/>
      <c r="M38" s="473"/>
      <c r="N38" s="473"/>
      <c r="O38" s="473"/>
      <c r="P38" s="473"/>
    </row>
    <row r="39" spans="1:21" x14ac:dyDescent="0.25">
      <c r="B39" s="473"/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</row>
    <row r="40" spans="1:21" x14ac:dyDescent="0.25">
      <c r="B40" s="473"/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473"/>
      <c r="N40" s="473"/>
      <c r="O40" s="473"/>
      <c r="P40" s="473"/>
    </row>
    <row r="41" spans="1:21" x14ac:dyDescent="0.25">
      <c r="B41" s="473"/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473"/>
      <c r="N41" s="473"/>
      <c r="O41" s="473"/>
      <c r="P41" s="473"/>
    </row>
  </sheetData>
  <mergeCells count="16">
    <mergeCell ref="A1:P1"/>
    <mergeCell ref="A8:A9"/>
    <mergeCell ref="B8:D8"/>
    <mergeCell ref="E8:G8"/>
    <mergeCell ref="H8:J8"/>
    <mergeCell ref="K8:M8"/>
    <mergeCell ref="N8:P8"/>
    <mergeCell ref="K17:K19"/>
    <mergeCell ref="L17:L19"/>
    <mergeCell ref="N30:O30"/>
    <mergeCell ref="B17:B18"/>
    <mergeCell ref="C17:C18"/>
    <mergeCell ref="E17:E18"/>
    <mergeCell ref="F17:F18"/>
    <mergeCell ref="H17:H18"/>
    <mergeCell ref="I17:I18"/>
  </mergeCells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96"/>
  <sheetViews>
    <sheetView topLeftCell="A83" zoomScale="96" zoomScaleNormal="96" zoomScaleSheetLayoutView="90" workbookViewId="0">
      <selection activeCell="B139" sqref="B139"/>
    </sheetView>
  </sheetViews>
  <sheetFormatPr defaultRowHeight="12.75" x14ac:dyDescent="0.2"/>
  <cols>
    <col min="1" max="1" width="6.28515625" style="2" customWidth="1"/>
    <col min="2" max="2" width="80.7109375" customWidth="1"/>
    <col min="3" max="3" width="16.5703125" style="37" customWidth="1"/>
    <col min="4" max="4" width="16.5703125" style="37" hidden="1" customWidth="1"/>
    <col min="5" max="5" width="15.85546875" style="170" customWidth="1"/>
    <col min="6" max="6" width="15.140625" style="37" customWidth="1"/>
    <col min="7" max="7" width="13.5703125" style="37" hidden="1" customWidth="1"/>
    <col min="8" max="8" width="11.140625" hidden="1" customWidth="1"/>
    <col min="9" max="9" width="13.5703125" style="76" hidden="1" customWidth="1"/>
    <col min="10" max="10" width="12.28515625" style="76" hidden="1" customWidth="1"/>
    <col min="11" max="11" width="13.5703125" style="76" hidden="1" customWidth="1"/>
    <col min="12" max="12" width="11.42578125" hidden="1" customWidth="1"/>
    <col min="13" max="13" width="10.28515625" hidden="1" customWidth="1"/>
    <col min="14" max="14" width="14.28515625" hidden="1" customWidth="1"/>
    <col min="15" max="15" width="12.7109375" hidden="1" customWidth="1"/>
    <col min="16" max="20" width="9.140625" customWidth="1"/>
  </cols>
  <sheetData>
    <row r="1" spans="1:17" ht="13.5" customHeight="1" x14ac:dyDescent="0.3">
      <c r="A1" s="56"/>
      <c r="B1" s="34"/>
      <c r="F1" s="183" t="s">
        <v>949</v>
      </c>
      <c r="H1" s="2"/>
      <c r="I1" s="7"/>
      <c r="J1" s="7"/>
      <c r="K1" s="7"/>
      <c r="L1" s="2"/>
      <c r="M1" s="2"/>
    </row>
    <row r="2" spans="1:17" ht="15.75" customHeight="1" x14ac:dyDescent="0.3">
      <c r="A2" s="56"/>
      <c r="B2" s="34"/>
      <c r="F2" s="183" t="str">
        <f>'1.Bev-kiad.'!F2</f>
        <v>a 11/2023.(V.26.) önkormányzati rendelethez</v>
      </c>
      <c r="H2" s="2"/>
      <c r="I2" s="7"/>
      <c r="J2" s="7"/>
      <c r="K2" s="7"/>
      <c r="L2" s="2"/>
      <c r="M2" s="2"/>
    </row>
    <row r="3" spans="1:17" ht="13.5" customHeight="1" x14ac:dyDescent="0.3">
      <c r="A3" s="56"/>
      <c r="B3" s="34"/>
      <c r="F3" s="183" t="s">
        <v>1296</v>
      </c>
      <c r="H3" s="2"/>
      <c r="I3" s="7"/>
      <c r="J3" s="7"/>
      <c r="K3" s="7"/>
      <c r="L3" s="2"/>
      <c r="M3" s="2"/>
    </row>
    <row r="4" spans="1:17" ht="16.5" customHeight="1" x14ac:dyDescent="0.35">
      <c r="A4" s="779" t="s">
        <v>27</v>
      </c>
      <c r="B4" s="779"/>
      <c r="C4" s="788"/>
      <c r="D4" s="788"/>
      <c r="E4" s="788"/>
      <c r="F4" s="788"/>
      <c r="G4" s="788"/>
      <c r="H4" s="2"/>
      <c r="I4" s="7"/>
      <c r="J4" s="7"/>
      <c r="K4" s="7"/>
      <c r="L4" s="2"/>
      <c r="M4" s="2"/>
    </row>
    <row r="5" spans="1:17" ht="19.5" x14ac:dyDescent="0.35">
      <c r="A5" s="779" t="s">
        <v>1136</v>
      </c>
      <c r="B5" s="779"/>
      <c r="C5" s="788"/>
      <c r="D5" s="788"/>
      <c r="E5" s="788"/>
      <c r="F5" s="788"/>
      <c r="G5" s="788"/>
      <c r="H5" s="2"/>
      <c r="I5" s="7"/>
      <c r="J5" s="7"/>
      <c r="K5" s="7"/>
      <c r="L5" s="2"/>
      <c r="M5" s="2"/>
    </row>
    <row r="6" spans="1:17" ht="13.5" thickBot="1" x14ac:dyDescent="0.25">
      <c r="A6" s="56"/>
      <c r="B6" s="1"/>
      <c r="F6" s="183" t="s">
        <v>0</v>
      </c>
      <c r="H6" s="2"/>
      <c r="I6" s="7"/>
      <c r="J6" s="7"/>
      <c r="K6" s="7"/>
      <c r="L6" s="2"/>
      <c r="M6" s="2"/>
    </row>
    <row r="7" spans="1:17" ht="54.75" customHeight="1" thickBot="1" x14ac:dyDescent="0.25">
      <c r="A7" s="219" t="s">
        <v>120</v>
      </c>
      <c r="B7" s="45" t="s">
        <v>210</v>
      </c>
      <c r="C7" s="45" t="str">
        <f>'1.Bev-kiad.'!C7</f>
        <v>2022. évi eredeti előirányzat</v>
      </c>
      <c r="D7" s="45" t="str">
        <f>'1.Bev-kiad.'!D7</f>
        <v>Módosított előirányzat 2022.06.havi</v>
      </c>
      <c r="E7" s="45" t="str">
        <f>'1.Bev-kiad.'!E7</f>
        <v>Módosított előirányzat 2022.10.havi</v>
      </c>
      <c r="F7" s="45" t="str">
        <f>'1.Bev-kiad.'!F7</f>
        <v>Módosított előirányzat 2022.12.31.</v>
      </c>
      <c r="G7" s="46" t="str">
        <f>'1.Bev-kiad.'!G7</f>
        <v>Teljesítés 2022.12.31.</v>
      </c>
      <c r="H7" s="318"/>
      <c r="I7" s="574"/>
      <c r="J7" s="574"/>
      <c r="K7" s="574"/>
      <c r="L7" s="2"/>
      <c r="M7" s="2"/>
    </row>
    <row r="8" spans="1:17" ht="17.25" customHeight="1" x14ac:dyDescent="0.2">
      <c r="A8" s="148" t="s">
        <v>368</v>
      </c>
      <c r="B8" s="228" t="s">
        <v>363</v>
      </c>
      <c r="C8" s="175">
        <f>SUM(C9+C69+C82+C94)</f>
        <v>1004248</v>
      </c>
      <c r="D8" s="175">
        <f>SUM(D9+D69+D82+D94)</f>
        <v>1065296</v>
      </c>
      <c r="E8" s="175">
        <f>SUM(E9+E69+E82+E94)</f>
        <v>1141203</v>
      </c>
      <c r="F8" s="175">
        <f>SUM(F9+F69+F82+F94)</f>
        <v>1180370</v>
      </c>
      <c r="G8" s="175">
        <f>SUM(G9+G69+G82+G94)</f>
        <v>1141203</v>
      </c>
      <c r="H8" s="2"/>
      <c r="I8" s="7"/>
      <c r="J8" s="7"/>
      <c r="K8" s="7"/>
      <c r="L8" s="2"/>
      <c r="M8" s="7"/>
    </row>
    <row r="9" spans="1:17" ht="18" customHeight="1" x14ac:dyDescent="0.25">
      <c r="A9" s="8" t="s">
        <v>122</v>
      </c>
      <c r="B9" s="23" t="s">
        <v>910</v>
      </c>
      <c r="C9" s="160">
        <f>C10+C57</f>
        <v>559478</v>
      </c>
      <c r="D9" s="160">
        <f>D10+D57</f>
        <v>558658</v>
      </c>
      <c r="E9" s="160">
        <f>E10+E57</f>
        <v>591569</v>
      </c>
      <c r="F9" s="160">
        <f>F10+F57</f>
        <v>606847</v>
      </c>
      <c r="G9" s="160">
        <f>G10+G57</f>
        <v>591569</v>
      </c>
      <c r="H9" s="2"/>
      <c r="I9" s="160">
        <f>I10+I57</f>
        <v>575480938</v>
      </c>
      <c r="J9" s="160">
        <f t="shared" ref="J9:K9" si="0">J10+J57</f>
        <v>31366062</v>
      </c>
      <c r="K9" s="160">
        <f t="shared" si="0"/>
        <v>606847000</v>
      </c>
      <c r="L9" s="2"/>
      <c r="M9" s="29"/>
      <c r="N9" s="9"/>
      <c r="O9" s="9"/>
      <c r="P9" s="9"/>
      <c r="Q9" s="9"/>
    </row>
    <row r="10" spans="1:17" ht="13.5" customHeight="1" x14ac:dyDescent="0.2">
      <c r="A10" s="8" t="s">
        <v>123</v>
      </c>
      <c r="B10" s="14" t="s">
        <v>973</v>
      </c>
      <c r="C10" s="5">
        <f>C11+C23+C24+C34+C40+C43+C56</f>
        <v>469927</v>
      </c>
      <c r="D10" s="5">
        <f>D11+D23+D24+D34+D40+D43+D56</f>
        <v>488507</v>
      </c>
      <c r="E10" s="5">
        <f>E11+E23+E24+E34+E40+E43+E56</f>
        <v>513884</v>
      </c>
      <c r="F10" s="5">
        <f>F11+F23+F24+F34+F40+F43+F56</f>
        <v>528534</v>
      </c>
      <c r="G10" s="5">
        <f>G11+G23+G24+G34+G40+G43+G56</f>
        <v>513884</v>
      </c>
      <c r="H10" s="2"/>
      <c r="I10" s="5">
        <f>I11+I23+I24+I34+I40+I43+I56</f>
        <v>497168335</v>
      </c>
      <c r="J10" s="5">
        <f>J11+J23+J24+J34+J40+J43+J56</f>
        <v>31366062</v>
      </c>
      <c r="K10" s="5">
        <f>K11+K23+K24+K34+K40+K43+K56</f>
        <v>528534397</v>
      </c>
      <c r="L10" s="2"/>
      <c r="M10" s="29">
        <v>397881</v>
      </c>
      <c r="N10" s="37">
        <f>SUM(C10-M10)</f>
        <v>72046</v>
      </c>
      <c r="O10" s="37">
        <f>SUM(M13+M14+M17+M18+M23+M24+M36)</f>
        <v>28893254</v>
      </c>
      <c r="P10" s="9"/>
      <c r="Q10" s="9"/>
    </row>
    <row r="11" spans="1:17" ht="13.5" customHeight="1" x14ac:dyDescent="0.2">
      <c r="A11" s="8" t="s">
        <v>212</v>
      </c>
      <c r="B11" s="275" t="s">
        <v>974</v>
      </c>
      <c r="C11" s="5">
        <f>C12+C20+C21+C22</f>
        <v>183273</v>
      </c>
      <c r="D11" s="5">
        <f>D12+D20+D21+D22</f>
        <v>183273</v>
      </c>
      <c r="E11" s="5">
        <f>E12+E20+E21+E22</f>
        <v>183273</v>
      </c>
      <c r="F11" s="5">
        <f>F12+F20+F21+F22</f>
        <v>183273</v>
      </c>
      <c r="G11" s="5">
        <f>G12+G20+G21+G22</f>
        <v>183273</v>
      </c>
      <c r="H11" s="28"/>
      <c r="I11" s="5">
        <f>I12+I20+I21+I22</f>
        <v>180097789</v>
      </c>
      <c r="J11" s="5">
        <f>J12+J20+J21+J22</f>
        <v>3175694</v>
      </c>
      <c r="K11" s="766">
        <f>K12+K20+K21+K22</f>
        <v>183273483</v>
      </c>
      <c r="L11" s="2"/>
      <c r="M11" s="29"/>
      <c r="N11" s="9"/>
      <c r="O11" s="37">
        <v>3610000</v>
      </c>
      <c r="P11" s="9"/>
      <c r="Q11" s="9"/>
    </row>
    <row r="12" spans="1:17" ht="13.5" customHeight="1" x14ac:dyDescent="0.2">
      <c r="A12" s="8"/>
      <c r="B12" s="152" t="s">
        <v>975</v>
      </c>
      <c r="C12" s="13">
        <f>SUM(C13:C19)</f>
        <v>183273</v>
      </c>
      <c r="D12" s="13">
        <f>SUM(D13:D19)</f>
        <v>183273</v>
      </c>
      <c r="E12" s="13">
        <f>SUM(E13:E19)</f>
        <v>183273</v>
      </c>
      <c r="F12" s="13">
        <f>SUM(F13:F19)</f>
        <v>183273</v>
      </c>
      <c r="G12" s="13">
        <f>SUM(G13:G19)</f>
        <v>183273</v>
      </c>
      <c r="H12" s="7"/>
      <c r="I12" s="13">
        <f>SUM(I13:I19)</f>
        <v>180097789</v>
      </c>
      <c r="J12" s="13">
        <f>SUM(J13:J19)</f>
        <v>3175694</v>
      </c>
      <c r="K12" s="13">
        <f>SUM(K13:K19)</f>
        <v>183273483</v>
      </c>
      <c r="L12" s="2"/>
      <c r="M12" s="29"/>
      <c r="N12" s="9"/>
      <c r="O12" s="504">
        <f>SUM(O10:O11)</f>
        <v>32503254</v>
      </c>
      <c r="P12" s="9"/>
      <c r="Q12" s="9"/>
    </row>
    <row r="13" spans="1:17" ht="13.5" customHeight="1" x14ac:dyDescent="0.2">
      <c r="A13" s="8"/>
      <c r="B13" s="152" t="s">
        <v>976</v>
      </c>
      <c r="C13" s="73">
        <f>(132790+1003)</f>
        <v>133793</v>
      </c>
      <c r="D13" s="73">
        <f>(132790+1003)</f>
        <v>133793</v>
      </c>
      <c r="E13" s="73">
        <f>(132790+1003)</f>
        <v>133793</v>
      </c>
      <c r="F13" s="73">
        <f>(132790+1003)</f>
        <v>133793</v>
      </c>
      <c r="G13" s="73">
        <f>(132790+1003)</f>
        <v>133793</v>
      </c>
      <c r="H13" s="2"/>
      <c r="I13" s="7">
        <v>132790404</v>
      </c>
      <c r="J13" s="7">
        <v>1002784</v>
      </c>
      <c r="K13" s="7">
        <f>I13+J13</f>
        <v>133793188</v>
      </c>
      <c r="L13" s="2"/>
      <c r="M13" s="29">
        <v>1002784</v>
      </c>
      <c r="N13" s="9"/>
      <c r="O13" s="9"/>
      <c r="P13" s="9"/>
      <c r="Q13" s="9"/>
    </row>
    <row r="14" spans="1:17" x14ac:dyDescent="0.2">
      <c r="A14" s="8"/>
      <c r="B14" s="152" t="s">
        <v>1012</v>
      </c>
      <c r="C14" s="73">
        <f>(8694+276)</f>
        <v>8970</v>
      </c>
      <c r="D14" s="73">
        <f>(8694+276)</f>
        <v>8970</v>
      </c>
      <c r="E14" s="73">
        <f>(8694+276)</f>
        <v>8970</v>
      </c>
      <c r="F14" s="73">
        <f>(8694+276)</f>
        <v>8970</v>
      </c>
      <c r="G14" s="73">
        <f>(8694+276)</f>
        <v>8970</v>
      </c>
      <c r="H14" s="28"/>
      <c r="I14" s="7">
        <v>8694000</v>
      </c>
      <c r="J14" s="7">
        <v>276000</v>
      </c>
      <c r="K14" s="7">
        <f t="shared" ref="K14:K68" si="1">I14+J14</f>
        <v>8970000</v>
      </c>
      <c r="L14" s="2"/>
      <c r="M14" s="29">
        <v>276000</v>
      </c>
      <c r="N14" s="9"/>
      <c r="O14" s="9"/>
      <c r="P14" s="9"/>
      <c r="Q14" s="9"/>
    </row>
    <row r="15" spans="1:17" ht="13.5" customHeight="1" x14ac:dyDescent="0.2">
      <c r="A15" s="8"/>
      <c r="B15" s="152" t="s">
        <v>977</v>
      </c>
      <c r="C15" s="73">
        <f>(22784+1068)</f>
        <v>23852</v>
      </c>
      <c r="D15" s="73">
        <f>(22784+1068)</f>
        <v>23852</v>
      </c>
      <c r="E15" s="73">
        <f>(22784+1068)</f>
        <v>23852</v>
      </c>
      <c r="F15" s="73">
        <f>(22784+1068)</f>
        <v>23852</v>
      </c>
      <c r="G15" s="73">
        <f>(22784+1068)</f>
        <v>23852</v>
      </c>
      <c r="H15" s="7"/>
      <c r="I15" s="7">
        <v>22784000</v>
      </c>
      <c r="J15" s="7">
        <v>1068000</v>
      </c>
      <c r="K15" s="7">
        <f t="shared" si="1"/>
        <v>23852000</v>
      </c>
      <c r="L15" s="2"/>
      <c r="M15" s="29">
        <v>1068000</v>
      </c>
      <c r="N15" s="9"/>
      <c r="O15" s="9"/>
      <c r="P15" s="9"/>
      <c r="Q15" s="9"/>
    </row>
    <row r="16" spans="1:17" ht="13.5" customHeight="1" x14ac:dyDescent="0.2">
      <c r="A16" s="8"/>
      <c r="B16" s="152" t="s">
        <v>1013</v>
      </c>
      <c r="C16" s="73">
        <v>100</v>
      </c>
      <c r="D16" s="73">
        <v>100</v>
      </c>
      <c r="E16" s="73">
        <v>100</v>
      </c>
      <c r="F16" s="73">
        <v>100</v>
      </c>
      <c r="G16" s="73">
        <v>100</v>
      </c>
      <c r="H16" s="7"/>
      <c r="I16" s="7">
        <v>100000</v>
      </c>
      <c r="J16" s="7">
        <v>0</v>
      </c>
      <c r="K16" s="7">
        <f t="shared" si="1"/>
        <v>100000</v>
      </c>
      <c r="L16" s="2"/>
      <c r="M16" s="29"/>
      <c r="N16" s="9"/>
      <c r="O16" s="9"/>
      <c r="P16" s="9"/>
      <c r="Q16" s="9"/>
    </row>
    <row r="17" spans="1:17" ht="13.5" customHeight="1" x14ac:dyDescent="0.2">
      <c r="A17" s="8"/>
      <c r="B17" s="152" t="s">
        <v>1014</v>
      </c>
      <c r="C17" s="73">
        <f>(7729+329)</f>
        <v>8058</v>
      </c>
      <c r="D17" s="73">
        <f>(7729+329)</f>
        <v>8058</v>
      </c>
      <c r="E17" s="73">
        <f>(7729+329)</f>
        <v>8058</v>
      </c>
      <c r="F17" s="73">
        <f>(7729+329)</f>
        <v>8058</v>
      </c>
      <c r="G17" s="73">
        <f>(7729+329)</f>
        <v>8058</v>
      </c>
      <c r="H17" s="7"/>
      <c r="I17" s="7">
        <v>7729385</v>
      </c>
      <c r="J17" s="7">
        <v>328910</v>
      </c>
      <c r="K17" s="7">
        <f t="shared" si="1"/>
        <v>8058295</v>
      </c>
      <c r="L17" s="7"/>
      <c r="M17" s="29">
        <v>328910</v>
      </c>
      <c r="N17" s="9"/>
      <c r="O17" s="37">
        <f>SUM(M14:M18)</f>
        <v>2172910</v>
      </c>
      <c r="P17" s="9"/>
      <c r="Q17" s="9"/>
    </row>
    <row r="18" spans="1:17" ht="12.75" customHeight="1" x14ac:dyDescent="0.2">
      <c r="A18" s="8"/>
      <c r="B18" s="152" t="s">
        <v>978</v>
      </c>
      <c r="C18" s="73">
        <f>(8000+500)</f>
        <v>8500</v>
      </c>
      <c r="D18" s="73">
        <f>(8000+500)</f>
        <v>8500</v>
      </c>
      <c r="E18" s="73">
        <f>(8000+500)</f>
        <v>8500</v>
      </c>
      <c r="F18" s="73">
        <f>(8000+500)</f>
        <v>8500</v>
      </c>
      <c r="G18" s="73">
        <f>(8000+500)</f>
        <v>8500</v>
      </c>
      <c r="H18" s="2"/>
      <c r="I18" s="7">
        <v>8000000</v>
      </c>
      <c r="J18" s="7">
        <v>500000</v>
      </c>
      <c r="K18" s="7">
        <f t="shared" si="1"/>
        <v>8500000</v>
      </c>
      <c r="L18" s="2"/>
      <c r="M18" s="29">
        <v>500000</v>
      </c>
      <c r="N18" s="9"/>
      <c r="O18" s="37">
        <f>SUM(M13+O17)</f>
        <v>3175694</v>
      </c>
      <c r="P18" s="9"/>
      <c r="Q18" s="9"/>
    </row>
    <row r="19" spans="1:17" ht="12.75" customHeight="1" x14ac:dyDescent="0.2">
      <c r="A19" s="8"/>
      <c r="B19" s="152" t="s">
        <v>979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2"/>
      <c r="I19" s="7"/>
      <c r="J19" s="7"/>
      <c r="K19" s="7">
        <f t="shared" si="1"/>
        <v>0</v>
      </c>
      <c r="L19" s="2"/>
      <c r="M19" s="29"/>
      <c r="N19" s="9"/>
      <c r="O19" s="9"/>
      <c r="P19" s="9"/>
      <c r="Q19" s="9"/>
    </row>
    <row r="20" spans="1:17" x14ac:dyDescent="0.2">
      <c r="A20" s="8"/>
      <c r="B20" s="152" t="s">
        <v>980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7"/>
      <c r="I20" s="7"/>
      <c r="J20" s="7"/>
      <c r="K20" s="7">
        <f t="shared" si="1"/>
        <v>0</v>
      </c>
      <c r="L20" s="2"/>
      <c r="M20" s="29"/>
      <c r="N20" s="9"/>
      <c r="O20" s="9"/>
      <c r="P20" s="9"/>
      <c r="Q20" s="9"/>
    </row>
    <row r="21" spans="1:17" x14ac:dyDescent="0.2">
      <c r="A21" s="8"/>
      <c r="B21" s="152" t="s">
        <v>981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2"/>
      <c r="I21" s="7"/>
      <c r="J21" s="7"/>
      <c r="K21" s="7">
        <f t="shared" si="1"/>
        <v>0</v>
      </c>
      <c r="L21" s="2"/>
      <c r="M21" s="29"/>
      <c r="N21" s="9"/>
      <c r="O21" s="9"/>
      <c r="P21" s="9"/>
      <c r="Q21" s="9"/>
    </row>
    <row r="22" spans="1:17" hidden="1" x14ac:dyDescent="0.2">
      <c r="A22" s="8"/>
      <c r="B22" s="152" t="s">
        <v>945</v>
      </c>
      <c r="C22" s="13"/>
      <c r="D22" s="13"/>
      <c r="E22" s="13"/>
      <c r="F22" s="13"/>
      <c r="G22" s="13"/>
      <c r="H22" s="7"/>
      <c r="I22" s="7"/>
      <c r="J22" s="7"/>
      <c r="K22" s="7">
        <f t="shared" si="1"/>
        <v>0</v>
      </c>
      <c r="L22" s="2"/>
      <c r="M22" s="29"/>
      <c r="N22" s="9"/>
      <c r="O22" s="9"/>
      <c r="P22" s="9"/>
      <c r="Q22" s="9"/>
    </row>
    <row r="23" spans="1:17" ht="13.5" customHeight="1" x14ac:dyDescent="0.2">
      <c r="A23" s="8" t="s">
        <v>213</v>
      </c>
      <c r="B23" s="14" t="s">
        <v>982</v>
      </c>
      <c r="C23" s="5">
        <f>(82767+9185)</f>
        <v>91952</v>
      </c>
      <c r="D23" s="5">
        <f>(82767+9185)</f>
        <v>91952</v>
      </c>
      <c r="E23" s="5">
        <f>(82767+9185)+1261</f>
        <v>93213</v>
      </c>
      <c r="F23" s="5">
        <f>(82767+1261)+(9185+362)</f>
        <v>93575</v>
      </c>
      <c r="G23" s="5">
        <f>(82767+9185)+1261</f>
        <v>93213</v>
      </c>
      <c r="H23" s="7"/>
      <c r="I23" s="7">
        <f>82766900+1261000</f>
        <v>84027900</v>
      </c>
      <c r="J23" s="7">
        <f>9184500+362808</f>
        <v>9547308</v>
      </c>
      <c r="K23" s="602">
        <f t="shared" si="1"/>
        <v>93575208</v>
      </c>
      <c r="L23" s="2"/>
      <c r="M23" s="29">
        <f>(2066000+3853440+35690+132970+2695000+401400)</f>
        <v>9184500</v>
      </c>
      <c r="N23" s="9"/>
      <c r="O23" s="9"/>
      <c r="P23" s="9"/>
      <c r="Q23" s="9"/>
    </row>
    <row r="24" spans="1:17" ht="13.5" customHeight="1" x14ac:dyDescent="0.2">
      <c r="A24" s="8" t="s">
        <v>214</v>
      </c>
      <c r="B24" s="14" t="s">
        <v>983</v>
      </c>
      <c r="C24" s="5">
        <f>C25+C26+C33</f>
        <v>100007</v>
      </c>
      <c r="D24" s="5">
        <f>D25+D26+D33</f>
        <v>118356</v>
      </c>
      <c r="E24" s="5">
        <f>E25+E26+E33</f>
        <v>120765</v>
      </c>
      <c r="F24" s="5">
        <f>F25+F26+F33</f>
        <v>121111</v>
      </c>
      <c r="G24" s="5">
        <f>G25+G26+G33</f>
        <v>120765</v>
      </c>
      <c r="H24" s="7"/>
      <c r="I24" s="5">
        <f>I25+I26+I33</f>
        <v>105102919</v>
      </c>
      <c r="J24" s="5">
        <f t="shared" ref="J24:K24" si="2">J25+J26+J33</f>
        <v>16008400</v>
      </c>
      <c r="K24" s="766">
        <f t="shared" si="2"/>
        <v>121111319</v>
      </c>
      <c r="L24" s="2"/>
      <c r="M24" s="29">
        <f>SUM(M25:M31)</f>
        <v>14966400</v>
      </c>
      <c r="N24" s="9"/>
      <c r="O24" s="9"/>
      <c r="P24" s="9"/>
      <c r="Q24" s="9"/>
    </row>
    <row r="25" spans="1:17" ht="13.5" customHeight="1" x14ac:dyDescent="0.2">
      <c r="A25" s="8"/>
      <c r="B25" s="152" t="s">
        <v>984</v>
      </c>
      <c r="C25" s="13">
        <v>9172</v>
      </c>
      <c r="D25" s="13">
        <v>9172</v>
      </c>
      <c r="E25" s="13">
        <v>9172</v>
      </c>
      <c r="F25" s="13">
        <v>9172</v>
      </c>
      <c r="G25" s="13">
        <v>9172</v>
      </c>
      <c r="H25" s="2"/>
      <c r="I25" s="7">
        <v>9172000</v>
      </c>
      <c r="J25" s="7">
        <v>0</v>
      </c>
      <c r="K25" s="7">
        <f t="shared" si="1"/>
        <v>9172000</v>
      </c>
      <c r="L25" s="2"/>
      <c r="M25" s="29"/>
      <c r="N25" s="9"/>
      <c r="O25" s="9"/>
      <c r="P25" s="9"/>
      <c r="Q25" s="9"/>
    </row>
    <row r="26" spans="1:17" ht="13.5" customHeight="1" x14ac:dyDescent="0.2">
      <c r="A26" s="8"/>
      <c r="B26" s="152" t="s">
        <v>985</v>
      </c>
      <c r="C26" s="13">
        <f>C27+C28+C30+C32</f>
        <v>90835</v>
      </c>
      <c r="D26" s="13">
        <f>D27+D28+D30+D32</f>
        <v>93109</v>
      </c>
      <c r="E26" s="13">
        <f>E27+E28+E30+E32</f>
        <v>95518</v>
      </c>
      <c r="F26" s="13">
        <f>F27+F28+F30+F32</f>
        <v>96560</v>
      </c>
      <c r="G26" s="13">
        <f>G27+G28+G30+G32</f>
        <v>95518</v>
      </c>
      <c r="H26" s="2"/>
      <c r="I26" s="13">
        <f>I27+I28+I30+I32</f>
        <v>80552184</v>
      </c>
      <c r="J26" s="13">
        <f t="shared" ref="J26:K26" si="3">J27+J28+J30+J32</f>
        <v>16008400</v>
      </c>
      <c r="K26" s="13">
        <f t="shared" si="3"/>
        <v>96560584</v>
      </c>
      <c r="L26" s="2"/>
      <c r="M26" s="29"/>
      <c r="N26" s="9"/>
      <c r="O26" s="9"/>
      <c r="P26" s="9"/>
      <c r="Q26" s="9"/>
    </row>
    <row r="27" spans="1:17" ht="13.5" customHeight="1" x14ac:dyDescent="0.2">
      <c r="A27" s="8"/>
      <c r="B27" s="152" t="s">
        <v>986</v>
      </c>
      <c r="C27" s="13">
        <f>(15435+3029)</f>
        <v>18464</v>
      </c>
      <c r="D27" s="13">
        <f>(15435+3029)</f>
        <v>18464</v>
      </c>
      <c r="E27" s="13">
        <f>(15435+3029)</f>
        <v>18464</v>
      </c>
      <c r="F27" s="13">
        <f>(15435+3029)</f>
        <v>18464</v>
      </c>
      <c r="G27" s="13">
        <f>(15435+3029)</f>
        <v>18464</v>
      </c>
      <c r="H27" s="2"/>
      <c r="I27" s="7">
        <v>15434784</v>
      </c>
      <c r="J27" s="7">
        <v>3029400</v>
      </c>
      <c r="K27" s="7">
        <f t="shared" si="1"/>
        <v>18464184</v>
      </c>
      <c r="L27" s="2"/>
      <c r="M27" s="29">
        <v>3029400</v>
      </c>
      <c r="N27" s="9"/>
      <c r="O27" s="9"/>
      <c r="P27" s="9"/>
      <c r="Q27" s="9"/>
    </row>
    <row r="28" spans="1:17" ht="13.5" customHeight="1" x14ac:dyDescent="0.2">
      <c r="A28" s="8"/>
      <c r="B28" s="152" t="s">
        <v>987</v>
      </c>
      <c r="C28" s="13">
        <f>C29</f>
        <v>9153</v>
      </c>
      <c r="D28" s="13">
        <f>D29</f>
        <v>8949</v>
      </c>
      <c r="E28" s="13">
        <f>E29</f>
        <v>8881</v>
      </c>
      <c r="F28" s="13">
        <f>F29</f>
        <v>8857</v>
      </c>
      <c r="G28" s="13">
        <f>G29</f>
        <v>8881</v>
      </c>
      <c r="H28" s="2"/>
      <c r="I28" s="13">
        <f>I29</f>
        <v>8137200</v>
      </c>
      <c r="J28" s="13">
        <f t="shared" ref="J28:K28" si="4">J29</f>
        <v>720000</v>
      </c>
      <c r="K28" s="13">
        <f t="shared" si="4"/>
        <v>8857200</v>
      </c>
      <c r="L28" s="2"/>
      <c r="M28" s="29"/>
      <c r="N28" s="9"/>
      <c r="O28" s="9"/>
      <c r="P28" s="9"/>
      <c r="Q28" s="9"/>
    </row>
    <row r="29" spans="1:17" ht="13.5" customHeight="1" x14ac:dyDescent="0.2">
      <c r="A29" s="8"/>
      <c r="B29" s="152" t="s">
        <v>1011</v>
      </c>
      <c r="C29" s="13">
        <f>(8409+744)</f>
        <v>9153</v>
      </c>
      <c r="D29" s="13">
        <f>((8409-204)+744)</f>
        <v>8949</v>
      </c>
      <c r="E29" s="13">
        <f>((8409-204-68)+744)</f>
        <v>8881</v>
      </c>
      <c r="F29" s="13">
        <f>((8409-204-68)+744-24)</f>
        <v>8857</v>
      </c>
      <c r="G29" s="13">
        <f>((8409-204-68)+744)</f>
        <v>8881</v>
      </c>
      <c r="H29" s="2"/>
      <c r="I29" s="7">
        <f>8408440-203430-67810</f>
        <v>8137200</v>
      </c>
      <c r="J29" s="7">
        <f>744000-24000</f>
        <v>720000</v>
      </c>
      <c r="K29" s="7">
        <f t="shared" si="1"/>
        <v>8857200</v>
      </c>
      <c r="M29" s="29">
        <v>744000</v>
      </c>
      <c r="N29" s="9"/>
      <c r="O29" s="9"/>
      <c r="P29" s="9"/>
      <c r="Q29" s="9"/>
    </row>
    <row r="30" spans="1:17" ht="13.5" customHeight="1" x14ac:dyDescent="0.2">
      <c r="A30" s="8"/>
      <c r="B30" s="152" t="s">
        <v>988</v>
      </c>
      <c r="C30" s="13">
        <f>C31</f>
        <v>63218</v>
      </c>
      <c r="D30" s="13">
        <f>D31</f>
        <v>65696</v>
      </c>
      <c r="E30" s="13">
        <f>E31</f>
        <v>68173</v>
      </c>
      <c r="F30" s="13">
        <f>F31</f>
        <v>69239</v>
      </c>
      <c r="G30" s="13">
        <f>G31</f>
        <v>68173</v>
      </c>
      <c r="H30" s="2"/>
      <c r="I30" s="13">
        <f>I31</f>
        <v>56980200</v>
      </c>
      <c r="J30" s="13">
        <f t="shared" ref="J30:K30" si="5">J31</f>
        <v>12259000</v>
      </c>
      <c r="K30" s="13">
        <f t="shared" si="5"/>
        <v>69239200</v>
      </c>
      <c r="L30" s="2" t="s">
        <v>1153</v>
      </c>
      <c r="M30" s="29"/>
      <c r="N30" s="9"/>
      <c r="O30" s="9"/>
      <c r="P30" s="9"/>
      <c r="Q30" s="9"/>
    </row>
    <row r="31" spans="1:17" ht="13.5" customHeight="1" x14ac:dyDescent="0.2">
      <c r="A31" s="8"/>
      <c r="B31" s="152" t="s">
        <v>989</v>
      </c>
      <c r="C31" s="13">
        <f>(52025+11193)</f>
        <v>63218</v>
      </c>
      <c r="D31" s="13">
        <f>((52025+2478)+11193)</f>
        <v>65696</v>
      </c>
      <c r="E31" s="13">
        <f>((52025+2478+2477)+11193)</f>
        <v>68173</v>
      </c>
      <c r="F31" s="13">
        <f>((52025+2478+2477)+11193+533+533)</f>
        <v>69239</v>
      </c>
      <c r="G31" s="13">
        <f>((52025+2478+2477)+11193)</f>
        <v>68173</v>
      </c>
      <c r="H31" s="2"/>
      <c r="I31" s="7">
        <f>52025400+2477400+2477400</f>
        <v>56980200</v>
      </c>
      <c r="J31" s="7">
        <f>11193000+533000+533000</f>
        <v>12259000</v>
      </c>
      <c r="K31" s="7">
        <f t="shared" si="1"/>
        <v>69239200</v>
      </c>
      <c r="L31" s="2"/>
      <c r="M31" s="29">
        <v>11193000</v>
      </c>
      <c r="N31" s="9"/>
      <c r="O31" s="9"/>
      <c r="P31" s="9"/>
      <c r="Q31" s="9"/>
    </row>
    <row r="32" spans="1:17" ht="13.5" customHeight="1" x14ac:dyDescent="0.2">
      <c r="A32" s="8"/>
      <c r="B32" s="152" t="s">
        <v>990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2"/>
      <c r="I32" s="7"/>
      <c r="J32" s="7"/>
      <c r="K32" s="7">
        <f t="shared" si="1"/>
        <v>0</v>
      </c>
      <c r="L32" s="2"/>
      <c r="M32" s="29"/>
      <c r="N32" s="9"/>
      <c r="O32" s="9"/>
      <c r="P32" s="9"/>
      <c r="Q32" s="9"/>
    </row>
    <row r="33" spans="1:17" ht="13.5" customHeight="1" x14ac:dyDescent="0.2">
      <c r="A33" s="8"/>
      <c r="B33" s="152" t="s">
        <v>1096</v>
      </c>
      <c r="C33" s="13">
        <v>0</v>
      </c>
      <c r="D33" s="13">
        <v>16075</v>
      </c>
      <c r="E33" s="13">
        <v>16075</v>
      </c>
      <c r="F33" s="13">
        <f>16075-696</f>
        <v>15379</v>
      </c>
      <c r="G33" s="13">
        <v>16075</v>
      </c>
      <c r="H33" s="2"/>
      <c r="I33" s="7">
        <f>16075000-696265</f>
        <v>15378735</v>
      </c>
      <c r="J33" s="7">
        <v>0</v>
      </c>
      <c r="K33" s="7">
        <f t="shared" si="1"/>
        <v>15378735</v>
      </c>
      <c r="L33" s="2"/>
      <c r="M33" s="29"/>
      <c r="N33" s="9"/>
      <c r="O33" s="9"/>
      <c r="P33" s="9"/>
      <c r="Q33" s="9"/>
    </row>
    <row r="34" spans="1:17" ht="13.5" customHeight="1" x14ac:dyDescent="0.2">
      <c r="A34" s="8"/>
      <c r="B34" s="275" t="s">
        <v>991</v>
      </c>
      <c r="C34" s="5">
        <f>C35+C38+C39</f>
        <v>44780</v>
      </c>
      <c r="D34" s="5">
        <f>D35+D38+D39</f>
        <v>44780</v>
      </c>
      <c r="E34" s="5">
        <f>E35+E38+E39</f>
        <v>44780</v>
      </c>
      <c r="F34" s="5">
        <f>F35+F38+F39</f>
        <v>45199</v>
      </c>
      <c r="G34" s="5">
        <f>G35+G38+G39</f>
        <v>44780</v>
      </c>
      <c r="H34" s="2"/>
      <c r="I34" s="5">
        <f>I35+I38+I39</f>
        <v>42563985</v>
      </c>
      <c r="J34" s="5">
        <f t="shared" ref="J34:K34" si="6">J35+J38+J39</f>
        <v>2634660</v>
      </c>
      <c r="K34" s="766">
        <f t="shared" si="6"/>
        <v>45198645</v>
      </c>
      <c r="L34" s="2"/>
      <c r="M34" s="29"/>
      <c r="N34" s="9"/>
      <c r="O34" s="9"/>
      <c r="P34" s="9"/>
      <c r="Q34" s="9"/>
    </row>
    <row r="35" spans="1:17" ht="13.5" customHeight="1" x14ac:dyDescent="0.2">
      <c r="A35" s="8"/>
      <c r="B35" s="152" t="s">
        <v>992</v>
      </c>
      <c r="C35" s="13">
        <f>C36+C37</f>
        <v>44780</v>
      </c>
      <c r="D35" s="13">
        <f>D36+D37</f>
        <v>44780</v>
      </c>
      <c r="E35" s="13">
        <f>E36+E37</f>
        <v>44780</v>
      </c>
      <c r="F35" s="13">
        <f>F36+F37</f>
        <v>45199</v>
      </c>
      <c r="G35" s="13">
        <f>G36+G37</f>
        <v>44780</v>
      </c>
      <c r="H35" s="2"/>
      <c r="I35" s="13">
        <f>I36+I37</f>
        <v>42563985</v>
      </c>
      <c r="J35" s="13">
        <f t="shared" ref="J35:K35" si="7">J36+J37</f>
        <v>2634660</v>
      </c>
      <c r="K35" s="13">
        <f t="shared" si="7"/>
        <v>45198645</v>
      </c>
      <c r="L35" s="2"/>
      <c r="M35" s="29"/>
      <c r="N35" s="9"/>
      <c r="O35" s="9"/>
      <c r="P35" s="9"/>
      <c r="Q35" s="9"/>
    </row>
    <row r="36" spans="1:17" ht="13.5" customHeight="1" x14ac:dyDescent="0.2">
      <c r="A36" s="8"/>
      <c r="B36" s="152" t="s">
        <v>993</v>
      </c>
      <c r="C36" s="13">
        <v>27543</v>
      </c>
      <c r="D36" s="13">
        <v>27543</v>
      </c>
      <c r="E36" s="13">
        <v>27543</v>
      </c>
      <c r="F36" s="13">
        <v>27543</v>
      </c>
      <c r="G36" s="13">
        <v>27543</v>
      </c>
      <c r="H36" s="2"/>
      <c r="I36" s="7">
        <v>24908400</v>
      </c>
      <c r="J36" s="7">
        <v>2634660</v>
      </c>
      <c r="K36" s="7">
        <f t="shared" si="1"/>
        <v>27543060</v>
      </c>
      <c r="L36" s="2"/>
      <c r="M36" s="29">
        <v>2634660</v>
      </c>
      <c r="N36" s="9"/>
      <c r="O36" s="9"/>
      <c r="P36" s="9"/>
      <c r="Q36" s="9"/>
    </row>
    <row r="37" spans="1:17" ht="13.5" customHeight="1" x14ac:dyDescent="0.2">
      <c r="A37" s="8"/>
      <c r="B37" s="152" t="s">
        <v>994</v>
      </c>
      <c r="C37" s="13">
        <f>(19871-2634)</f>
        <v>17237</v>
      </c>
      <c r="D37" s="13">
        <f>(19871-2634)</f>
        <v>17237</v>
      </c>
      <c r="E37" s="13">
        <f>(19871-2634)</f>
        <v>17237</v>
      </c>
      <c r="F37" s="13">
        <f>(19871-2634)+419</f>
        <v>17656</v>
      </c>
      <c r="G37" s="13">
        <f>(19871-2634)</f>
        <v>17237</v>
      </c>
      <c r="H37" s="2"/>
      <c r="I37" s="7">
        <f>17236682+418903</f>
        <v>17655585</v>
      </c>
      <c r="J37" s="7">
        <v>0</v>
      </c>
      <c r="K37" s="7">
        <f t="shared" si="1"/>
        <v>17655585</v>
      </c>
      <c r="L37" s="2"/>
      <c r="M37" s="737">
        <v>2634</v>
      </c>
      <c r="N37" s="37"/>
      <c r="O37" s="9"/>
      <c r="P37" s="9"/>
      <c r="Q37" s="9"/>
    </row>
    <row r="38" spans="1:17" ht="13.5" hidden="1" customHeight="1" x14ac:dyDescent="0.2">
      <c r="A38" s="8"/>
      <c r="B38" s="152" t="s">
        <v>995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2"/>
      <c r="I38" s="7"/>
      <c r="J38" s="7"/>
      <c r="K38" s="7">
        <f t="shared" si="1"/>
        <v>0</v>
      </c>
      <c r="L38" s="2"/>
      <c r="M38" s="29"/>
      <c r="N38" s="9"/>
      <c r="O38" s="9"/>
      <c r="P38" s="9"/>
      <c r="Q38" s="9"/>
    </row>
    <row r="39" spans="1:17" ht="13.5" hidden="1" customHeight="1" x14ac:dyDescent="0.2">
      <c r="A39" s="8"/>
      <c r="B39" s="152" t="s">
        <v>1092</v>
      </c>
      <c r="C39" s="13"/>
      <c r="D39" s="13"/>
      <c r="E39" s="13"/>
      <c r="F39" s="13"/>
      <c r="G39" s="13"/>
      <c r="H39" s="2"/>
      <c r="I39" s="7"/>
      <c r="J39" s="7"/>
      <c r="K39" s="7">
        <f t="shared" si="1"/>
        <v>0</v>
      </c>
      <c r="L39" s="2"/>
      <c r="M39" s="29"/>
      <c r="N39" s="9"/>
      <c r="O39" s="9"/>
      <c r="P39" s="9"/>
      <c r="Q39" s="9"/>
    </row>
    <row r="40" spans="1:17" ht="13.5" customHeight="1" x14ac:dyDescent="0.2">
      <c r="A40" s="8" t="s">
        <v>215</v>
      </c>
      <c r="B40" s="14" t="s">
        <v>996</v>
      </c>
      <c r="C40" s="6">
        <f>SUM(C41:C42)</f>
        <v>28196</v>
      </c>
      <c r="D40" s="6">
        <f>SUM(D41:D42)</f>
        <v>28196</v>
      </c>
      <c r="E40" s="6">
        <f>SUM(E41:E42)</f>
        <v>28196</v>
      </c>
      <c r="F40" s="6">
        <f>SUM(F41:F42)</f>
        <v>28196</v>
      </c>
      <c r="G40" s="6">
        <f>SUM(G41:G42)</f>
        <v>28196</v>
      </c>
      <c r="H40" s="2"/>
      <c r="I40" s="6">
        <f>SUM(I41:I42)</f>
        <v>28196124</v>
      </c>
      <c r="J40" s="6">
        <f t="shared" ref="J40:K40" si="8">SUM(J41:J42)</f>
        <v>0</v>
      </c>
      <c r="K40" s="767">
        <f t="shared" si="8"/>
        <v>28196124</v>
      </c>
      <c r="L40" s="2"/>
      <c r="M40" s="29"/>
      <c r="N40" s="9"/>
      <c r="O40" s="9"/>
      <c r="P40" s="9"/>
      <c r="Q40" s="9"/>
    </row>
    <row r="41" spans="1:17" ht="13.5" customHeight="1" x14ac:dyDescent="0.2">
      <c r="A41" s="8"/>
      <c r="B41" s="152" t="s">
        <v>1018</v>
      </c>
      <c r="C41" s="73">
        <v>5196</v>
      </c>
      <c r="D41" s="73">
        <v>5196</v>
      </c>
      <c r="E41" s="73">
        <v>5196</v>
      </c>
      <c r="F41" s="73">
        <v>5196</v>
      </c>
      <c r="G41" s="73">
        <v>5196</v>
      </c>
      <c r="H41" s="7"/>
      <c r="I41" s="7">
        <v>5196124</v>
      </c>
      <c r="J41" s="7">
        <v>0</v>
      </c>
      <c r="K41" s="7">
        <f t="shared" si="1"/>
        <v>5196124</v>
      </c>
      <c r="L41" s="2"/>
      <c r="M41" s="29"/>
      <c r="N41" s="9"/>
      <c r="O41" s="9"/>
      <c r="P41" s="9"/>
      <c r="Q41" s="9"/>
    </row>
    <row r="42" spans="1:17" ht="13.5" customHeight="1" x14ac:dyDescent="0.2">
      <c r="A42" s="8"/>
      <c r="B42" s="152" t="s">
        <v>1093</v>
      </c>
      <c r="C42" s="73">
        <v>23000</v>
      </c>
      <c r="D42" s="73">
        <v>23000</v>
      </c>
      <c r="E42" s="73">
        <v>23000</v>
      </c>
      <c r="F42" s="73">
        <v>23000</v>
      </c>
      <c r="G42" s="73">
        <v>23000</v>
      </c>
      <c r="H42" s="2"/>
      <c r="I42" s="7">
        <v>23000000</v>
      </c>
      <c r="J42" s="7">
        <v>0</v>
      </c>
      <c r="K42" s="7">
        <f t="shared" si="1"/>
        <v>23000000</v>
      </c>
      <c r="L42" s="7"/>
      <c r="M42" s="29"/>
      <c r="N42" s="9"/>
      <c r="O42" s="9"/>
      <c r="P42" s="9"/>
      <c r="Q42" s="9"/>
    </row>
    <row r="43" spans="1:17" ht="16.5" customHeight="1" x14ac:dyDescent="0.2">
      <c r="A43" s="8" t="s">
        <v>216</v>
      </c>
      <c r="B43" s="14" t="s">
        <v>997</v>
      </c>
      <c r="C43" s="5">
        <f>C44+C50+C54</f>
        <v>19685</v>
      </c>
      <c r="D43" s="5">
        <f>D44+D50+D54</f>
        <v>19916</v>
      </c>
      <c r="E43" s="5">
        <f>E44+E50+E54</f>
        <v>43657</v>
      </c>
      <c r="F43" s="5">
        <f>F44+F50+F54</f>
        <v>46191</v>
      </c>
      <c r="G43" s="5">
        <f>G44+G50+G54</f>
        <v>43657</v>
      </c>
      <c r="H43" s="2"/>
      <c r="I43" s="5">
        <f>I44+I50+I54</f>
        <v>46190394</v>
      </c>
      <c r="J43" s="5">
        <f t="shared" ref="J43:K43" si="9">J44+J50+J54</f>
        <v>0</v>
      </c>
      <c r="K43" s="766">
        <f t="shared" si="9"/>
        <v>46190394</v>
      </c>
      <c r="L43" s="2"/>
      <c r="M43" s="29"/>
      <c r="N43" s="9"/>
      <c r="O43" s="9"/>
      <c r="P43" s="9"/>
      <c r="Q43" s="9"/>
    </row>
    <row r="44" spans="1:17" ht="14.25" customHeight="1" x14ac:dyDescent="0.2">
      <c r="A44" s="8"/>
      <c r="B44" s="620" t="s">
        <v>998</v>
      </c>
      <c r="C44" s="5">
        <f>C45+C46+C47+C48+C49</f>
        <v>3610</v>
      </c>
      <c r="D44" s="5">
        <f>D45+D46+D47+D48+D49</f>
        <v>19916</v>
      </c>
      <c r="E44" s="5">
        <f>E45+E46+E47+E48+E49</f>
        <v>41498</v>
      </c>
      <c r="F44" s="5">
        <f>F45+F46+F47+F48+F49</f>
        <v>44032</v>
      </c>
      <c r="G44" s="5">
        <f>G45+G46+G47+G48+G49</f>
        <v>41498</v>
      </c>
      <c r="H44" s="7"/>
      <c r="I44" s="5">
        <f>I45+I46+I47+I48+I49</f>
        <v>44032029</v>
      </c>
      <c r="J44" s="5">
        <f t="shared" ref="J44:K44" si="10">J45+J46+J47+J48+J49</f>
        <v>0</v>
      </c>
      <c r="K44" s="5">
        <f t="shared" si="10"/>
        <v>44032029</v>
      </c>
      <c r="L44" s="2"/>
      <c r="M44" s="29"/>
      <c r="N44" s="9"/>
      <c r="O44" s="9"/>
      <c r="P44" s="9"/>
      <c r="Q44" s="9"/>
    </row>
    <row r="45" spans="1:17" ht="11.25" customHeight="1" x14ac:dyDescent="0.2">
      <c r="A45" s="8"/>
      <c r="B45" s="620" t="s">
        <v>999</v>
      </c>
      <c r="C45" s="13">
        <v>0</v>
      </c>
      <c r="D45" s="13">
        <v>16306</v>
      </c>
      <c r="E45" s="13">
        <v>16306</v>
      </c>
      <c r="F45" s="13">
        <v>16306</v>
      </c>
      <c r="G45" s="13">
        <v>16306</v>
      </c>
      <c r="H45" s="7"/>
      <c r="I45" s="7">
        <v>16306200</v>
      </c>
      <c r="J45" s="7">
        <v>0</v>
      </c>
      <c r="K45" s="7">
        <f t="shared" si="1"/>
        <v>16306200</v>
      </c>
      <c r="L45" s="2"/>
      <c r="M45" s="29"/>
      <c r="N45" s="9"/>
      <c r="O45" s="9"/>
      <c r="P45" s="9"/>
      <c r="Q45" s="9"/>
    </row>
    <row r="46" spans="1:17" ht="11.25" customHeight="1" x14ac:dyDescent="0.2">
      <c r="A46" s="8"/>
      <c r="B46" s="621" t="s">
        <v>1000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7"/>
      <c r="I46" s="7"/>
      <c r="J46" s="7"/>
      <c r="K46" s="7">
        <f t="shared" si="1"/>
        <v>0</v>
      </c>
      <c r="L46" s="2"/>
      <c r="M46" s="29"/>
      <c r="N46" s="9"/>
      <c r="O46" s="9"/>
      <c r="P46" s="9"/>
      <c r="Q46" s="9"/>
    </row>
    <row r="47" spans="1:17" ht="11.25" customHeight="1" x14ac:dyDescent="0.2">
      <c r="A47" s="8"/>
      <c r="B47" s="620" t="s">
        <v>1001</v>
      </c>
      <c r="C47" s="13">
        <v>0</v>
      </c>
      <c r="D47" s="13">
        <v>0</v>
      </c>
      <c r="E47" s="13">
        <v>0</v>
      </c>
      <c r="F47" s="13">
        <v>2534</v>
      </c>
      <c r="G47" s="13">
        <v>0</v>
      </c>
      <c r="H47" s="7"/>
      <c r="I47" s="7">
        <v>2533500</v>
      </c>
      <c r="J47" s="7"/>
      <c r="K47" s="7">
        <f t="shared" si="1"/>
        <v>2533500</v>
      </c>
      <c r="L47" s="2"/>
      <c r="M47" s="29"/>
      <c r="N47" s="9"/>
      <c r="O47" s="9"/>
      <c r="P47" s="9"/>
      <c r="Q47" s="9"/>
    </row>
    <row r="48" spans="1:17" ht="11.25" customHeight="1" x14ac:dyDescent="0.2">
      <c r="A48" s="8"/>
      <c r="B48" s="620" t="s">
        <v>1112</v>
      </c>
      <c r="C48" s="13">
        <v>0</v>
      </c>
      <c r="D48" s="13">
        <v>0</v>
      </c>
      <c r="E48" s="13">
        <v>21582</v>
      </c>
      <c r="F48" s="13">
        <v>21582</v>
      </c>
      <c r="G48" s="13">
        <v>21582</v>
      </c>
      <c r="H48" s="7"/>
      <c r="I48" s="7">
        <f>10791159+10791159</f>
        <v>21582318</v>
      </c>
      <c r="J48" s="7"/>
      <c r="K48" s="7">
        <f t="shared" si="1"/>
        <v>21582318</v>
      </c>
      <c r="L48" s="2"/>
      <c r="M48" s="29"/>
      <c r="N48" s="9"/>
      <c r="O48" s="9"/>
      <c r="P48" s="9"/>
      <c r="Q48" s="9"/>
    </row>
    <row r="49" spans="1:17" x14ac:dyDescent="0.2">
      <c r="A49" s="8"/>
      <c r="B49" s="620" t="s">
        <v>1168</v>
      </c>
      <c r="C49" s="13">
        <v>3610</v>
      </c>
      <c r="D49" s="13">
        <v>3610</v>
      </c>
      <c r="E49" s="13">
        <v>3610</v>
      </c>
      <c r="F49" s="13">
        <v>3610</v>
      </c>
      <c r="G49" s="13">
        <v>3610</v>
      </c>
      <c r="H49" s="7"/>
      <c r="I49" s="7">
        <v>3610011</v>
      </c>
      <c r="J49" s="7">
        <v>0</v>
      </c>
      <c r="K49" s="7">
        <f t="shared" si="1"/>
        <v>3610011</v>
      </c>
      <c r="L49" s="2"/>
      <c r="M49" s="29"/>
      <c r="N49" s="9"/>
      <c r="O49" s="9"/>
      <c r="P49" s="9"/>
      <c r="Q49" s="9"/>
    </row>
    <row r="50" spans="1:17" ht="11.25" customHeight="1" x14ac:dyDescent="0.2">
      <c r="A50" s="8"/>
      <c r="B50" s="620" t="s">
        <v>1007</v>
      </c>
      <c r="C50" s="5">
        <f>C51+C52+C53</f>
        <v>16075</v>
      </c>
      <c r="D50" s="5">
        <f>D51+D52+D53</f>
        <v>0</v>
      </c>
      <c r="E50" s="5">
        <f>E51+E52+E53</f>
        <v>2159</v>
      </c>
      <c r="F50" s="5">
        <f>F51+F52+F53</f>
        <v>2159</v>
      </c>
      <c r="G50" s="5">
        <f>G51+G52+G53</f>
        <v>2159</v>
      </c>
      <c r="H50" s="7"/>
      <c r="I50" s="5">
        <f>I51+I52+I53</f>
        <v>2158365</v>
      </c>
      <c r="J50" s="5">
        <f t="shared" ref="J50:K50" si="11">J51+J52+J53</f>
        <v>0</v>
      </c>
      <c r="K50" s="5">
        <f t="shared" si="11"/>
        <v>2158365</v>
      </c>
      <c r="L50" s="2"/>
      <c r="M50" s="29"/>
      <c r="N50" s="9"/>
      <c r="O50" s="9"/>
      <c r="P50" s="9"/>
      <c r="Q50" s="9"/>
    </row>
    <row r="51" spans="1:17" x14ac:dyDescent="0.2">
      <c r="A51" s="8"/>
      <c r="B51" s="620" t="s">
        <v>1002</v>
      </c>
      <c r="C51" s="13">
        <v>0</v>
      </c>
      <c r="D51" s="13">
        <v>0</v>
      </c>
      <c r="E51" s="13">
        <v>2159</v>
      </c>
      <c r="F51" s="13">
        <v>2159</v>
      </c>
      <c r="G51" s="13">
        <v>2159</v>
      </c>
      <c r="H51" s="2"/>
      <c r="I51" s="7">
        <v>2158365</v>
      </c>
      <c r="J51" s="7"/>
      <c r="K51" s="7">
        <f t="shared" si="1"/>
        <v>2158365</v>
      </c>
      <c r="L51" s="2"/>
      <c r="M51" s="29"/>
      <c r="N51" s="9"/>
      <c r="O51" s="9"/>
      <c r="P51" s="9"/>
      <c r="Q51" s="9"/>
    </row>
    <row r="52" spans="1:17" x14ac:dyDescent="0.2">
      <c r="A52" s="8"/>
      <c r="B52" s="620" t="s">
        <v>1006</v>
      </c>
      <c r="C52" s="13">
        <f>16075</f>
        <v>16075</v>
      </c>
      <c r="D52" s="13">
        <f>16075-16075</f>
        <v>0</v>
      </c>
      <c r="E52" s="13">
        <f>16075-16075</f>
        <v>0</v>
      </c>
      <c r="F52" s="13">
        <f>16075-16075</f>
        <v>0</v>
      </c>
      <c r="G52" s="13">
        <f>16075-16075</f>
        <v>0</v>
      </c>
      <c r="H52" s="2"/>
      <c r="I52" s="7">
        <f>16075000-16075000</f>
        <v>0</v>
      </c>
      <c r="J52" s="7">
        <v>0</v>
      </c>
      <c r="K52" s="7">
        <f t="shared" si="1"/>
        <v>0</v>
      </c>
      <c r="L52" s="7">
        <v>11380</v>
      </c>
      <c r="M52" s="29"/>
      <c r="N52" s="9"/>
      <c r="O52" s="9"/>
      <c r="P52" s="9"/>
      <c r="Q52" s="9"/>
    </row>
    <row r="53" spans="1:17" x14ac:dyDescent="0.2">
      <c r="A53" s="8"/>
      <c r="B53" s="620" t="s">
        <v>1003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2"/>
      <c r="I53" s="7"/>
      <c r="J53" s="7"/>
      <c r="K53" s="7">
        <f t="shared" si="1"/>
        <v>0</v>
      </c>
      <c r="L53" s="2"/>
      <c r="M53" s="29"/>
      <c r="N53" s="9"/>
      <c r="O53" s="9"/>
      <c r="P53" s="9"/>
      <c r="Q53" s="9"/>
    </row>
    <row r="54" spans="1:17" x14ac:dyDescent="0.2">
      <c r="A54" s="8"/>
      <c r="B54" s="620" t="s">
        <v>1008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2"/>
      <c r="I54" s="7"/>
      <c r="J54" s="7"/>
      <c r="K54" s="7">
        <f t="shared" si="1"/>
        <v>0</v>
      </c>
      <c r="L54" s="2"/>
      <c r="M54" s="29"/>
      <c r="N54" s="9"/>
      <c r="O54" s="9"/>
      <c r="P54" s="9"/>
      <c r="Q54" s="9"/>
    </row>
    <row r="55" spans="1:17" hidden="1" x14ac:dyDescent="0.2">
      <c r="A55" s="8"/>
      <c r="B55" s="620" t="s">
        <v>1039</v>
      </c>
      <c r="C55" s="13"/>
      <c r="D55" s="13"/>
      <c r="E55" s="13"/>
      <c r="F55" s="13"/>
      <c r="G55" s="13"/>
      <c r="H55" s="7"/>
      <c r="I55" s="7"/>
      <c r="J55" s="7"/>
      <c r="K55" s="7">
        <f t="shared" si="1"/>
        <v>0</v>
      </c>
      <c r="L55" s="2"/>
      <c r="M55" s="29"/>
      <c r="N55" s="9"/>
      <c r="O55" s="9"/>
      <c r="P55" s="9"/>
      <c r="Q55" s="9"/>
    </row>
    <row r="56" spans="1:17" ht="13.5" customHeight="1" x14ac:dyDescent="0.2">
      <c r="A56" s="8" t="s">
        <v>217</v>
      </c>
      <c r="B56" s="14" t="s">
        <v>1436</v>
      </c>
      <c r="C56" s="5">
        <v>2034</v>
      </c>
      <c r="D56" s="5">
        <v>2034</v>
      </c>
      <c r="E56" s="5">
        <f>2034-2034</f>
        <v>0</v>
      </c>
      <c r="F56" s="5">
        <f>2034-2034+10989</f>
        <v>10989</v>
      </c>
      <c r="G56" s="5">
        <f>2034-2034</f>
        <v>0</v>
      </c>
      <c r="H56" s="2"/>
      <c r="I56" s="5">
        <f>2033770-2033770+10989224</f>
        <v>10989224</v>
      </c>
      <c r="J56" s="5">
        <v>0</v>
      </c>
      <c r="K56" s="766">
        <f>I56+J56</f>
        <v>10989224</v>
      </c>
      <c r="L56" s="2"/>
      <c r="M56" s="29"/>
      <c r="N56" s="37">
        <f>K11+K23+K24+K34+K40+K43+K56</f>
        <v>528534397</v>
      </c>
      <c r="O56" s="9"/>
      <c r="P56" s="9"/>
      <c r="Q56" s="9"/>
    </row>
    <row r="57" spans="1:17" ht="15" x14ac:dyDescent="0.25">
      <c r="A57" s="8" t="s">
        <v>172</v>
      </c>
      <c r="B57" s="14" t="s">
        <v>1004</v>
      </c>
      <c r="C57" s="38">
        <f>SUM(C58:C68)</f>
        <v>89551</v>
      </c>
      <c r="D57" s="38">
        <f>SUM(D58:D68)</f>
        <v>70151</v>
      </c>
      <c r="E57" s="38">
        <f>SUM(E58:E68)</f>
        <v>77685</v>
      </c>
      <c r="F57" s="38">
        <f>SUM(F58:F68)</f>
        <v>78313</v>
      </c>
      <c r="G57" s="38">
        <f>SUM(G58:G68)</f>
        <v>77685</v>
      </c>
      <c r="H57" s="2"/>
      <c r="I57" s="38">
        <f>SUM(I58:I68)</f>
        <v>78312603</v>
      </c>
      <c r="J57" s="38">
        <f t="shared" ref="J57:K57" si="12">SUM(J58:J68)</f>
        <v>0</v>
      </c>
      <c r="K57" s="38">
        <f t="shared" si="12"/>
        <v>78312603</v>
      </c>
      <c r="L57" s="2"/>
      <c r="M57" s="29"/>
      <c r="N57" s="37">
        <f>D9*1000</f>
        <v>558658000</v>
      </c>
      <c r="O57" s="9"/>
      <c r="P57" s="9"/>
      <c r="Q57" s="9"/>
    </row>
    <row r="58" spans="1:17" x14ac:dyDescent="0.2">
      <c r="A58" s="8" t="s">
        <v>127</v>
      </c>
      <c r="B58" s="8" t="s">
        <v>1253</v>
      </c>
      <c r="C58" s="79">
        <v>7950</v>
      </c>
      <c r="D58" s="79">
        <f>7950+600</f>
        <v>8550</v>
      </c>
      <c r="E58" s="79">
        <f>7950+600</f>
        <v>8550</v>
      </c>
      <c r="F58" s="79">
        <f>7950+600+22</f>
        <v>8572</v>
      </c>
      <c r="G58" s="79">
        <f>7950+600</f>
        <v>8550</v>
      </c>
      <c r="H58" s="7"/>
      <c r="I58" s="7">
        <f>7950000+600000+21860</f>
        <v>8571860</v>
      </c>
      <c r="J58" s="7"/>
      <c r="K58" s="7">
        <f t="shared" si="1"/>
        <v>8571860</v>
      </c>
      <c r="L58" s="2"/>
      <c r="M58" s="29"/>
      <c r="N58" s="37">
        <f>N57-N56</f>
        <v>30123603</v>
      </c>
      <c r="O58" s="9"/>
      <c r="P58" s="9"/>
      <c r="Q58" s="9"/>
    </row>
    <row r="59" spans="1:17" x14ac:dyDescent="0.2">
      <c r="A59" s="8" t="s">
        <v>127</v>
      </c>
      <c r="B59" s="8" t="s">
        <v>1169</v>
      </c>
      <c r="C59" s="79">
        <f>(41286+4470+50)</f>
        <v>45806</v>
      </c>
      <c r="D59" s="79">
        <f>(41286+4470+50)</f>
        <v>45806</v>
      </c>
      <c r="E59" s="79">
        <f>(41286+4470+50)+185</f>
        <v>45991</v>
      </c>
      <c r="F59" s="79">
        <f>(41286+4470+50)+185</f>
        <v>45991</v>
      </c>
      <c r="G59" s="79">
        <f>(41286+4470+50)+185</f>
        <v>45991</v>
      </c>
      <c r="H59" s="2"/>
      <c r="I59" s="7">
        <f>45806000+185000</f>
        <v>45991000</v>
      </c>
      <c r="J59" s="7"/>
      <c r="K59" s="7">
        <f t="shared" si="1"/>
        <v>45991000</v>
      </c>
      <c r="L59" s="2"/>
      <c r="M59" s="29">
        <f>((2500*4)+4000+3286+13500)+10500</f>
        <v>41286</v>
      </c>
      <c r="N59" s="9"/>
      <c r="O59" s="9"/>
      <c r="P59" s="9"/>
      <c r="Q59" s="9"/>
    </row>
    <row r="60" spans="1:17" x14ac:dyDescent="0.2">
      <c r="A60" s="8" t="s">
        <v>127</v>
      </c>
      <c r="B60" s="8" t="s">
        <v>1017</v>
      </c>
      <c r="C60" s="79">
        <v>5000</v>
      </c>
      <c r="D60" s="79">
        <v>4000</v>
      </c>
      <c r="E60" s="79">
        <v>4000</v>
      </c>
      <c r="F60" s="79">
        <v>4000</v>
      </c>
      <c r="G60" s="79">
        <v>4000</v>
      </c>
      <c r="H60" s="2"/>
      <c r="I60" s="7">
        <v>4000000</v>
      </c>
      <c r="J60" s="7"/>
      <c r="K60" s="7">
        <f t="shared" si="1"/>
        <v>4000000</v>
      </c>
      <c r="L60" s="2"/>
      <c r="M60" s="29"/>
      <c r="N60" s="37">
        <f>K59+K60+K62</f>
        <v>55737000</v>
      </c>
      <c r="O60" s="9"/>
      <c r="P60" s="9"/>
      <c r="Q60" s="9"/>
    </row>
    <row r="61" spans="1:17" x14ac:dyDescent="0.2">
      <c r="A61" s="8" t="s">
        <v>127</v>
      </c>
      <c r="B61" s="8" t="s">
        <v>1156</v>
      </c>
      <c r="C61" s="79">
        <v>20000</v>
      </c>
      <c r="D61" s="79">
        <f>20000-20000</f>
        <v>0</v>
      </c>
      <c r="E61" s="79">
        <f>20000-20000</f>
        <v>0</v>
      </c>
      <c r="F61" s="79">
        <f>20000-20000</f>
        <v>0</v>
      </c>
      <c r="G61" s="79">
        <f>20000-20000</f>
        <v>0</v>
      </c>
      <c r="H61" s="2"/>
      <c r="I61" s="7">
        <f>20000000-20000000</f>
        <v>0</v>
      </c>
      <c r="J61" s="7"/>
      <c r="K61" s="7">
        <f t="shared" si="1"/>
        <v>0</v>
      </c>
      <c r="L61" s="2"/>
      <c r="M61" s="29"/>
      <c r="N61" s="37">
        <f>N58-N60</f>
        <v>-25613397</v>
      </c>
      <c r="O61" s="9"/>
      <c r="P61" s="9"/>
      <c r="Q61" s="9"/>
    </row>
    <row r="62" spans="1:17" x14ac:dyDescent="0.2">
      <c r="A62" s="8" t="s">
        <v>127</v>
      </c>
      <c r="B62" s="8" t="s">
        <v>1405</v>
      </c>
      <c r="C62" s="79">
        <v>8000</v>
      </c>
      <c r="D62" s="79">
        <v>8000</v>
      </c>
      <c r="E62" s="79">
        <f>8000-920</f>
        <v>7080</v>
      </c>
      <c r="F62" s="79">
        <f>8000-920-1240-94</f>
        <v>5746</v>
      </c>
      <c r="G62" s="79">
        <f>8000-920</f>
        <v>7080</v>
      </c>
      <c r="H62" s="2"/>
      <c r="I62" s="7">
        <f>8000000-920000-1240000-94000</f>
        <v>5746000</v>
      </c>
      <c r="J62" s="7"/>
      <c r="K62" s="7">
        <f t="shared" si="1"/>
        <v>5746000</v>
      </c>
      <c r="L62" s="2"/>
      <c r="M62" s="29"/>
      <c r="N62" s="9"/>
      <c r="O62" s="9"/>
      <c r="P62" s="9"/>
      <c r="Q62" s="9"/>
    </row>
    <row r="63" spans="1:17" x14ac:dyDescent="0.2">
      <c r="A63" s="8" t="s">
        <v>127</v>
      </c>
      <c r="B63" s="8" t="s">
        <v>1005</v>
      </c>
      <c r="C63" s="79">
        <v>0</v>
      </c>
      <c r="D63" s="79">
        <v>0</v>
      </c>
      <c r="E63" s="79">
        <v>0</v>
      </c>
      <c r="F63" s="79">
        <v>0</v>
      </c>
      <c r="G63" s="79">
        <v>0</v>
      </c>
      <c r="H63" s="2"/>
      <c r="I63" s="7">
        <v>0</v>
      </c>
      <c r="J63" s="7"/>
      <c r="K63" s="7">
        <f t="shared" si="1"/>
        <v>0</v>
      </c>
      <c r="L63" s="2"/>
      <c r="M63" s="29"/>
      <c r="N63" s="9"/>
      <c r="O63" s="9"/>
      <c r="P63" s="9"/>
      <c r="Q63" s="9"/>
    </row>
    <row r="64" spans="1:17" x14ac:dyDescent="0.2">
      <c r="A64" s="8" t="s">
        <v>127</v>
      </c>
      <c r="B64" s="8" t="s">
        <v>1368</v>
      </c>
      <c r="C64" s="79">
        <v>0</v>
      </c>
      <c r="D64" s="79">
        <v>0</v>
      </c>
      <c r="E64" s="79">
        <v>6235</v>
      </c>
      <c r="F64" s="79">
        <f>6235+1240</f>
        <v>7475</v>
      </c>
      <c r="G64" s="79">
        <v>6235</v>
      </c>
      <c r="H64" s="2"/>
      <c r="I64" s="7">
        <f>6234567+433+1240000</f>
        <v>7475000</v>
      </c>
      <c r="J64" s="7"/>
      <c r="K64" s="7">
        <f t="shared" si="1"/>
        <v>7475000</v>
      </c>
      <c r="L64" s="2"/>
      <c r="M64" s="29"/>
      <c r="N64" s="9"/>
      <c r="O64" s="9"/>
      <c r="P64" s="9"/>
      <c r="Q64" s="9"/>
    </row>
    <row r="65" spans="1:17" x14ac:dyDescent="0.2">
      <c r="A65" s="8" t="s">
        <v>127</v>
      </c>
      <c r="B65" s="8" t="s">
        <v>1404</v>
      </c>
      <c r="C65" s="79">
        <v>0</v>
      </c>
      <c r="D65" s="79">
        <v>0</v>
      </c>
      <c r="E65" s="79">
        <v>0</v>
      </c>
      <c r="F65" s="79">
        <f>94+102</f>
        <v>196</v>
      </c>
      <c r="G65" s="79"/>
      <c r="H65" s="2"/>
      <c r="I65" s="7">
        <f>94000+102000</f>
        <v>196000</v>
      </c>
      <c r="J65" s="7"/>
      <c r="K65" s="7">
        <f t="shared" si="1"/>
        <v>196000</v>
      </c>
      <c r="L65" s="2"/>
      <c r="M65" s="29"/>
      <c r="N65" s="9"/>
      <c r="O65" s="9"/>
      <c r="P65" s="9"/>
      <c r="Q65" s="9"/>
    </row>
    <row r="66" spans="1:17" x14ac:dyDescent="0.2">
      <c r="A66" s="8" t="s">
        <v>127</v>
      </c>
      <c r="B66" s="8" t="s">
        <v>1188</v>
      </c>
      <c r="C66" s="79">
        <v>705</v>
      </c>
      <c r="D66" s="79">
        <v>705</v>
      </c>
      <c r="E66" s="79">
        <v>705</v>
      </c>
      <c r="F66" s="79">
        <v>705</v>
      </c>
      <c r="G66" s="79">
        <v>705</v>
      </c>
      <c r="H66" s="2"/>
      <c r="I66" s="7">
        <v>705120</v>
      </c>
      <c r="J66" s="7">
        <v>0</v>
      </c>
      <c r="K66" s="7">
        <f t="shared" si="1"/>
        <v>705120</v>
      </c>
      <c r="L66" s="2"/>
      <c r="M66" s="29"/>
      <c r="N66" s="9"/>
      <c r="O66" s="9"/>
      <c r="P66" s="9"/>
      <c r="Q66" s="9"/>
    </row>
    <row r="67" spans="1:17" x14ac:dyDescent="0.2">
      <c r="A67" s="8" t="s">
        <v>127</v>
      </c>
      <c r="B67" s="8" t="s">
        <v>1154</v>
      </c>
      <c r="C67" s="39">
        <v>2090</v>
      </c>
      <c r="D67" s="39">
        <v>2090</v>
      </c>
      <c r="E67" s="39">
        <v>2090</v>
      </c>
      <c r="F67" s="39">
        <v>2090</v>
      </c>
      <c r="G67" s="39">
        <v>2090</v>
      </c>
      <c r="H67" s="165"/>
      <c r="I67" s="7">
        <f>1458450+631800</f>
        <v>2090250</v>
      </c>
      <c r="J67" s="7"/>
      <c r="K67" s="7">
        <f t="shared" si="1"/>
        <v>2090250</v>
      </c>
      <c r="L67" s="2"/>
      <c r="M67" s="29"/>
      <c r="N67" s="9"/>
      <c r="O67" s="9"/>
      <c r="P67" s="9"/>
      <c r="Q67" s="9"/>
    </row>
    <row r="68" spans="1:17" x14ac:dyDescent="0.2">
      <c r="A68" s="8" t="s">
        <v>127</v>
      </c>
      <c r="B68" s="8" t="s">
        <v>1254</v>
      </c>
      <c r="C68" s="39">
        <v>0</v>
      </c>
      <c r="D68" s="39">
        <v>1000</v>
      </c>
      <c r="E68" s="39">
        <f>1000+2034</f>
        <v>3034</v>
      </c>
      <c r="F68" s="39">
        <f>1000+2034+504</f>
        <v>3538</v>
      </c>
      <c r="G68" s="39">
        <f>1000+2034</f>
        <v>3034</v>
      </c>
      <c r="H68" s="165"/>
      <c r="I68" s="777">
        <f>1000000+2033770+503430+173</f>
        <v>3537373</v>
      </c>
      <c r="J68" s="7"/>
      <c r="K68" s="7">
        <f t="shared" si="1"/>
        <v>3537373</v>
      </c>
      <c r="L68" s="2"/>
      <c r="M68" s="29"/>
      <c r="N68" s="9"/>
      <c r="O68" s="9"/>
      <c r="P68" s="9"/>
      <c r="Q68" s="9"/>
    </row>
    <row r="69" spans="1:17" ht="18" customHeight="1" x14ac:dyDescent="0.25">
      <c r="A69" s="14" t="s">
        <v>142</v>
      </c>
      <c r="B69" s="23" t="s">
        <v>230</v>
      </c>
      <c r="C69" s="160">
        <f>SUM(C73+C77+C81)</f>
        <v>373000</v>
      </c>
      <c r="D69" s="160">
        <f>SUM(D73+D77+D81)</f>
        <v>373000</v>
      </c>
      <c r="E69" s="160">
        <f>SUM(E73+E77+E81)</f>
        <v>394000</v>
      </c>
      <c r="F69" s="160">
        <f>SUM(F73+F77+F81)</f>
        <v>397800</v>
      </c>
      <c r="G69" s="160">
        <f>SUM(G73+G77+G81)</f>
        <v>394000</v>
      </c>
      <c r="H69" s="632"/>
      <c r="I69" s="165"/>
      <c r="J69" s="165"/>
      <c r="K69" s="165"/>
      <c r="L69" s="2"/>
      <c r="M69" s="29"/>
      <c r="N69" s="9"/>
      <c r="O69" s="9"/>
      <c r="P69" s="9"/>
      <c r="Q69" s="9"/>
    </row>
    <row r="70" spans="1:17" ht="13.5" hidden="1" customHeight="1" x14ac:dyDescent="0.2">
      <c r="A70" s="8" t="s">
        <v>143</v>
      </c>
      <c r="B70" s="8" t="s">
        <v>149</v>
      </c>
      <c r="C70" s="11"/>
      <c r="D70" s="11"/>
      <c r="E70" s="11"/>
      <c r="F70" s="11"/>
      <c r="G70" s="11"/>
      <c r="H70" s="632"/>
      <c r="I70" s="165"/>
      <c r="J70" s="165"/>
      <c r="K70" s="165"/>
      <c r="L70" s="2"/>
      <c r="M70" s="29"/>
      <c r="N70" s="9"/>
      <c r="O70" s="9"/>
      <c r="P70" s="9"/>
      <c r="Q70" s="9"/>
    </row>
    <row r="71" spans="1:17" ht="13.5" hidden="1" customHeight="1" x14ac:dyDescent="0.2">
      <c r="A71" s="8" t="s">
        <v>144</v>
      </c>
      <c r="B71" s="8" t="s">
        <v>150</v>
      </c>
      <c r="C71" s="11"/>
      <c r="D71" s="11"/>
      <c r="E71" s="11"/>
      <c r="F71" s="11"/>
      <c r="G71" s="11"/>
      <c r="H71" s="632"/>
      <c r="I71" s="165"/>
      <c r="J71" s="165"/>
      <c r="K71" s="165"/>
      <c r="L71" s="2"/>
      <c r="M71" s="29"/>
      <c r="N71" s="9"/>
      <c r="O71" s="9"/>
      <c r="P71" s="9"/>
      <c r="Q71" s="9"/>
    </row>
    <row r="72" spans="1:17" ht="13.5" hidden="1" customHeight="1" x14ac:dyDescent="0.2">
      <c r="A72" s="8" t="s">
        <v>145</v>
      </c>
      <c r="B72" s="20" t="s">
        <v>151</v>
      </c>
      <c r="C72" s="11"/>
      <c r="D72" s="11"/>
      <c r="E72" s="11"/>
      <c r="F72" s="11"/>
      <c r="G72" s="11"/>
      <c r="H72" s="632"/>
      <c r="I72" s="165"/>
      <c r="J72" s="165"/>
      <c r="K72" s="165"/>
      <c r="L72" s="2"/>
      <c r="M72" s="29"/>
      <c r="N72" s="9"/>
      <c r="O72" s="9"/>
      <c r="P72" s="9"/>
      <c r="Q72" s="9"/>
    </row>
    <row r="73" spans="1:17" ht="13.5" customHeight="1" x14ac:dyDescent="0.2">
      <c r="A73" s="8" t="s">
        <v>146</v>
      </c>
      <c r="B73" s="8" t="s">
        <v>465</v>
      </c>
      <c r="C73" s="159">
        <f>SUM(C74:C76)</f>
        <v>260500</v>
      </c>
      <c r="D73" s="159">
        <f>SUM(D74:D76)</f>
        <v>260500</v>
      </c>
      <c r="E73" s="159">
        <f>SUM(E74:E76)</f>
        <v>260500</v>
      </c>
      <c r="F73" s="159">
        <f>SUM(F74:F76)</f>
        <v>261000</v>
      </c>
      <c r="G73" s="159">
        <f>SUM(G74:G76)</f>
        <v>260500</v>
      </c>
      <c r="H73" s="165"/>
      <c r="I73" s="165">
        <f>I59+I60+I62+I64+I65</f>
        <v>63408000</v>
      </c>
      <c r="J73" s="165"/>
      <c r="K73" s="165"/>
      <c r="L73" s="2"/>
      <c r="M73" s="29"/>
      <c r="N73" s="9"/>
      <c r="O73" s="9"/>
      <c r="P73" s="9"/>
      <c r="Q73" s="9"/>
    </row>
    <row r="74" spans="1:17" ht="13.5" customHeight="1" x14ac:dyDescent="0.2">
      <c r="A74" s="8"/>
      <c r="B74" s="152" t="s">
        <v>466</v>
      </c>
      <c r="C74" s="39">
        <v>240000</v>
      </c>
      <c r="D74" s="39">
        <v>240000</v>
      </c>
      <c r="E74" s="39">
        <v>240000</v>
      </c>
      <c r="F74" s="39">
        <v>240000</v>
      </c>
      <c r="G74" s="39">
        <v>240000</v>
      </c>
      <c r="H74" s="7"/>
      <c r="I74" s="165">
        <f>I58+I66+I67+I68</f>
        <v>14904603</v>
      </c>
      <c r="J74" s="7"/>
      <c r="K74" s="7"/>
      <c r="L74" s="2"/>
      <c r="M74" s="29"/>
      <c r="N74" s="37">
        <f>SUM(C74+C75+C76+C78+C80)</f>
        <v>370500</v>
      </c>
      <c r="O74" s="9"/>
      <c r="P74" s="9"/>
      <c r="Q74" s="9"/>
    </row>
    <row r="75" spans="1:17" ht="13.5" customHeight="1" x14ac:dyDescent="0.2">
      <c r="A75" s="8"/>
      <c r="B75" s="152" t="s">
        <v>801</v>
      </c>
      <c r="C75" s="39">
        <v>9500</v>
      </c>
      <c r="D75" s="39">
        <v>9500</v>
      </c>
      <c r="E75" s="39">
        <v>9500</v>
      </c>
      <c r="F75" s="39">
        <v>9500</v>
      </c>
      <c r="G75" s="39">
        <v>9500</v>
      </c>
      <c r="H75" s="7"/>
      <c r="I75" s="7"/>
      <c r="J75" s="7"/>
      <c r="K75" s="7"/>
      <c r="L75" s="2"/>
      <c r="M75" s="29"/>
      <c r="N75" s="9"/>
      <c r="O75" s="9"/>
      <c r="P75" s="9"/>
      <c r="Q75" s="9"/>
    </row>
    <row r="76" spans="1:17" ht="13.5" customHeight="1" x14ac:dyDescent="0.2">
      <c r="A76" s="8"/>
      <c r="B76" s="152" t="s">
        <v>802</v>
      </c>
      <c r="C76" s="39">
        <v>11000</v>
      </c>
      <c r="D76" s="39">
        <v>11000</v>
      </c>
      <c r="E76" s="39">
        <v>11000</v>
      </c>
      <c r="F76" s="39">
        <f>11000+500</f>
        <v>11500</v>
      </c>
      <c r="G76" s="39">
        <v>11000</v>
      </c>
      <c r="H76" s="7"/>
      <c r="I76" s="7"/>
      <c r="J76" s="7"/>
      <c r="K76" s="7"/>
      <c r="L76" s="2"/>
      <c r="M76" s="29"/>
      <c r="N76" s="9"/>
      <c r="O76" s="9"/>
      <c r="P76" s="9"/>
      <c r="Q76" s="9"/>
    </row>
    <row r="77" spans="1:17" s="50" customFormat="1" ht="13.5" customHeight="1" x14ac:dyDescent="0.2">
      <c r="A77" s="8" t="s">
        <v>147</v>
      </c>
      <c r="B77" s="8" t="s">
        <v>231</v>
      </c>
      <c r="C77" s="6">
        <f>SUM(C78:C80)</f>
        <v>110000</v>
      </c>
      <c r="D77" s="6">
        <f>SUM(D78:D80)</f>
        <v>110000</v>
      </c>
      <c r="E77" s="6">
        <f>SUM(E78:E80)</f>
        <v>130000</v>
      </c>
      <c r="F77" s="6">
        <f>SUM(F78:F80)</f>
        <v>132500</v>
      </c>
      <c r="G77" s="6">
        <f>SUM(G78:G80)</f>
        <v>130000</v>
      </c>
      <c r="H77" s="7"/>
      <c r="I77" s="7"/>
      <c r="J77" s="7"/>
      <c r="K77" s="7"/>
      <c r="L77" s="2"/>
      <c r="M77" s="29"/>
      <c r="N77" s="9"/>
      <c r="O77" s="9"/>
      <c r="P77" s="9"/>
      <c r="Q77" s="9"/>
    </row>
    <row r="78" spans="1:17" s="50" customFormat="1" ht="13.5" customHeight="1" x14ac:dyDescent="0.2">
      <c r="A78" s="8"/>
      <c r="B78" s="152" t="s">
        <v>232</v>
      </c>
      <c r="C78" s="11">
        <v>65000</v>
      </c>
      <c r="D78" s="11">
        <v>65000</v>
      </c>
      <c r="E78" s="11">
        <f>65000+10000</f>
        <v>75000</v>
      </c>
      <c r="F78" s="11">
        <f>65000+10000+2500</f>
        <v>77500</v>
      </c>
      <c r="G78" s="11">
        <f>65000+10000</f>
        <v>75000</v>
      </c>
      <c r="H78" s="637"/>
      <c r="I78" s="637"/>
      <c r="J78" s="637"/>
      <c r="K78" s="637"/>
      <c r="L78" s="2"/>
      <c r="M78" s="29"/>
      <c r="N78" s="9"/>
      <c r="O78" s="9"/>
      <c r="P78" s="9"/>
      <c r="Q78" s="9"/>
    </row>
    <row r="79" spans="1:17" s="50" customFormat="1" ht="13.5" hidden="1" customHeight="1" x14ac:dyDescent="0.2">
      <c r="A79" s="8"/>
      <c r="B79" s="152" t="s">
        <v>467</v>
      </c>
      <c r="C79" s="11"/>
      <c r="D79" s="11"/>
      <c r="E79" s="11"/>
      <c r="F79" s="11"/>
      <c r="G79" s="11"/>
      <c r="H79" s="7"/>
      <c r="I79" s="7"/>
      <c r="J79" s="7"/>
      <c r="K79" s="7"/>
      <c r="L79" s="2"/>
      <c r="M79" s="29"/>
      <c r="N79" s="9"/>
      <c r="O79" s="9"/>
      <c r="P79" s="9"/>
      <c r="Q79" s="9"/>
    </row>
    <row r="80" spans="1:17" s="50" customFormat="1" ht="13.5" customHeight="1" x14ac:dyDescent="0.2">
      <c r="A80" s="8"/>
      <c r="B80" s="152" t="s">
        <v>1040</v>
      </c>
      <c r="C80" s="11">
        <v>45000</v>
      </c>
      <c r="D80" s="11">
        <v>45000</v>
      </c>
      <c r="E80" s="11">
        <f>45000+10000</f>
        <v>55000</v>
      </c>
      <c r="F80" s="11">
        <f>45000+10000</f>
        <v>55000</v>
      </c>
      <c r="G80" s="11">
        <f>45000+10000</f>
        <v>55000</v>
      </c>
      <c r="H80" s="602"/>
      <c r="I80" s="602"/>
      <c r="J80" s="602"/>
      <c r="K80" s="602"/>
      <c r="L80" s="2"/>
      <c r="M80" s="29"/>
      <c r="N80" s="9"/>
      <c r="O80" s="9"/>
      <c r="P80" s="9"/>
      <c r="Q80" s="9"/>
    </row>
    <row r="81" spans="1:17" s="50" customFormat="1" ht="13.5" customHeight="1" x14ac:dyDescent="0.2">
      <c r="A81" s="8" t="s">
        <v>148</v>
      </c>
      <c r="B81" s="8" t="s">
        <v>336</v>
      </c>
      <c r="C81" s="6">
        <v>2500</v>
      </c>
      <c r="D81" s="6">
        <v>2500</v>
      </c>
      <c r="E81" s="6">
        <f>(1520+1000)+980</f>
        <v>3500</v>
      </c>
      <c r="F81" s="6">
        <f>(1520+1000+800)+980</f>
        <v>4300</v>
      </c>
      <c r="G81" s="6">
        <f>(1520+1000)+980</f>
        <v>3500</v>
      </c>
      <c r="H81" s="7"/>
      <c r="I81" s="7"/>
      <c r="J81" s="7"/>
      <c r="K81" s="7"/>
      <c r="L81" s="2"/>
      <c r="M81" s="29"/>
      <c r="N81" s="9"/>
      <c r="O81" s="9"/>
      <c r="P81" s="9"/>
      <c r="Q81" s="9"/>
    </row>
    <row r="82" spans="1:17" s="50" customFormat="1" ht="18" customHeight="1" x14ac:dyDescent="0.25">
      <c r="A82" s="14" t="s">
        <v>153</v>
      </c>
      <c r="B82" s="23" t="s">
        <v>233</v>
      </c>
      <c r="C82" s="43">
        <f>SUM(C83:C93)</f>
        <v>51770</v>
      </c>
      <c r="D82" s="43">
        <f>SUM(D83:D93)</f>
        <v>113122</v>
      </c>
      <c r="E82" s="43">
        <f>SUM(E83:E93)</f>
        <v>134118</v>
      </c>
      <c r="F82" s="43">
        <f>SUM(F83:F93)</f>
        <v>151539</v>
      </c>
      <c r="G82" s="43">
        <f>SUM(G83:G93)</f>
        <v>134118</v>
      </c>
      <c r="H82" s="7"/>
      <c r="I82" s="7"/>
      <c r="J82" s="7"/>
      <c r="K82" s="7"/>
      <c r="L82" s="2"/>
      <c r="M82" s="29"/>
      <c r="N82" s="9"/>
      <c r="O82" s="9"/>
      <c r="P82" s="9"/>
      <c r="Q82" s="9"/>
    </row>
    <row r="83" spans="1:17" x14ac:dyDescent="0.2">
      <c r="A83" s="8" t="s">
        <v>156</v>
      </c>
      <c r="B83" s="8" t="s">
        <v>234</v>
      </c>
      <c r="C83" s="13">
        <v>0</v>
      </c>
      <c r="D83" s="13">
        <v>0</v>
      </c>
      <c r="E83" s="13">
        <v>0</v>
      </c>
      <c r="F83" s="13">
        <v>310</v>
      </c>
      <c r="G83" s="13">
        <v>0</v>
      </c>
      <c r="H83" s="7">
        <f>F83-E83</f>
        <v>310</v>
      </c>
      <c r="I83" s="7"/>
      <c r="J83" s="7"/>
      <c r="K83" s="7"/>
      <c r="L83" s="2"/>
      <c r="M83" s="29"/>
      <c r="N83" s="9"/>
      <c r="O83" s="9"/>
      <c r="P83" s="9"/>
      <c r="Q83" s="9"/>
    </row>
    <row r="84" spans="1:17" s="50" customFormat="1" x14ac:dyDescent="0.2">
      <c r="A84" s="8" t="s">
        <v>157</v>
      </c>
      <c r="B84" s="8" t="s">
        <v>235</v>
      </c>
      <c r="C84" s="13">
        <v>0</v>
      </c>
      <c r="D84" s="13">
        <v>0</v>
      </c>
      <c r="E84" s="13">
        <f>148</f>
        <v>148</v>
      </c>
      <c r="F84" s="13">
        <f>148</f>
        <v>148</v>
      </c>
      <c r="G84" s="13">
        <f>148</f>
        <v>148</v>
      </c>
      <c r="H84" s="7">
        <f t="shared" ref="H84:H99" si="13">F84-E84</f>
        <v>0</v>
      </c>
      <c r="I84" s="7"/>
      <c r="J84" s="7"/>
      <c r="K84" s="7"/>
      <c r="L84" s="2"/>
      <c r="M84" s="29"/>
      <c r="N84" s="9"/>
      <c r="O84" s="9"/>
      <c r="P84" s="9"/>
      <c r="Q84" s="9"/>
    </row>
    <row r="85" spans="1:17" s="50" customFormat="1" ht="13.5" customHeight="1" x14ac:dyDescent="0.2">
      <c r="A85" s="8" t="s">
        <v>158</v>
      </c>
      <c r="B85" s="8" t="s">
        <v>236</v>
      </c>
      <c r="C85" s="13">
        <v>1500</v>
      </c>
      <c r="D85" s="13">
        <f>1500+520+1942</f>
        <v>3962</v>
      </c>
      <c r="E85" s="13">
        <f>(1500+520+1942)+6110+1326</f>
        <v>11398</v>
      </c>
      <c r="F85" s="13">
        <f>(1500+520+1942)+6110+1326+1652</f>
        <v>13050</v>
      </c>
      <c r="G85" s="13">
        <f>(1500+520+1942)+6110+1326</f>
        <v>11398</v>
      </c>
      <c r="H85" s="7">
        <f t="shared" si="13"/>
        <v>1652</v>
      </c>
      <c r="I85" s="7"/>
      <c r="J85" s="7"/>
      <c r="K85" s="7"/>
      <c r="L85" s="2"/>
      <c r="M85" s="29"/>
      <c r="N85" s="9"/>
      <c r="O85" s="9"/>
      <c r="P85" s="9"/>
      <c r="Q85" s="9"/>
    </row>
    <row r="86" spans="1:17" ht="13.5" customHeight="1" x14ac:dyDescent="0.2">
      <c r="A86" s="8" t="s">
        <v>159</v>
      </c>
      <c r="B86" s="20" t="s">
        <v>237</v>
      </c>
      <c r="C86" s="13">
        <f>(23000+3240)</f>
        <v>26240</v>
      </c>
      <c r="D86" s="13">
        <f>(23000+3240)+3000</f>
        <v>29240</v>
      </c>
      <c r="E86" s="13">
        <f>(23000+3240)+3000+9760</f>
        <v>39000</v>
      </c>
      <c r="F86" s="13">
        <f>(23000+3240)+3000+9760</f>
        <v>39000</v>
      </c>
      <c r="G86" s="13">
        <f>(23000+3240)+3000+9760</f>
        <v>39000</v>
      </c>
      <c r="H86" s="7">
        <f t="shared" si="13"/>
        <v>0</v>
      </c>
      <c r="I86" s="7"/>
      <c r="J86" s="7"/>
      <c r="K86" s="7"/>
      <c r="L86" s="2"/>
      <c r="M86" s="29"/>
      <c r="N86" s="9"/>
      <c r="O86" s="9"/>
      <c r="P86" s="9"/>
      <c r="Q86" s="9"/>
    </row>
    <row r="87" spans="1:17" ht="13.5" customHeight="1" x14ac:dyDescent="0.2">
      <c r="A87" s="8" t="s">
        <v>160</v>
      </c>
      <c r="B87" s="20" t="s">
        <v>238</v>
      </c>
      <c r="C87" s="13">
        <v>9000</v>
      </c>
      <c r="D87" s="13">
        <v>9000</v>
      </c>
      <c r="E87" s="13">
        <f>9000+1600</f>
        <v>10600</v>
      </c>
      <c r="F87" s="13">
        <f>9000+1600</f>
        <v>10600</v>
      </c>
      <c r="G87" s="13">
        <f>9000+1600</f>
        <v>10600</v>
      </c>
      <c r="H87" s="7">
        <f t="shared" si="13"/>
        <v>0</v>
      </c>
      <c r="I87" s="7"/>
      <c r="J87" s="7"/>
      <c r="K87" s="7"/>
      <c r="L87" s="2"/>
      <c r="M87" s="29"/>
      <c r="N87" s="9"/>
      <c r="O87" s="9"/>
      <c r="P87" s="9"/>
      <c r="Q87" s="9"/>
    </row>
    <row r="88" spans="1:17" x14ac:dyDescent="0.2">
      <c r="A88" s="8" t="s">
        <v>164</v>
      </c>
      <c r="B88" s="20" t="s">
        <v>239</v>
      </c>
      <c r="C88" s="13">
        <v>10000</v>
      </c>
      <c r="D88" s="13">
        <f>10000+524</f>
        <v>10524</v>
      </c>
      <c r="E88" s="13">
        <f>10000+524+300</f>
        <v>10824</v>
      </c>
      <c r="F88" s="13">
        <f>10000+524+300+360</f>
        <v>11184</v>
      </c>
      <c r="G88" s="13">
        <f>10000+524+300</f>
        <v>10824</v>
      </c>
      <c r="H88" s="7">
        <f t="shared" si="13"/>
        <v>360</v>
      </c>
      <c r="I88" s="7"/>
      <c r="J88" s="7"/>
      <c r="K88" s="7"/>
      <c r="L88" s="2"/>
      <c r="M88" s="7"/>
      <c r="N88" s="9"/>
      <c r="O88" s="9"/>
      <c r="P88" s="9"/>
      <c r="Q88" s="9"/>
    </row>
    <row r="89" spans="1:17" hidden="1" x14ac:dyDescent="0.2">
      <c r="A89" s="8" t="s">
        <v>166</v>
      </c>
      <c r="B89" s="20" t="s">
        <v>240</v>
      </c>
      <c r="C89" s="13"/>
      <c r="D89" s="13"/>
      <c r="E89" s="13"/>
      <c r="F89" s="13"/>
      <c r="G89" s="13"/>
      <c r="H89" s="7">
        <f t="shared" si="13"/>
        <v>0</v>
      </c>
      <c r="I89" s="7"/>
      <c r="J89" s="7"/>
      <c r="K89" s="7"/>
      <c r="L89" s="2"/>
      <c r="M89" s="29"/>
      <c r="N89" s="9"/>
      <c r="O89" s="9"/>
      <c r="P89" s="9"/>
      <c r="Q89" s="9"/>
    </row>
    <row r="90" spans="1:17" x14ac:dyDescent="0.2">
      <c r="A90" s="8" t="s">
        <v>168</v>
      </c>
      <c r="B90" s="20" t="s">
        <v>241</v>
      </c>
      <c r="C90" s="13">
        <v>30</v>
      </c>
      <c r="D90" s="13">
        <v>30</v>
      </c>
      <c r="E90" s="13">
        <v>30</v>
      </c>
      <c r="F90" s="13">
        <v>30</v>
      </c>
      <c r="G90" s="13">
        <v>30</v>
      </c>
      <c r="H90" s="7">
        <f t="shared" si="13"/>
        <v>0</v>
      </c>
      <c r="I90" s="7"/>
      <c r="J90" s="7"/>
      <c r="K90" s="7"/>
      <c r="L90" s="2"/>
      <c r="M90" s="29"/>
      <c r="N90" s="9"/>
      <c r="O90" s="9"/>
      <c r="P90" s="9"/>
      <c r="Q90" s="9"/>
    </row>
    <row r="91" spans="1:17" hidden="1" x14ac:dyDescent="0.2">
      <c r="A91" s="8" t="s">
        <v>170</v>
      </c>
      <c r="B91" s="20" t="s">
        <v>242</v>
      </c>
      <c r="C91" s="13"/>
      <c r="D91" s="13"/>
      <c r="E91" s="13"/>
      <c r="F91" s="13"/>
      <c r="G91" s="13"/>
      <c r="H91" s="7">
        <f t="shared" si="13"/>
        <v>0</v>
      </c>
      <c r="I91" s="7"/>
      <c r="J91" s="7"/>
      <c r="K91" s="7"/>
      <c r="L91" s="2"/>
      <c r="M91" s="29"/>
      <c r="N91" s="9"/>
      <c r="O91" s="9"/>
      <c r="P91" s="9"/>
      <c r="Q91" s="9"/>
    </row>
    <row r="92" spans="1:17" x14ac:dyDescent="0.2">
      <c r="A92" s="8" t="s">
        <v>176</v>
      </c>
      <c r="B92" s="20" t="s">
        <v>406</v>
      </c>
      <c r="C92" s="13">
        <v>0</v>
      </c>
      <c r="D92" s="13">
        <v>0</v>
      </c>
      <c r="E92" s="13">
        <f>145</f>
        <v>145</v>
      </c>
      <c r="F92" s="13">
        <f>145</f>
        <v>145</v>
      </c>
      <c r="G92" s="13">
        <f>145</f>
        <v>145</v>
      </c>
      <c r="H92" s="7">
        <f t="shared" si="13"/>
        <v>0</v>
      </c>
      <c r="I92" s="7"/>
      <c r="J92" s="7"/>
      <c r="K92" s="7"/>
      <c r="L92" s="2"/>
      <c r="M92" s="29"/>
      <c r="N92" s="9"/>
      <c r="O92" s="9"/>
      <c r="P92" s="9"/>
      <c r="Q92" s="9"/>
    </row>
    <row r="93" spans="1:17" x14ac:dyDescent="0.2">
      <c r="A93" s="8" t="s">
        <v>400</v>
      </c>
      <c r="B93" s="20" t="s">
        <v>1256</v>
      </c>
      <c r="C93" s="13">
        <v>5000</v>
      </c>
      <c r="D93" s="13">
        <f>(4981+55335)+(19+31)</f>
        <v>60366</v>
      </c>
      <c r="E93" s="13">
        <f>(4981+55335+534)+(19+31+153+920)</f>
        <v>61973</v>
      </c>
      <c r="F93" s="13">
        <f>(4981+55335+534+15100-1)+(19+31+153+920)</f>
        <v>77072</v>
      </c>
      <c r="G93" s="13">
        <f>(4981+55335+534)+(19+31+153+920)</f>
        <v>61973</v>
      </c>
      <c r="H93" s="7">
        <f t="shared" si="13"/>
        <v>15099</v>
      </c>
      <c r="I93" s="7"/>
      <c r="J93" s="264">
        <f>(4981+55335+534+12100)</f>
        <v>72950</v>
      </c>
      <c r="K93" s="7"/>
      <c r="L93" s="2"/>
      <c r="M93" s="29"/>
      <c r="N93" s="9"/>
      <c r="O93" s="9"/>
      <c r="P93" s="9"/>
      <c r="Q93" s="9"/>
    </row>
    <row r="94" spans="1:17" ht="15.75" x14ac:dyDescent="0.25">
      <c r="A94" s="14" t="s">
        <v>191</v>
      </c>
      <c r="B94" s="23" t="s">
        <v>243</v>
      </c>
      <c r="C94" s="43">
        <f t="shared" ref="C94:D94" si="14">SUM(C98)+C100+C99</f>
        <v>20000</v>
      </c>
      <c r="D94" s="43">
        <f t="shared" si="14"/>
        <v>20516</v>
      </c>
      <c r="E94" s="43">
        <f>SUM(E98)+E100+E99</f>
        <v>21516</v>
      </c>
      <c r="F94" s="43">
        <f>SUM(F98)+F100+F99</f>
        <v>24184</v>
      </c>
      <c r="G94" s="43">
        <f>SUM(G98)+G100+G99</f>
        <v>21516</v>
      </c>
      <c r="H94" s="7"/>
      <c r="I94" s="7"/>
      <c r="J94" s="7"/>
      <c r="K94" s="7"/>
      <c r="L94" s="2"/>
      <c r="M94" s="29"/>
      <c r="N94" s="9"/>
      <c r="O94" s="9"/>
      <c r="P94" s="9"/>
      <c r="Q94" s="9"/>
    </row>
    <row r="95" spans="1:17" hidden="1" x14ac:dyDescent="0.2">
      <c r="A95" s="8" t="s">
        <v>197</v>
      </c>
      <c r="B95" s="20" t="s">
        <v>244</v>
      </c>
      <c r="C95" s="11"/>
      <c r="D95" s="11"/>
      <c r="E95" s="11"/>
      <c r="F95" s="11"/>
      <c r="G95" s="11"/>
      <c r="H95" s="7">
        <f t="shared" si="13"/>
        <v>0</v>
      </c>
      <c r="I95" s="7"/>
      <c r="J95" s="7"/>
      <c r="K95" s="7"/>
      <c r="L95" s="2"/>
      <c r="M95" s="29"/>
      <c r="N95" s="9"/>
      <c r="O95" s="9"/>
      <c r="P95" s="9"/>
      <c r="Q95" s="9"/>
    </row>
    <row r="96" spans="1:17" hidden="1" x14ac:dyDescent="0.2">
      <c r="A96" s="8" t="s">
        <v>198</v>
      </c>
      <c r="B96" s="20" t="s">
        <v>245</v>
      </c>
      <c r="C96" s="11"/>
      <c r="D96" s="11"/>
      <c r="E96" s="11"/>
      <c r="F96" s="11"/>
      <c r="G96" s="11"/>
      <c r="H96" s="7">
        <f t="shared" si="13"/>
        <v>0</v>
      </c>
      <c r="I96" s="7"/>
      <c r="J96" s="7"/>
      <c r="K96" s="7"/>
      <c r="L96" s="2"/>
      <c r="M96" s="29"/>
      <c r="N96" s="9"/>
      <c r="O96" s="9"/>
      <c r="P96" s="9"/>
      <c r="Q96" s="9"/>
    </row>
    <row r="97" spans="1:18" hidden="1" x14ac:dyDescent="0.2">
      <c r="A97" s="8" t="s">
        <v>199</v>
      </c>
      <c r="B97" s="20" t="s">
        <v>246</v>
      </c>
      <c r="C97" s="5"/>
      <c r="D97" s="5"/>
      <c r="E97" s="5"/>
      <c r="F97" s="5"/>
      <c r="G97" s="5"/>
      <c r="H97" s="7">
        <f t="shared" si="13"/>
        <v>0</v>
      </c>
      <c r="I97" s="7"/>
      <c r="J97" s="7"/>
      <c r="K97" s="7"/>
      <c r="L97" s="2"/>
      <c r="M97" s="29"/>
      <c r="N97" s="9"/>
      <c r="O97" s="9"/>
      <c r="P97" s="9"/>
      <c r="Q97" s="9"/>
    </row>
    <row r="98" spans="1:18" x14ac:dyDescent="0.2">
      <c r="A98" s="8" t="s">
        <v>407</v>
      </c>
      <c r="B98" s="8" t="s">
        <v>1155</v>
      </c>
      <c r="C98" s="13">
        <v>20000</v>
      </c>
      <c r="D98" s="13">
        <v>20000</v>
      </c>
      <c r="E98" s="13">
        <v>20000</v>
      </c>
      <c r="F98" s="13">
        <f>20000+2668</f>
        <v>22668</v>
      </c>
      <c r="G98" s="13">
        <v>20000</v>
      </c>
      <c r="H98" s="7">
        <f t="shared" si="13"/>
        <v>2668</v>
      </c>
      <c r="I98" s="7"/>
      <c r="J98" s="7"/>
      <c r="K98" s="7"/>
      <c r="L98" s="2"/>
      <c r="M98" s="29"/>
      <c r="N98" s="9"/>
      <c r="O98" s="9"/>
      <c r="P98" s="9"/>
      <c r="Q98" s="9"/>
    </row>
    <row r="99" spans="1:18" x14ac:dyDescent="0.2">
      <c r="A99" s="8" t="s">
        <v>407</v>
      </c>
      <c r="B99" s="8" t="s">
        <v>1259</v>
      </c>
      <c r="C99" s="13">
        <v>0</v>
      </c>
      <c r="D99" s="13">
        <v>516</v>
      </c>
      <c r="E99" s="13">
        <v>516</v>
      </c>
      <c r="F99" s="13">
        <v>516</v>
      </c>
      <c r="G99" s="13">
        <v>516</v>
      </c>
      <c r="H99" s="7">
        <f t="shared" si="13"/>
        <v>0</v>
      </c>
      <c r="I99" s="7"/>
      <c r="J99" s="7"/>
      <c r="K99" s="7"/>
      <c r="L99" s="2"/>
      <c r="M99" s="29"/>
      <c r="N99" s="9"/>
      <c r="O99" s="9"/>
      <c r="P99" s="9"/>
      <c r="Q99" s="9"/>
    </row>
    <row r="100" spans="1:18" x14ac:dyDescent="0.2">
      <c r="A100" s="8" t="s">
        <v>407</v>
      </c>
      <c r="B100" s="8" t="s">
        <v>1353</v>
      </c>
      <c r="C100" s="13">
        <v>0</v>
      </c>
      <c r="D100" s="13">
        <v>0</v>
      </c>
      <c r="E100" s="13">
        <v>1000</v>
      </c>
      <c r="F100" s="13">
        <v>1000</v>
      </c>
      <c r="G100" s="13">
        <v>1000</v>
      </c>
      <c r="H100" s="2"/>
      <c r="I100" s="7"/>
      <c r="J100" s="7"/>
      <c r="K100" s="7"/>
      <c r="L100" s="2"/>
      <c r="M100" s="29"/>
      <c r="N100" s="9"/>
      <c r="O100" s="9"/>
      <c r="P100" s="9"/>
      <c r="Q100" s="9"/>
    </row>
    <row r="101" spans="1:18" ht="24" customHeight="1" x14ac:dyDescent="0.25">
      <c r="A101" s="25" t="s">
        <v>193</v>
      </c>
      <c r="B101" s="174" t="s">
        <v>354</v>
      </c>
      <c r="C101" s="43">
        <f>SUM(C102)</f>
        <v>220868</v>
      </c>
      <c r="D101" s="43">
        <f>SUM(D102)</f>
        <v>220868</v>
      </c>
      <c r="E101" s="43">
        <f>SUM(E102)</f>
        <v>220868</v>
      </c>
      <c r="F101" s="43">
        <f>SUM(F102)</f>
        <v>240708</v>
      </c>
      <c r="G101" s="43">
        <f>SUM(G102)</f>
        <v>220868</v>
      </c>
      <c r="H101" s="2"/>
      <c r="I101" s="7"/>
      <c r="J101" s="7"/>
      <c r="K101" s="7"/>
      <c r="L101" s="2"/>
      <c r="M101" s="29"/>
      <c r="N101" s="9"/>
      <c r="O101" s="9"/>
      <c r="P101" s="9"/>
      <c r="Q101" s="9"/>
    </row>
    <row r="102" spans="1:18" ht="13.5" customHeight="1" x14ac:dyDescent="0.25">
      <c r="A102" s="25"/>
      <c r="B102" s="23" t="str">
        <f>'1.Bev-kiad.'!B55</f>
        <v xml:space="preserve">   1. Belföldi finanszírozás bevételei</v>
      </c>
      <c r="C102" s="161">
        <f>SUM(C103+C108)</f>
        <v>220868</v>
      </c>
      <c r="D102" s="161">
        <f>SUM(D103+D108)</f>
        <v>220868</v>
      </c>
      <c r="E102" s="161">
        <f>SUM(E103+E108)</f>
        <v>220868</v>
      </c>
      <c r="F102" s="161">
        <f>SUM(F103+F108)</f>
        <v>240708</v>
      </c>
      <c r="G102" s="161">
        <f>SUM(G103+G108)</f>
        <v>220868</v>
      </c>
      <c r="H102" s="2"/>
      <c r="I102" s="7"/>
      <c r="J102" s="7"/>
      <c r="K102" s="7"/>
      <c r="L102" s="2"/>
      <c r="M102" s="29"/>
      <c r="N102" s="9"/>
      <c r="O102" s="9"/>
      <c r="P102" s="9"/>
      <c r="Q102" s="9"/>
    </row>
    <row r="103" spans="1:18" x14ac:dyDescent="0.2">
      <c r="A103" s="25"/>
      <c r="B103" s="31" t="str">
        <f>'1.Bev-kiad.'!B56</f>
        <v xml:space="preserve">        1.1. Előző év költségvetési maradványának igénybevétele</v>
      </c>
      <c r="C103" s="13">
        <f>(217468+3400)</f>
        <v>220868</v>
      </c>
      <c r="D103" s="13">
        <f>(217468+3400)</f>
        <v>220868</v>
      </c>
      <c r="E103" s="13">
        <f>(217468+3400)</f>
        <v>220868</v>
      </c>
      <c r="F103" s="13">
        <f>(217468+3400)</f>
        <v>220868</v>
      </c>
      <c r="G103" s="13">
        <f>(217468+3400)</f>
        <v>220868</v>
      </c>
      <c r="H103" s="2"/>
      <c r="I103" s="7"/>
      <c r="J103" s="7"/>
      <c r="K103" s="7"/>
      <c r="L103" s="2"/>
      <c r="M103" s="165">
        <v>220868</v>
      </c>
      <c r="N103" s="9"/>
      <c r="O103" s="9"/>
      <c r="P103" s="9"/>
      <c r="Q103" s="9"/>
      <c r="R103" s="76"/>
    </row>
    <row r="104" spans="1:18" hidden="1" x14ac:dyDescent="0.2">
      <c r="A104" s="25"/>
      <c r="B104" s="147" t="s">
        <v>873</v>
      </c>
      <c r="C104" s="13">
        <f>(381956+18883+19378+10058+5652-'3.felh'!C39+4167-34702+40056)</f>
        <v>293336</v>
      </c>
      <c r="D104" s="13">
        <f>(381956+18883+19378+10058+5652-'3.felh'!D39+4167-34702+40056)</f>
        <v>293336</v>
      </c>
      <c r="E104" s="13">
        <f>(381956+18883+19378+10058+5652-'3.felh'!E39+4167-34702+40056)</f>
        <v>293336</v>
      </c>
      <c r="F104" s="13">
        <f>(381956+18883+19378+10058+5652-'3.felh'!F39+4167-34702+40056)</f>
        <v>293336</v>
      </c>
      <c r="G104" s="13">
        <f>(381956+18883+19378+10058+5652-'3.felh'!G39+4167-34702+40056)</f>
        <v>293336</v>
      </c>
      <c r="H104" s="2"/>
      <c r="I104" s="7"/>
      <c r="J104" s="7"/>
      <c r="K104" s="7"/>
      <c r="L104" s="2"/>
      <c r="M104" s="165"/>
      <c r="N104" s="9"/>
      <c r="O104" s="9"/>
      <c r="P104" s="9"/>
      <c r="Q104" s="9"/>
    </row>
    <row r="105" spans="1:18" hidden="1" x14ac:dyDescent="0.2">
      <c r="A105" s="25"/>
      <c r="B105" s="147"/>
      <c r="C105" s="13"/>
      <c r="D105" s="13"/>
      <c r="E105" s="13"/>
      <c r="F105" s="13"/>
      <c r="G105" s="13"/>
      <c r="H105" s="2"/>
      <c r="I105" s="7"/>
      <c r="J105" s="7"/>
      <c r="K105" s="7"/>
      <c r="L105" s="2"/>
      <c r="M105" s="165"/>
      <c r="N105" s="9"/>
      <c r="O105" s="9"/>
      <c r="P105" s="9"/>
      <c r="Q105" s="9"/>
    </row>
    <row r="106" spans="1:18" hidden="1" x14ac:dyDescent="0.2">
      <c r="A106" s="25"/>
      <c r="B106" s="147" t="s">
        <v>870</v>
      </c>
      <c r="C106" s="13"/>
      <c r="D106" s="13"/>
      <c r="E106" s="13"/>
      <c r="F106" s="13"/>
      <c r="G106" s="13"/>
      <c r="H106" s="2"/>
      <c r="I106" s="7"/>
      <c r="J106" s="7"/>
      <c r="K106" s="7"/>
      <c r="L106" s="2"/>
      <c r="M106" s="165"/>
      <c r="N106" s="9"/>
      <c r="O106" s="9"/>
      <c r="P106" s="9"/>
      <c r="Q106" s="9"/>
    </row>
    <row r="107" spans="1:18" hidden="1" x14ac:dyDescent="0.2">
      <c r="A107" s="25"/>
      <c r="B107" s="147" t="s">
        <v>868</v>
      </c>
      <c r="C107" s="13">
        <f>(32623-4167)</f>
        <v>28456</v>
      </c>
      <c r="D107" s="13">
        <f>(32623-4167)</f>
        <v>28456</v>
      </c>
      <c r="E107" s="13">
        <f>(32623-4167)</f>
        <v>28456</v>
      </c>
      <c r="F107" s="13">
        <f>(32623-4167)</f>
        <v>28456</v>
      </c>
      <c r="G107" s="13">
        <f>(32623-4167)</f>
        <v>28456</v>
      </c>
      <c r="H107" s="2"/>
      <c r="I107" s="7"/>
      <c r="J107" s="7"/>
      <c r="K107" s="7"/>
      <c r="L107" s="2"/>
      <c r="M107" s="165"/>
      <c r="N107" s="9"/>
      <c r="O107" s="9"/>
      <c r="P107" s="9"/>
      <c r="Q107" s="9"/>
    </row>
    <row r="108" spans="1:18" ht="13.5" customHeight="1" x14ac:dyDescent="0.2">
      <c r="A108" s="25"/>
      <c r="B108" s="147" t="s">
        <v>518</v>
      </c>
      <c r="C108" s="13">
        <v>0</v>
      </c>
      <c r="D108" s="13">
        <v>0</v>
      </c>
      <c r="E108" s="13">
        <v>0</v>
      </c>
      <c r="F108" s="13">
        <v>19840</v>
      </c>
      <c r="G108" s="13">
        <v>0</v>
      </c>
      <c r="H108" s="7"/>
      <c r="I108" s="7"/>
      <c r="J108" s="7"/>
      <c r="K108" s="7"/>
      <c r="L108" s="2"/>
      <c r="M108" s="165">
        <v>3400</v>
      </c>
      <c r="N108" s="9"/>
      <c r="O108" s="9"/>
      <c r="P108" s="9"/>
      <c r="Q108" s="9"/>
    </row>
    <row r="109" spans="1:18" ht="13.5" customHeight="1" thickBot="1" x14ac:dyDescent="0.3">
      <c r="A109" s="25"/>
      <c r="B109" s="23" t="s">
        <v>447</v>
      </c>
      <c r="C109" s="161">
        <v>0</v>
      </c>
      <c r="D109" s="161">
        <v>0</v>
      </c>
      <c r="E109" s="161">
        <v>0</v>
      </c>
      <c r="F109" s="161">
        <v>0</v>
      </c>
      <c r="G109" s="161">
        <v>0</v>
      </c>
      <c r="H109" s="2"/>
      <c r="I109" s="7"/>
      <c r="J109" s="7"/>
      <c r="K109" s="7"/>
      <c r="L109" s="2"/>
      <c r="M109" s="165">
        <f>SUM(M103-M108)</f>
        <v>217468</v>
      </c>
      <c r="N109" s="9"/>
      <c r="O109" s="9"/>
      <c r="P109" s="9"/>
      <c r="Q109" s="9"/>
    </row>
    <row r="110" spans="1:18" ht="13.5" hidden="1" customHeight="1" thickBot="1" x14ac:dyDescent="0.25">
      <c r="A110" s="734"/>
      <c r="B110" s="12" t="s">
        <v>250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2"/>
      <c r="I110" s="7"/>
      <c r="J110" s="7"/>
      <c r="K110" s="7"/>
      <c r="L110" s="2"/>
      <c r="M110" s="165"/>
      <c r="N110" s="9"/>
      <c r="O110" s="9"/>
      <c r="P110" s="9"/>
      <c r="Q110" s="9"/>
    </row>
    <row r="111" spans="1:18" ht="19.5" customHeight="1" thickBot="1" x14ac:dyDescent="0.4">
      <c r="A111" s="217"/>
      <c r="B111" s="218" t="s">
        <v>392</v>
      </c>
      <c r="C111" s="181">
        <f>SUM(C8+C101)</f>
        <v>1225116</v>
      </c>
      <c r="D111" s="181">
        <f>SUM(D8+D101)</f>
        <v>1286164</v>
      </c>
      <c r="E111" s="181">
        <f>SUM(E8+E101)</f>
        <v>1362071</v>
      </c>
      <c r="F111" s="181">
        <f>SUM(F8+F101)</f>
        <v>1421078</v>
      </c>
      <c r="G111" s="181">
        <f>SUM(G8+G101)</f>
        <v>1362071</v>
      </c>
      <c r="H111" s="7"/>
      <c r="I111" s="7"/>
      <c r="J111" s="7"/>
      <c r="K111" s="7"/>
      <c r="L111" s="2"/>
      <c r="M111" s="632"/>
      <c r="N111" s="9"/>
      <c r="O111" s="9"/>
      <c r="P111" s="9"/>
      <c r="Q111" s="9"/>
    </row>
    <row r="112" spans="1:18" ht="18" customHeight="1" x14ac:dyDescent="0.25">
      <c r="A112" s="148" t="s">
        <v>367</v>
      </c>
      <c r="B112" s="227" t="s">
        <v>364</v>
      </c>
      <c r="C112" s="176">
        <f>SUM(C113+C116+C119+C122+C123)</f>
        <v>1168003</v>
      </c>
      <c r="D112" s="176">
        <f>SUM(D113+D116+D119+D122+D123)</f>
        <v>1229959</v>
      </c>
      <c r="E112" s="176">
        <f>SUM(E113+E116+E119+E122+E123)</f>
        <v>1310573</v>
      </c>
      <c r="F112" s="176">
        <f>SUM(F113+F116+F119+F122+F123)</f>
        <v>1369580</v>
      </c>
      <c r="G112" s="176">
        <f>SUM(G113+G116+G119+G122+G123)</f>
        <v>987177</v>
      </c>
      <c r="H112" s="29"/>
      <c r="I112" s="29"/>
      <c r="J112" s="29"/>
      <c r="K112" s="29"/>
      <c r="L112" s="2"/>
      <c r="M112" s="28"/>
      <c r="N112" s="9"/>
      <c r="O112" s="9"/>
      <c r="P112" s="9"/>
      <c r="Q112" s="9"/>
    </row>
    <row r="113" spans="1:17" ht="18" customHeight="1" x14ac:dyDescent="0.25">
      <c r="A113" s="14" t="s">
        <v>218</v>
      </c>
      <c r="B113" s="23" t="s">
        <v>247</v>
      </c>
      <c r="C113" s="149">
        <f>SUM(C114:C115)</f>
        <v>238288</v>
      </c>
      <c r="D113" s="149">
        <f>SUM(D114:D115)</f>
        <v>245688</v>
      </c>
      <c r="E113" s="149">
        <f>SUM(E114:E115)</f>
        <v>254620</v>
      </c>
      <c r="F113" s="149">
        <f>SUM(F114:F115)</f>
        <v>267965</v>
      </c>
      <c r="G113" s="149">
        <f>SUM(G114:G115)</f>
        <v>233675</v>
      </c>
      <c r="H113" s="319"/>
      <c r="I113" s="319"/>
      <c r="J113" s="319"/>
      <c r="K113" s="319"/>
      <c r="L113" s="2"/>
      <c r="M113" s="28"/>
      <c r="N113" s="9"/>
      <c r="O113" s="9"/>
      <c r="P113" s="9"/>
      <c r="Q113" s="9"/>
    </row>
    <row r="114" spans="1:17" ht="13.5" customHeight="1" x14ac:dyDescent="0.2">
      <c r="A114" s="14"/>
      <c r="B114" s="230" t="s">
        <v>425</v>
      </c>
      <c r="C114" s="198">
        <f>SUM('8.Önk.'!BA28)</f>
        <v>47204</v>
      </c>
      <c r="D114" s="198">
        <f>SUM('8.Önk.'!BB28)</f>
        <v>48465</v>
      </c>
      <c r="E114" s="198">
        <f>SUM('8.Önk.'!BC28)</f>
        <v>49563</v>
      </c>
      <c r="F114" s="198">
        <f>SUM('8.Önk.'!BD28)</f>
        <v>50078</v>
      </c>
      <c r="G114" s="198">
        <f>SUM('8.Önk.'!BE28)</f>
        <v>47535</v>
      </c>
      <c r="H114" s="7"/>
      <c r="I114" s="7"/>
      <c r="J114" s="319"/>
      <c r="K114" s="7"/>
      <c r="L114" s="2"/>
      <c r="M114" s="28"/>
      <c r="N114" s="9"/>
      <c r="O114" s="9"/>
      <c r="P114" s="9"/>
      <c r="Q114" s="9"/>
    </row>
    <row r="115" spans="1:17" ht="13.5" customHeight="1" x14ac:dyDescent="0.2">
      <c r="A115" s="14"/>
      <c r="B115" s="230" t="s">
        <v>470</v>
      </c>
      <c r="C115" s="198">
        <f>SUM('9.Hivatal'!R28)</f>
        <v>191084</v>
      </c>
      <c r="D115" s="198">
        <f>SUM('9.Hivatal'!S28)</f>
        <v>197223</v>
      </c>
      <c r="E115" s="198">
        <f>SUM('9.Hivatal'!T28)</f>
        <v>205057</v>
      </c>
      <c r="F115" s="198">
        <f>SUM('9.Hivatal'!U28)</f>
        <v>217887</v>
      </c>
      <c r="G115" s="198">
        <f>SUM('9.Hivatal'!V28)</f>
        <v>186140</v>
      </c>
      <c r="H115" s="7"/>
      <c r="I115" s="7"/>
      <c r="J115" s="319"/>
      <c r="K115" s="7"/>
      <c r="L115" s="2"/>
      <c r="M115" s="28"/>
      <c r="N115" s="9"/>
      <c r="O115" s="9"/>
      <c r="P115" s="9"/>
      <c r="Q115" s="9"/>
    </row>
    <row r="116" spans="1:17" ht="18" customHeight="1" x14ac:dyDescent="0.25">
      <c r="A116" s="14" t="s">
        <v>219</v>
      </c>
      <c r="B116" s="23" t="s">
        <v>248</v>
      </c>
      <c r="C116" s="149">
        <f>SUM(C117:C118)</f>
        <v>31821</v>
      </c>
      <c r="D116" s="149">
        <f>SUM(D117:D118)</f>
        <v>31916</v>
      </c>
      <c r="E116" s="149">
        <f>SUM(E117:E118)</f>
        <v>33481</v>
      </c>
      <c r="F116" s="149">
        <f>SUM(F117:F118)</f>
        <v>35143</v>
      </c>
      <c r="G116" s="149">
        <f>SUM(G117:G118)</f>
        <v>31508</v>
      </c>
      <c r="H116" s="7"/>
      <c r="I116" s="7"/>
      <c r="J116" s="319"/>
      <c r="K116" s="7"/>
      <c r="L116" s="2"/>
      <c r="M116" s="28"/>
      <c r="N116" s="9"/>
      <c r="O116" s="9"/>
      <c r="P116" s="9"/>
      <c r="Q116" s="9"/>
    </row>
    <row r="117" spans="1:17" ht="13.5" customHeight="1" x14ac:dyDescent="0.2">
      <c r="A117" s="14"/>
      <c r="B117" s="230" t="s">
        <v>426</v>
      </c>
      <c r="C117" s="198">
        <f>SUM('8.Önk.'!BA32)</f>
        <v>6431</v>
      </c>
      <c r="D117" s="198">
        <f>SUM('8.Önk.'!BB32)</f>
        <v>6526</v>
      </c>
      <c r="E117" s="198">
        <f>SUM('8.Önk.'!BC32)</f>
        <v>6526</v>
      </c>
      <c r="F117" s="198">
        <f>SUM('8.Önk.'!BD32)</f>
        <v>6531</v>
      </c>
      <c r="G117" s="198">
        <f>SUM('8.Önk.'!BE32)</f>
        <v>6461</v>
      </c>
      <c r="H117" s="7"/>
      <c r="I117" s="7"/>
      <c r="J117" s="319"/>
      <c r="K117" s="7"/>
      <c r="L117" s="2"/>
      <c r="M117" s="28"/>
      <c r="N117" s="9"/>
      <c r="O117" s="9"/>
      <c r="P117" s="9"/>
      <c r="Q117" s="9"/>
    </row>
    <row r="118" spans="1:17" ht="13.5" customHeight="1" x14ac:dyDescent="0.2">
      <c r="A118" s="14"/>
      <c r="B118" s="230" t="s">
        <v>469</v>
      </c>
      <c r="C118" s="198">
        <f>SUM('9.Hivatal'!R31)</f>
        <v>25390</v>
      </c>
      <c r="D118" s="198">
        <f>SUM('9.Hivatal'!S31)</f>
        <v>25390</v>
      </c>
      <c r="E118" s="198">
        <f>SUM('9.Hivatal'!T31)</f>
        <v>26955</v>
      </c>
      <c r="F118" s="198">
        <f>SUM('9.Hivatal'!U31)</f>
        <v>28612</v>
      </c>
      <c r="G118" s="198">
        <f>SUM('9.Hivatal'!V31)</f>
        <v>25047</v>
      </c>
      <c r="H118" s="7"/>
      <c r="I118" s="7"/>
      <c r="J118" s="319"/>
      <c r="K118" s="7"/>
      <c r="L118" s="2"/>
      <c r="M118" s="28"/>
      <c r="N118" s="9"/>
      <c r="O118" s="9"/>
      <c r="P118" s="9"/>
      <c r="Q118" s="9"/>
    </row>
    <row r="119" spans="1:17" ht="18" customHeight="1" x14ac:dyDescent="0.25">
      <c r="A119" s="14" t="s">
        <v>220</v>
      </c>
      <c r="B119" s="23" t="s">
        <v>249</v>
      </c>
      <c r="C119" s="36">
        <f>SUM(C120:C121)</f>
        <v>367219</v>
      </c>
      <c r="D119" s="36">
        <f>SUM(D120:D121)</f>
        <v>392238</v>
      </c>
      <c r="E119" s="36">
        <f>SUM(E120:E121)</f>
        <v>439900</v>
      </c>
      <c r="F119" s="36">
        <f>SUM(F120:F121)</f>
        <v>447639</v>
      </c>
      <c r="G119" s="36">
        <f>SUM(G120:G121)</f>
        <v>185375</v>
      </c>
      <c r="H119" s="7"/>
      <c r="I119" s="7"/>
      <c r="J119" s="319"/>
      <c r="K119" s="7"/>
      <c r="L119" s="2"/>
      <c r="M119" s="28"/>
      <c r="N119" s="9"/>
      <c r="O119" s="9"/>
      <c r="P119" s="9"/>
      <c r="Q119" s="9"/>
    </row>
    <row r="120" spans="1:17" ht="13.5" customHeight="1" x14ac:dyDescent="0.2">
      <c r="A120" s="8"/>
      <c r="B120" s="230" t="s">
        <v>426</v>
      </c>
      <c r="C120" s="178">
        <f>SUM('8.Önk.'!BA96)</f>
        <v>342213</v>
      </c>
      <c r="D120" s="178">
        <f>SUM('8.Önk.'!BB96)</f>
        <v>370392</v>
      </c>
      <c r="E120" s="178">
        <f>SUM('8.Önk.'!BC96)</f>
        <v>415969</v>
      </c>
      <c r="F120" s="178">
        <f>SUM('8.Önk.'!BD96)</f>
        <v>419178</v>
      </c>
      <c r="G120" s="178">
        <f>SUM('8.Önk.'!BE96)</f>
        <v>159591</v>
      </c>
      <c r="H120" s="7"/>
      <c r="I120" s="7"/>
      <c r="J120" s="319"/>
      <c r="K120" s="7"/>
      <c r="L120" s="2"/>
      <c r="M120" s="28"/>
      <c r="N120" s="9"/>
      <c r="O120" s="9"/>
      <c r="P120" s="9"/>
      <c r="Q120" s="9"/>
    </row>
    <row r="121" spans="1:17" ht="13.5" customHeight="1" x14ac:dyDescent="0.2">
      <c r="A121" s="8"/>
      <c r="B121" s="230" t="s">
        <v>468</v>
      </c>
      <c r="C121" s="178">
        <f>SUM('9.Hivatal'!R82)</f>
        <v>25006</v>
      </c>
      <c r="D121" s="178">
        <f>SUM('9.Hivatal'!S82)</f>
        <v>21846</v>
      </c>
      <c r="E121" s="178">
        <f>SUM('9.Hivatal'!T82)</f>
        <v>23931</v>
      </c>
      <c r="F121" s="178">
        <f>SUM('9.Hivatal'!U82)</f>
        <v>28461</v>
      </c>
      <c r="G121" s="178">
        <f>SUM('9.Hivatal'!V82)</f>
        <v>25784</v>
      </c>
      <c r="H121" s="7"/>
      <c r="I121" s="7"/>
      <c r="J121" s="319"/>
      <c r="K121" s="7"/>
      <c r="L121" s="2"/>
      <c r="M121" s="28"/>
      <c r="N121" s="9"/>
      <c r="O121" s="9"/>
      <c r="P121" s="9"/>
      <c r="Q121" s="9"/>
    </row>
    <row r="122" spans="1:17" ht="18" customHeight="1" x14ac:dyDescent="0.25">
      <c r="A122" s="14" t="s">
        <v>221</v>
      </c>
      <c r="B122" s="23" t="s">
        <v>458</v>
      </c>
      <c r="C122" s="36">
        <f>SUM('8.Önk.'!BA97)</f>
        <v>9300</v>
      </c>
      <c r="D122" s="36">
        <f>SUM('8.Önk.'!BB97)</f>
        <v>9658</v>
      </c>
      <c r="E122" s="36">
        <f>SUM('8.Önk.'!BC97)</f>
        <v>9658</v>
      </c>
      <c r="F122" s="36">
        <f>SUM('8.Önk.'!BD97)</f>
        <v>11408</v>
      </c>
      <c r="G122" s="36">
        <f>SUM('8.Önk.'!BE97)</f>
        <v>9300</v>
      </c>
      <c r="H122" s="7"/>
      <c r="I122" s="7"/>
      <c r="J122" s="319"/>
      <c r="K122" s="7"/>
      <c r="L122" s="2"/>
      <c r="M122" s="28"/>
      <c r="N122" s="9"/>
      <c r="O122" s="9"/>
      <c r="P122" s="9"/>
      <c r="Q122" s="9"/>
    </row>
    <row r="123" spans="1:17" ht="18" customHeight="1" x14ac:dyDescent="0.25">
      <c r="A123" s="14" t="s">
        <v>222</v>
      </c>
      <c r="B123" s="23" t="s">
        <v>344</v>
      </c>
      <c r="C123" s="36">
        <f>SUM(C124:C125)</f>
        <v>521375</v>
      </c>
      <c r="D123" s="36">
        <f>SUM(D124:D125)</f>
        <v>550459</v>
      </c>
      <c r="E123" s="36">
        <f>SUM(E124:E125)</f>
        <v>572914</v>
      </c>
      <c r="F123" s="36">
        <f>SUM(F124:F125)</f>
        <v>607425</v>
      </c>
      <c r="G123" s="36">
        <f>SUM(G124:G125)</f>
        <v>527319</v>
      </c>
      <c r="H123" s="7"/>
      <c r="I123" s="7"/>
      <c r="J123" s="319"/>
      <c r="K123" s="7"/>
      <c r="L123" s="2"/>
      <c r="M123" s="28"/>
      <c r="N123" s="9"/>
      <c r="O123" s="9"/>
      <c r="P123" s="9"/>
      <c r="Q123" s="9"/>
    </row>
    <row r="124" spans="1:17" ht="15" customHeight="1" thickBot="1" x14ac:dyDescent="0.25">
      <c r="A124" s="14"/>
      <c r="B124" s="8" t="s">
        <v>1015</v>
      </c>
      <c r="C124" s="32">
        <f>SUM('4. Átadott p.eszk.'!B74)</f>
        <v>471375</v>
      </c>
      <c r="D124" s="32">
        <f>SUM('4. Átadott p.eszk.'!C74)</f>
        <v>481578</v>
      </c>
      <c r="E124" s="32">
        <f>SUM('4. Átadott p.eszk.'!D74)</f>
        <v>483553</v>
      </c>
      <c r="F124" s="32">
        <f>SUM('4. Átadott p.eszk.'!E74)</f>
        <v>488104</v>
      </c>
      <c r="G124" s="32">
        <f>SUM('4. Átadott p.eszk.'!F74)</f>
        <v>477319</v>
      </c>
      <c r="H124" s="7"/>
      <c r="I124" s="7"/>
      <c r="J124" s="319"/>
      <c r="K124" s="7"/>
      <c r="L124" s="2"/>
      <c r="M124" s="28"/>
      <c r="N124" s="9"/>
      <c r="O124" s="9"/>
      <c r="P124" s="9"/>
      <c r="Q124" s="9"/>
    </row>
    <row r="125" spans="1:17" ht="15" customHeight="1" thickBot="1" x14ac:dyDescent="0.25">
      <c r="A125" s="14"/>
      <c r="B125" s="8" t="s">
        <v>345</v>
      </c>
      <c r="C125" s="772">
        <v>50000</v>
      </c>
      <c r="D125" s="772">
        <f>50000-1397-1270-1215+3000+35335-1090-250-200-1508-417-3276-5167-157-41-63-2948-455</f>
        <v>68881</v>
      </c>
      <c r="E125" s="772">
        <f>(50000-1397-1270-1215+3000+35335-1090-250-200-1508-417-3276-5167-157-41-63-2948-455)-1000-54-1195-2540-1511-3224-2159-1143-68+21582-955+21000+148+9760+534-10+1000-260-1000-450-100-6000-1000-1200-2000-20-6680+2045-282-1900-838</f>
        <v>89361</v>
      </c>
      <c r="F125" s="772">
        <f>((50000-1397-1270-1215+3000+35335-1090-250-200-1508-417-3276-5167-157-41-63-2948-455)-1000-54-1195-2540-1511-3224-2159-1143-68+21582-955+21000+148+9760+534-10+1000-260-1000-450-100-6000-1000-1200-2000-20-6680+2045-282-1900-838)-18915-24+10989+22+504+3800+310+300+360+15100+2668+19840-520-35-422-1400-1750-606-260-1</f>
        <v>119321</v>
      </c>
      <c r="G125" s="549">
        <v>50000</v>
      </c>
      <c r="H125" s="7">
        <f>F125-E125</f>
        <v>29960</v>
      </c>
      <c r="I125" s="7"/>
      <c r="J125" s="7"/>
      <c r="K125" s="7"/>
      <c r="L125" s="2"/>
      <c r="M125" s="28"/>
      <c r="N125" s="9"/>
      <c r="O125" s="9"/>
      <c r="P125" s="9"/>
      <c r="Q125" s="9"/>
    </row>
    <row r="126" spans="1:17" hidden="1" x14ac:dyDescent="0.2">
      <c r="A126" s="14"/>
      <c r="B126" s="152" t="s">
        <v>859</v>
      </c>
      <c r="C126" s="117"/>
      <c r="D126" s="73"/>
      <c r="E126" s="73"/>
      <c r="F126" s="73"/>
      <c r="G126" s="73"/>
      <c r="H126" s="2"/>
      <c r="I126" s="7"/>
      <c r="J126" s="7"/>
      <c r="K126" s="7"/>
      <c r="L126" s="2"/>
      <c r="M126" s="28"/>
      <c r="N126" s="9"/>
      <c r="O126" s="9"/>
      <c r="P126" s="9"/>
      <c r="Q126" s="9"/>
    </row>
    <row r="127" spans="1:17" ht="17.25" customHeight="1" x14ac:dyDescent="0.25">
      <c r="A127" s="14" t="s">
        <v>208</v>
      </c>
      <c r="B127" s="174" t="s">
        <v>358</v>
      </c>
      <c r="C127" s="43">
        <f t="shared" ref="C127:G128" si="15">SUM(C128)</f>
        <v>15915</v>
      </c>
      <c r="D127" s="43">
        <f t="shared" si="15"/>
        <v>15915</v>
      </c>
      <c r="E127" s="43">
        <f t="shared" si="15"/>
        <v>15915</v>
      </c>
      <c r="F127" s="43">
        <f t="shared" si="15"/>
        <v>15915</v>
      </c>
      <c r="G127" s="43">
        <f t="shared" si="15"/>
        <v>15915</v>
      </c>
      <c r="H127" s="2"/>
      <c r="I127" s="7"/>
      <c r="J127" s="7"/>
      <c r="K127" s="7"/>
      <c r="L127" s="2"/>
      <c r="M127" s="28"/>
      <c r="N127" s="9"/>
      <c r="O127" s="9"/>
      <c r="P127" s="9"/>
      <c r="Q127" s="9"/>
    </row>
    <row r="128" spans="1:17" ht="15" customHeight="1" x14ac:dyDescent="0.25">
      <c r="A128" s="14"/>
      <c r="B128" s="191" t="s">
        <v>394</v>
      </c>
      <c r="C128" s="43">
        <f t="shared" si="15"/>
        <v>15915</v>
      </c>
      <c r="D128" s="43">
        <f t="shared" si="15"/>
        <v>15915</v>
      </c>
      <c r="E128" s="43">
        <f t="shared" si="15"/>
        <v>15915</v>
      </c>
      <c r="F128" s="43">
        <f t="shared" si="15"/>
        <v>15915</v>
      </c>
      <c r="G128" s="43">
        <f t="shared" si="15"/>
        <v>15915</v>
      </c>
      <c r="H128" s="2"/>
      <c r="I128" s="7"/>
      <c r="J128" s="7"/>
      <c r="K128" s="7"/>
      <c r="L128" s="2"/>
      <c r="M128" s="28"/>
      <c r="N128" s="9"/>
      <c r="O128" s="9"/>
      <c r="P128" s="9"/>
      <c r="Q128" s="9"/>
    </row>
    <row r="129" spans="1:17" ht="13.5" customHeight="1" thickBot="1" x14ac:dyDescent="0.25">
      <c r="A129" s="14" t="s">
        <v>401</v>
      </c>
      <c r="B129" s="8" t="s">
        <v>405</v>
      </c>
      <c r="C129" s="13">
        <v>15915</v>
      </c>
      <c r="D129" s="13">
        <v>15915</v>
      </c>
      <c r="E129" s="13">
        <v>15915</v>
      </c>
      <c r="F129" s="13">
        <v>15915</v>
      </c>
      <c r="G129" s="13">
        <v>15915</v>
      </c>
      <c r="H129" s="2"/>
      <c r="I129" s="7"/>
      <c r="J129" s="7"/>
      <c r="K129" s="7"/>
      <c r="L129" s="2"/>
      <c r="M129" s="28"/>
      <c r="N129" s="9"/>
      <c r="O129" s="9"/>
      <c r="P129" s="9"/>
      <c r="Q129" s="9"/>
    </row>
    <row r="130" spans="1:17" ht="15" hidden="1" customHeight="1" thickBot="1" x14ac:dyDescent="0.3">
      <c r="A130" s="14"/>
      <c r="B130" s="191" t="s">
        <v>396</v>
      </c>
      <c r="C130" s="43"/>
      <c r="D130" s="43"/>
      <c r="E130" s="541"/>
      <c r="F130" s="43"/>
      <c r="G130" s="43"/>
      <c r="H130" s="2"/>
      <c r="I130" s="7"/>
      <c r="J130" s="7"/>
      <c r="K130" s="7"/>
      <c r="L130" s="2"/>
      <c r="M130" s="28"/>
      <c r="N130" s="9"/>
      <c r="O130" s="9"/>
      <c r="P130" s="9"/>
      <c r="Q130" s="9"/>
    </row>
    <row r="131" spans="1:17" ht="15" hidden="1" customHeight="1" thickBot="1" x14ac:dyDescent="0.3">
      <c r="A131" s="22"/>
      <c r="B131" s="188" t="s">
        <v>397</v>
      </c>
      <c r="C131" s="173"/>
      <c r="D131" s="173"/>
      <c r="E131" s="542"/>
      <c r="F131" s="173"/>
      <c r="G131" s="173"/>
      <c r="H131" s="2"/>
      <c r="I131" s="7"/>
      <c r="J131" s="7"/>
      <c r="K131" s="7"/>
      <c r="L131" s="2"/>
      <c r="M131" s="28"/>
      <c r="N131" s="9"/>
      <c r="O131" s="9"/>
      <c r="P131" s="9"/>
      <c r="Q131" s="9"/>
    </row>
    <row r="132" spans="1:17" ht="21.75" customHeight="1" thickBot="1" x14ac:dyDescent="0.4">
      <c r="A132" s="217"/>
      <c r="B132" s="218" t="s">
        <v>32</v>
      </c>
      <c r="C132" s="181">
        <f>SUM(C112+C127)</f>
        <v>1183918</v>
      </c>
      <c r="D132" s="181">
        <f>SUM(D112+D127)</f>
        <v>1245874</v>
      </c>
      <c r="E132" s="181">
        <f>SUM(E112+E127)</f>
        <v>1326488</v>
      </c>
      <c r="F132" s="181">
        <f>SUM(F112+F127)</f>
        <v>1385495</v>
      </c>
      <c r="G132" s="48">
        <f>SUM(G112+G127)</f>
        <v>1003092</v>
      </c>
      <c r="H132" s="7"/>
      <c r="I132" s="7"/>
      <c r="J132" s="7"/>
      <c r="K132" s="7"/>
      <c r="L132" s="2"/>
      <c r="M132" s="28"/>
      <c r="N132" s="9"/>
      <c r="O132" s="9"/>
      <c r="P132" s="9"/>
      <c r="Q132" s="9"/>
    </row>
    <row r="133" spans="1:17" ht="15.75" hidden="1" customHeight="1" x14ac:dyDescent="0.2">
      <c r="B133" s="90" t="s">
        <v>926</v>
      </c>
      <c r="C133" s="7">
        <f>SUM(C8-C113-C116-C119-C124-C122-C129+C125)</f>
        <v>-79670</v>
      </c>
      <c r="D133" s="7">
        <f>SUM(D8-D113-D116-D119-D124-D122-D129+D125)</f>
        <v>-42816</v>
      </c>
      <c r="E133" s="266" t="e">
        <f>SUM(E8-E113-E116-E119-E124-E122+'8.Önk.'!#REF!+'8.Önk.'!#REF!+'8.Önk.'!#REF!+'8.Önk.'!H71)</f>
        <v>#REF!</v>
      </c>
      <c r="F133" s="266" t="e">
        <f>SUM(F8-F113-F116-F119-F124-F122+'8.Önk.'!#REF!+'8.Önk.'!#REF!+'8.Önk.'!#REF!+'8.Önk.'!I71)</f>
        <v>#REF!</v>
      </c>
      <c r="G133" s="266" t="e">
        <f>SUM(G8-G113-G116-G119-G124-G122+'8.Önk.'!#REF!+'8.Önk.'!#REF!+'8.Önk.'!#REF!+'8.Önk.'!J71)</f>
        <v>#REF!</v>
      </c>
      <c r="H133" s="165"/>
      <c r="I133" s="165"/>
      <c r="J133" s="165"/>
      <c r="K133" s="165"/>
      <c r="L133" s="2"/>
      <c r="M133" s="28"/>
      <c r="N133" s="9"/>
      <c r="O133" s="9"/>
      <c r="P133" s="9"/>
      <c r="Q133" s="9"/>
    </row>
    <row r="134" spans="1:17" ht="15.75" hidden="1" customHeight="1" x14ac:dyDescent="0.2">
      <c r="B134" s="90" t="s">
        <v>1035</v>
      </c>
      <c r="C134" s="7">
        <f>SUM('8.Önk.'!M141)</f>
        <v>42467.24</v>
      </c>
      <c r="D134" s="7">
        <f>SUM('8.Önk.'!N141)</f>
        <v>0</v>
      </c>
      <c r="E134" s="266"/>
      <c r="F134" s="266"/>
      <c r="G134" s="266"/>
      <c r="H134" s="7"/>
      <c r="I134" s="7"/>
      <c r="J134" s="7"/>
      <c r="K134" s="7"/>
      <c r="L134" s="2"/>
      <c r="M134" s="28"/>
      <c r="N134" s="9"/>
      <c r="O134" s="9"/>
      <c r="P134" s="9"/>
      <c r="Q134" s="9"/>
    </row>
    <row r="135" spans="1:17" ht="15.75" hidden="1" customHeight="1" x14ac:dyDescent="0.2">
      <c r="B135" s="90" t="s">
        <v>1036</v>
      </c>
      <c r="C135" s="7">
        <f>SUM('8.Önk.'!AQ112+'8.Önk.'!AQ113)</f>
        <v>164448</v>
      </c>
      <c r="D135" s="7">
        <f>SUM('8.Önk.'!AR112+'8.Önk.'!AR114)</f>
        <v>0</v>
      </c>
      <c r="E135" s="266"/>
      <c r="F135" s="266"/>
      <c r="G135" s="266"/>
      <c r="H135" s="7"/>
      <c r="I135" s="7"/>
      <c r="J135" s="7"/>
      <c r="K135" s="7"/>
      <c r="L135" s="2"/>
      <c r="M135" s="28"/>
      <c r="N135" s="9"/>
      <c r="O135" s="9"/>
      <c r="P135" s="9"/>
      <c r="Q135" s="9"/>
    </row>
    <row r="136" spans="1:17" ht="15.75" hidden="1" customHeight="1" x14ac:dyDescent="0.2">
      <c r="B136" s="90" t="s">
        <v>1043</v>
      </c>
      <c r="C136" s="553">
        <f>SUM(C133+C134+C135)</f>
        <v>127245.23999999999</v>
      </c>
      <c r="D136" s="553">
        <f>SUM(D133+D134+D135)</f>
        <v>-42816</v>
      </c>
      <c r="E136" s="266"/>
      <c r="F136" s="266"/>
      <c r="G136" s="266"/>
      <c r="H136" s="7"/>
      <c r="I136" s="7"/>
      <c r="J136" s="7"/>
      <c r="K136" s="7"/>
      <c r="L136" s="2"/>
      <c r="M136" s="28"/>
      <c r="N136" s="9"/>
      <c r="O136" s="9"/>
      <c r="P136" s="9"/>
      <c r="Q136" s="9"/>
    </row>
    <row r="137" spans="1:17" ht="15.75" customHeight="1" x14ac:dyDescent="0.2">
      <c r="C137" s="7"/>
      <c r="D137" s="2"/>
      <c r="E137" s="90"/>
      <c r="F137" s="2"/>
      <c r="G137" s="2"/>
      <c r="H137" s="2"/>
      <c r="I137" s="7"/>
      <c r="J137" s="7"/>
      <c r="K137" s="7"/>
      <c r="L137" s="2"/>
      <c r="M137" s="28"/>
      <c r="N137" s="9"/>
      <c r="O137" s="9"/>
      <c r="P137" s="9"/>
      <c r="Q137" s="9"/>
    </row>
    <row r="138" spans="1:17" ht="15.75" customHeight="1" x14ac:dyDescent="0.2">
      <c r="C138" s="2"/>
      <c r="D138" s="2"/>
      <c r="E138" s="90"/>
      <c r="F138" s="2"/>
      <c r="G138" s="2"/>
      <c r="H138" s="2"/>
      <c r="I138" s="7"/>
      <c r="J138" s="7"/>
      <c r="K138" s="7"/>
      <c r="L138" s="2"/>
      <c r="M138" s="28"/>
      <c r="N138" s="9"/>
      <c r="O138" s="9"/>
      <c r="P138" s="9"/>
      <c r="Q138" s="9"/>
    </row>
    <row r="139" spans="1:17" ht="15.75" customHeight="1" x14ac:dyDescent="0.2">
      <c r="C139" s="2"/>
      <c r="D139" s="2"/>
      <c r="E139" s="90"/>
      <c r="F139" s="2"/>
      <c r="G139" s="2"/>
      <c r="H139" s="2"/>
      <c r="I139" s="7"/>
      <c r="J139" s="7"/>
      <c r="K139" s="7"/>
      <c r="L139" s="2"/>
      <c r="M139" s="28"/>
      <c r="N139" s="9"/>
      <c r="O139" s="9"/>
      <c r="P139" s="9"/>
      <c r="Q139" s="9"/>
    </row>
    <row r="140" spans="1:17" ht="15.75" customHeight="1" x14ac:dyDescent="0.2">
      <c r="C140" s="2"/>
      <c r="D140" s="2"/>
      <c r="E140" s="90"/>
      <c r="F140" s="2"/>
      <c r="G140" s="2"/>
      <c r="H140" s="2"/>
      <c r="I140" s="7"/>
      <c r="J140" s="7"/>
      <c r="K140" s="7"/>
      <c r="L140" s="2"/>
      <c r="M140" s="28"/>
      <c r="N140" s="9"/>
      <c r="O140" s="9"/>
      <c r="P140" s="9"/>
      <c r="Q140" s="9"/>
    </row>
    <row r="141" spans="1:17" ht="15.75" customHeight="1" x14ac:dyDescent="0.2">
      <c r="B141" s="2"/>
      <c r="C141" s="2"/>
      <c r="D141" s="2"/>
      <c r="E141" s="90"/>
      <c r="F141" s="2"/>
      <c r="G141" s="2"/>
      <c r="H141" s="2"/>
      <c r="I141" s="7"/>
      <c r="J141" s="7"/>
      <c r="K141" s="7"/>
      <c r="L141" s="2"/>
      <c r="M141" s="28"/>
      <c r="N141" s="9"/>
      <c r="O141" s="9"/>
      <c r="P141" s="9"/>
      <c r="Q141" s="9"/>
    </row>
    <row r="142" spans="1:17" ht="15.75" customHeight="1" x14ac:dyDescent="0.2">
      <c r="B142" s="2"/>
      <c r="C142" s="2"/>
      <c r="D142" s="2"/>
      <c r="E142" s="90"/>
      <c r="F142" s="2"/>
      <c r="G142" s="2"/>
      <c r="H142" s="2"/>
      <c r="I142" s="7"/>
      <c r="J142" s="7"/>
      <c r="K142" s="7"/>
      <c r="L142" s="2"/>
      <c r="M142" s="28"/>
      <c r="N142" s="9"/>
      <c r="O142" s="9"/>
      <c r="P142" s="9"/>
      <c r="Q142" s="9"/>
    </row>
    <row r="143" spans="1:17" ht="15.75" customHeight="1" x14ac:dyDescent="0.2">
      <c r="B143" s="2"/>
      <c r="C143" s="2"/>
      <c r="D143" s="2"/>
      <c r="E143" s="90"/>
      <c r="F143" s="2"/>
      <c r="G143" s="2"/>
      <c r="H143" s="2"/>
      <c r="I143" s="7"/>
      <c r="J143" s="7"/>
      <c r="K143" s="7"/>
      <c r="L143" s="2"/>
      <c r="M143" s="28"/>
      <c r="N143" s="9"/>
      <c r="O143" s="9"/>
      <c r="P143" s="9"/>
      <c r="Q143" s="9"/>
    </row>
    <row r="144" spans="1:17" ht="15.75" customHeight="1" x14ac:dyDescent="0.2">
      <c r="B144" s="2"/>
      <c r="C144" s="2"/>
      <c r="D144" s="2"/>
      <c r="E144" s="90"/>
      <c r="F144" s="2"/>
      <c r="G144" s="2"/>
      <c r="H144" s="2"/>
      <c r="I144" s="7"/>
      <c r="J144" s="7"/>
      <c r="K144" s="7"/>
      <c r="L144" s="2"/>
      <c r="M144" s="28"/>
      <c r="N144" s="9"/>
      <c r="O144" s="9"/>
      <c r="P144" s="9"/>
      <c r="Q144" s="9"/>
    </row>
    <row r="145" spans="2:17" ht="15.75" customHeight="1" x14ac:dyDescent="0.2">
      <c r="B145" s="2"/>
      <c r="C145" s="2"/>
      <c r="D145" s="2"/>
      <c r="E145" s="90"/>
      <c r="F145" s="2"/>
      <c r="G145" s="2"/>
      <c r="H145" s="2"/>
      <c r="I145" s="7"/>
      <c r="J145" s="7"/>
      <c r="K145" s="7"/>
      <c r="L145" s="2"/>
      <c r="M145" s="28"/>
      <c r="N145" s="9"/>
      <c r="O145" s="9"/>
      <c r="P145" s="9"/>
      <c r="Q145" s="9"/>
    </row>
    <row r="146" spans="2:17" ht="15.75" customHeight="1" x14ac:dyDescent="0.2">
      <c r="B146" s="2"/>
      <c r="C146" s="2"/>
      <c r="D146" s="2"/>
      <c r="E146" s="90"/>
      <c r="F146" s="2"/>
      <c r="G146" s="2"/>
      <c r="H146" s="2"/>
      <c r="I146" s="7"/>
      <c r="J146" s="7"/>
      <c r="K146" s="7"/>
      <c r="L146" s="2"/>
      <c r="M146" s="28"/>
      <c r="N146" s="9"/>
      <c r="O146" s="9"/>
      <c r="P146" s="9"/>
      <c r="Q146" s="9"/>
    </row>
    <row r="147" spans="2:17" ht="15.75" customHeight="1" x14ac:dyDescent="0.2">
      <c r="B147" s="2"/>
      <c r="C147" s="2"/>
      <c r="D147" s="2"/>
      <c r="E147" s="90"/>
      <c r="F147" s="2"/>
      <c r="G147" s="2"/>
      <c r="H147" s="2"/>
      <c r="I147" s="7"/>
      <c r="J147" s="7"/>
      <c r="K147" s="7"/>
      <c r="L147" s="2"/>
      <c r="M147" s="28"/>
      <c r="N147" s="9"/>
      <c r="O147" s="9"/>
      <c r="P147" s="9"/>
      <c r="Q147" s="9"/>
    </row>
    <row r="148" spans="2:17" ht="15.75" customHeight="1" x14ac:dyDescent="0.2">
      <c r="B148" s="2"/>
      <c r="C148" s="2"/>
      <c r="D148" s="2"/>
      <c r="E148" s="90"/>
      <c r="F148" s="2"/>
      <c r="G148" s="2"/>
      <c r="H148" s="2"/>
      <c r="I148" s="7"/>
      <c r="J148" s="7"/>
      <c r="K148" s="7"/>
      <c r="L148" s="2"/>
      <c r="M148" s="28"/>
      <c r="N148" s="9"/>
      <c r="O148" s="9"/>
      <c r="P148" s="9"/>
      <c r="Q148" s="9"/>
    </row>
    <row r="149" spans="2:17" ht="15.75" customHeight="1" x14ac:dyDescent="0.2">
      <c r="B149" s="2"/>
      <c r="C149" s="2"/>
      <c r="D149" s="2"/>
      <c r="E149" s="90"/>
      <c r="F149" s="2"/>
      <c r="G149" s="2"/>
      <c r="H149" s="2"/>
      <c r="I149" s="7"/>
      <c r="J149" s="7"/>
      <c r="K149" s="7"/>
      <c r="L149" s="2"/>
      <c r="M149" s="28"/>
      <c r="N149" s="9"/>
      <c r="O149" s="9"/>
      <c r="P149" s="9"/>
      <c r="Q149" s="9"/>
    </row>
    <row r="150" spans="2:17" ht="15.75" customHeight="1" x14ac:dyDescent="0.2">
      <c r="B150" s="2"/>
      <c r="C150" s="2"/>
      <c r="D150" s="2"/>
      <c r="E150" s="90"/>
      <c r="F150" s="2"/>
      <c r="G150" s="2"/>
      <c r="H150" s="2"/>
      <c r="I150" s="7"/>
      <c r="J150" s="7"/>
      <c r="K150" s="7"/>
      <c r="L150" s="2"/>
      <c r="M150" s="28"/>
      <c r="N150" s="9"/>
      <c r="O150" s="9"/>
      <c r="P150" s="9"/>
      <c r="Q150" s="9"/>
    </row>
    <row r="151" spans="2:17" ht="15.75" customHeight="1" x14ac:dyDescent="0.2">
      <c r="B151" s="2"/>
      <c r="C151" s="2"/>
      <c r="D151" s="2"/>
      <c r="E151" s="90"/>
      <c r="F151" s="2"/>
      <c r="G151" s="2"/>
      <c r="H151" s="2"/>
      <c r="I151" s="7"/>
      <c r="J151" s="7"/>
      <c r="K151" s="7"/>
      <c r="L151" s="2"/>
      <c r="M151" s="28"/>
      <c r="N151" s="9"/>
      <c r="O151" s="9"/>
      <c r="P151" s="9"/>
      <c r="Q151" s="9"/>
    </row>
    <row r="152" spans="2:17" ht="15.75" customHeight="1" x14ac:dyDescent="0.2">
      <c r="B152" s="2"/>
      <c r="C152" s="2"/>
      <c r="D152" s="2"/>
      <c r="E152" s="90"/>
      <c r="F152" s="2"/>
      <c r="G152" s="2"/>
      <c r="H152" s="2"/>
      <c r="I152" s="7"/>
      <c r="J152" s="7"/>
      <c r="K152" s="7"/>
      <c r="L152" s="2"/>
      <c r="M152" s="2"/>
    </row>
    <row r="153" spans="2:17" ht="15.75" customHeight="1" x14ac:dyDescent="0.2">
      <c r="B153" s="2"/>
      <c r="C153" s="2"/>
      <c r="D153" s="2"/>
      <c r="E153" s="90"/>
      <c r="F153" s="2"/>
      <c r="G153" s="2"/>
      <c r="H153" s="2"/>
      <c r="I153" s="7"/>
      <c r="J153" s="7"/>
      <c r="K153" s="7"/>
      <c r="L153" s="2"/>
      <c r="M153" s="2"/>
    </row>
    <row r="154" spans="2:17" ht="15.75" customHeight="1" x14ac:dyDescent="0.2">
      <c r="B154" s="2"/>
      <c r="C154" s="2"/>
      <c r="D154" s="2"/>
      <c r="E154" s="90"/>
      <c r="F154" s="2"/>
      <c r="G154" s="2"/>
      <c r="H154" s="2"/>
      <c r="I154" s="7"/>
      <c r="J154" s="7"/>
      <c r="K154" s="7"/>
      <c r="L154" s="2"/>
      <c r="M154" s="2"/>
    </row>
    <row r="155" spans="2:17" ht="15.75" customHeight="1" x14ac:dyDescent="0.2">
      <c r="B155" s="2"/>
      <c r="C155" s="2"/>
      <c r="D155" s="2"/>
      <c r="E155" s="90"/>
      <c r="F155" s="2"/>
      <c r="G155" s="2"/>
      <c r="H155" s="2"/>
      <c r="I155" s="7"/>
      <c r="J155" s="7"/>
      <c r="K155" s="7"/>
      <c r="L155" s="2"/>
      <c r="M155" s="2"/>
    </row>
    <row r="156" spans="2:17" ht="15.75" customHeight="1" x14ac:dyDescent="0.2">
      <c r="B156" s="2"/>
      <c r="C156" s="2"/>
      <c r="D156" s="2"/>
      <c r="E156" s="90"/>
      <c r="F156" s="2"/>
      <c r="G156" s="2"/>
      <c r="H156" s="2"/>
      <c r="I156" s="7"/>
      <c r="J156" s="7"/>
      <c r="K156" s="7"/>
      <c r="L156" s="2"/>
      <c r="M156" s="2"/>
    </row>
    <row r="157" spans="2:17" ht="15.75" customHeight="1" x14ac:dyDescent="0.2">
      <c r="B157" s="2"/>
      <c r="C157" s="2"/>
      <c r="D157" s="2"/>
      <c r="E157" s="90"/>
      <c r="F157" s="2"/>
      <c r="G157" s="2"/>
      <c r="H157" s="2"/>
      <c r="I157" s="7"/>
      <c r="J157" s="7"/>
      <c r="K157" s="7"/>
      <c r="L157" s="2"/>
      <c r="M157" s="2"/>
    </row>
    <row r="158" spans="2:17" ht="15.75" customHeight="1" x14ac:dyDescent="0.2">
      <c r="B158" s="2"/>
      <c r="C158" s="2"/>
      <c r="D158" s="2"/>
      <c r="E158" s="90"/>
      <c r="F158" s="2"/>
      <c r="G158" s="2"/>
      <c r="H158" s="2"/>
      <c r="I158" s="7"/>
      <c r="J158" s="7"/>
      <c r="K158" s="7"/>
      <c r="L158" s="2"/>
      <c r="M158" s="2"/>
    </row>
    <row r="159" spans="2:17" ht="15.75" customHeight="1" x14ac:dyDescent="0.2">
      <c r="B159" s="2"/>
      <c r="C159" s="2"/>
      <c r="D159" s="2"/>
      <c r="E159" s="90"/>
      <c r="F159" s="2"/>
      <c r="G159" s="2"/>
      <c r="H159" s="2"/>
      <c r="I159" s="7"/>
      <c r="J159" s="7"/>
      <c r="K159" s="7"/>
      <c r="L159" s="2"/>
      <c r="M159" s="2"/>
    </row>
    <row r="160" spans="2:17" ht="15.75" customHeight="1" x14ac:dyDescent="0.2">
      <c r="B160" s="2"/>
      <c r="C160" s="2"/>
      <c r="D160" s="2"/>
      <c r="E160" s="90"/>
      <c r="F160" s="2"/>
      <c r="G160" s="2"/>
      <c r="H160" s="2"/>
      <c r="I160" s="7"/>
      <c r="J160" s="7"/>
      <c r="K160" s="7"/>
      <c r="L160" s="2"/>
      <c r="M160" s="2"/>
    </row>
    <row r="161" spans="2:13" ht="15.75" customHeight="1" x14ac:dyDescent="0.2">
      <c r="B161" s="2"/>
      <c r="C161" s="2"/>
      <c r="D161" s="2"/>
      <c r="E161" s="90"/>
      <c r="F161" s="2"/>
      <c r="G161" s="2"/>
      <c r="H161" s="2"/>
      <c r="I161" s="7"/>
      <c r="J161" s="7"/>
      <c r="K161" s="7"/>
      <c r="L161" s="2"/>
      <c r="M161" s="2"/>
    </row>
    <row r="162" spans="2:13" ht="15.75" customHeight="1" x14ac:dyDescent="0.2">
      <c r="B162" s="2"/>
      <c r="C162" s="2"/>
      <c r="D162" s="2"/>
      <c r="E162" s="90"/>
      <c r="F162" s="2"/>
      <c r="G162" s="2"/>
      <c r="H162" s="2"/>
      <c r="I162" s="7"/>
      <c r="J162" s="7"/>
      <c r="K162" s="7"/>
      <c r="L162" s="2"/>
      <c r="M162" s="2"/>
    </row>
    <row r="163" spans="2:13" ht="15.75" customHeight="1" x14ac:dyDescent="0.2">
      <c r="B163" s="2"/>
      <c r="C163" s="2"/>
      <c r="D163" s="2"/>
      <c r="E163" s="90"/>
      <c r="F163" s="2"/>
      <c r="G163" s="2"/>
      <c r="H163" s="2"/>
      <c r="I163" s="7"/>
      <c r="J163" s="7"/>
      <c r="K163" s="7"/>
      <c r="L163" s="2"/>
      <c r="M163" s="2"/>
    </row>
    <row r="164" spans="2:13" ht="15.75" customHeight="1" x14ac:dyDescent="0.2">
      <c r="B164" s="2"/>
      <c r="C164" s="2"/>
      <c r="D164" s="2"/>
      <c r="E164" s="90"/>
      <c r="F164" s="2"/>
      <c r="G164" s="2"/>
      <c r="H164" s="2"/>
      <c r="I164" s="7"/>
      <c r="J164" s="7"/>
      <c r="K164" s="7"/>
      <c r="L164" s="2"/>
      <c r="M164" s="2"/>
    </row>
    <row r="165" spans="2:13" ht="15.75" customHeight="1" x14ac:dyDescent="0.2">
      <c r="B165" s="2"/>
      <c r="C165" s="2"/>
      <c r="D165" s="2"/>
      <c r="E165" s="90"/>
      <c r="F165" s="2"/>
      <c r="G165" s="2"/>
      <c r="H165" s="2"/>
      <c r="I165" s="7"/>
      <c r="J165" s="7"/>
      <c r="K165" s="7"/>
      <c r="L165" s="2"/>
      <c r="M165" s="2"/>
    </row>
    <row r="166" spans="2:13" ht="15.75" customHeight="1" x14ac:dyDescent="0.2">
      <c r="B166" s="2"/>
      <c r="C166" s="2"/>
      <c r="D166" s="2"/>
      <c r="E166" s="90"/>
      <c r="F166" s="2"/>
      <c r="G166" s="2"/>
      <c r="H166" s="2"/>
      <c r="I166" s="7"/>
      <c r="J166" s="7"/>
      <c r="K166" s="7"/>
      <c r="L166" s="2"/>
      <c r="M166" s="2"/>
    </row>
    <row r="167" spans="2:13" ht="15.75" customHeight="1" x14ac:dyDescent="0.2">
      <c r="B167" s="2"/>
      <c r="C167" s="2"/>
      <c r="D167" s="2"/>
      <c r="E167" s="90"/>
      <c r="F167" s="2"/>
      <c r="G167" s="2"/>
      <c r="H167" s="2"/>
      <c r="I167" s="7"/>
      <c r="J167" s="7"/>
      <c r="K167" s="7"/>
      <c r="L167" s="2"/>
      <c r="M167" s="2"/>
    </row>
    <row r="168" spans="2:13" ht="15.75" customHeight="1" x14ac:dyDescent="0.2">
      <c r="B168" s="2"/>
      <c r="C168" s="2"/>
      <c r="D168" s="2"/>
      <c r="E168" s="90"/>
      <c r="F168" s="2"/>
      <c r="G168" s="2"/>
      <c r="H168" s="2"/>
      <c r="I168" s="7"/>
      <c r="J168" s="7"/>
      <c r="K168" s="7"/>
      <c r="L168" s="2"/>
      <c r="M168" s="2"/>
    </row>
    <row r="169" spans="2:13" ht="15.75" customHeight="1" x14ac:dyDescent="0.2">
      <c r="B169" s="2"/>
      <c r="C169" s="2"/>
      <c r="D169" s="2"/>
      <c r="E169" s="90"/>
      <c r="F169" s="2"/>
      <c r="G169" s="2"/>
      <c r="H169" s="2"/>
      <c r="I169" s="7"/>
      <c r="J169" s="7"/>
      <c r="K169" s="7"/>
      <c r="L169" s="2"/>
      <c r="M169" s="2"/>
    </row>
    <row r="170" spans="2:13" ht="15.75" customHeight="1" x14ac:dyDescent="0.2">
      <c r="B170" s="2"/>
      <c r="C170" s="2"/>
      <c r="D170" s="2"/>
      <c r="E170" s="90"/>
      <c r="F170" s="2"/>
      <c r="G170" s="2"/>
      <c r="H170" s="2"/>
      <c r="I170" s="7"/>
      <c r="J170" s="7"/>
      <c r="K170" s="7"/>
      <c r="L170" s="2"/>
      <c r="M170" s="2"/>
    </row>
    <row r="171" spans="2:13" ht="15.75" customHeight="1" x14ac:dyDescent="0.2">
      <c r="B171" s="2"/>
      <c r="C171" s="2"/>
      <c r="D171" s="2"/>
      <c r="E171" s="90"/>
      <c r="F171" s="2"/>
      <c r="G171" s="2"/>
      <c r="H171" s="2"/>
      <c r="I171" s="7"/>
      <c r="J171" s="7"/>
      <c r="K171" s="7"/>
      <c r="L171" s="2"/>
      <c r="M171" s="2"/>
    </row>
    <row r="172" spans="2:13" ht="15.75" customHeight="1" x14ac:dyDescent="0.2">
      <c r="B172" s="2"/>
      <c r="C172" s="2"/>
      <c r="D172" s="2"/>
      <c r="E172" s="90"/>
      <c r="F172" s="2"/>
      <c r="G172" s="2"/>
      <c r="H172" s="2"/>
      <c r="I172" s="7"/>
      <c r="J172" s="7"/>
      <c r="K172" s="7"/>
      <c r="L172" s="2"/>
      <c r="M172" s="2"/>
    </row>
    <row r="173" spans="2:13" ht="15.75" customHeight="1" x14ac:dyDescent="0.2">
      <c r="B173" s="2"/>
      <c r="C173" s="2"/>
      <c r="D173" s="2"/>
      <c r="E173" s="90"/>
      <c r="F173" s="2"/>
      <c r="G173" s="2"/>
      <c r="H173" s="2"/>
      <c r="I173" s="7"/>
      <c r="J173" s="7"/>
      <c r="K173" s="7"/>
      <c r="L173" s="2"/>
      <c r="M173" s="2"/>
    </row>
    <row r="174" spans="2:13" ht="15.75" customHeight="1" x14ac:dyDescent="0.2">
      <c r="B174" s="2"/>
      <c r="C174" s="2"/>
      <c r="D174" s="2"/>
      <c r="E174" s="90"/>
      <c r="F174" s="2"/>
      <c r="G174" s="2"/>
      <c r="H174" s="2"/>
      <c r="I174" s="7"/>
      <c r="J174" s="7"/>
      <c r="K174" s="7"/>
      <c r="L174" s="2"/>
      <c r="M174" s="2"/>
    </row>
    <row r="175" spans="2:13" ht="15.75" customHeight="1" x14ac:dyDescent="0.2">
      <c r="B175" s="2"/>
      <c r="C175" s="2"/>
      <c r="D175" s="2"/>
      <c r="E175" s="90"/>
      <c r="F175" s="2"/>
      <c r="G175" s="2"/>
      <c r="H175" s="2"/>
      <c r="I175" s="7"/>
      <c r="J175" s="7"/>
      <c r="K175" s="7"/>
      <c r="L175" s="2"/>
      <c r="M175" s="2"/>
    </row>
    <row r="176" spans="2:13" ht="15.75" customHeight="1" x14ac:dyDescent="0.2">
      <c r="B176" s="2"/>
      <c r="C176" s="2"/>
      <c r="D176" s="2"/>
      <c r="E176" s="90"/>
      <c r="F176" s="2"/>
      <c r="G176" s="2"/>
      <c r="H176" s="2"/>
      <c r="I176" s="7"/>
      <c r="J176" s="7"/>
      <c r="K176" s="7"/>
      <c r="L176" s="2"/>
      <c r="M176" s="2"/>
    </row>
    <row r="177" spans="2:13" ht="15.75" customHeight="1" x14ac:dyDescent="0.2">
      <c r="B177" s="2"/>
      <c r="C177" s="2"/>
      <c r="D177" s="2"/>
      <c r="E177" s="90"/>
      <c r="F177" s="2"/>
      <c r="G177" s="2"/>
      <c r="H177" s="2"/>
      <c r="I177" s="7"/>
      <c r="J177" s="7"/>
      <c r="K177" s="7"/>
      <c r="L177" s="2"/>
      <c r="M177" s="2"/>
    </row>
    <row r="178" spans="2:13" ht="15.75" customHeight="1" x14ac:dyDescent="0.2">
      <c r="B178" s="2"/>
      <c r="C178" s="2"/>
      <c r="D178" s="2"/>
      <c r="E178" s="90"/>
      <c r="F178" s="2"/>
      <c r="G178" s="2"/>
      <c r="H178" s="2"/>
      <c r="I178" s="7"/>
      <c r="J178" s="7"/>
      <c r="K178" s="7"/>
      <c r="L178" s="2"/>
      <c r="M178" s="2"/>
    </row>
    <row r="179" spans="2:13" ht="15.75" customHeight="1" x14ac:dyDescent="0.2">
      <c r="B179" s="2"/>
      <c r="C179" s="2"/>
      <c r="D179" s="2"/>
      <c r="E179" s="90"/>
      <c r="F179" s="2"/>
      <c r="G179" s="2"/>
      <c r="H179" s="2"/>
      <c r="I179" s="7"/>
      <c r="J179" s="7"/>
      <c r="K179" s="7"/>
      <c r="L179" s="2"/>
      <c r="M179" s="2"/>
    </row>
    <row r="180" spans="2:13" ht="15.75" customHeight="1" x14ac:dyDescent="0.2">
      <c r="B180" s="2"/>
      <c r="C180" s="2"/>
      <c r="D180" s="2"/>
      <c r="E180" s="90"/>
      <c r="F180" s="2"/>
      <c r="G180" s="2"/>
      <c r="H180" s="2"/>
      <c r="I180" s="7"/>
      <c r="J180" s="7"/>
      <c r="K180" s="7"/>
      <c r="L180" s="2"/>
      <c r="M180" s="2"/>
    </row>
    <row r="181" spans="2:13" ht="15.75" customHeight="1" x14ac:dyDescent="0.2">
      <c r="B181" s="2"/>
      <c r="C181" s="2"/>
      <c r="D181" s="2"/>
      <c r="E181" s="90"/>
      <c r="F181" s="2"/>
      <c r="G181" s="2"/>
      <c r="H181" s="2"/>
      <c r="I181" s="7"/>
      <c r="J181" s="7"/>
      <c r="K181" s="7"/>
      <c r="L181" s="2"/>
      <c r="M181" s="2"/>
    </row>
    <row r="182" spans="2:13" ht="15.75" customHeight="1" x14ac:dyDescent="0.2">
      <c r="B182" s="2"/>
      <c r="C182" s="2"/>
      <c r="D182" s="2"/>
      <c r="E182" s="90"/>
      <c r="F182" s="2"/>
      <c r="G182" s="2"/>
      <c r="H182" s="2"/>
      <c r="I182" s="7"/>
      <c r="J182" s="7"/>
      <c r="K182" s="7"/>
      <c r="L182" s="2"/>
      <c r="M182" s="2"/>
    </row>
    <row r="183" spans="2:13" ht="15.75" customHeight="1" x14ac:dyDescent="0.2">
      <c r="B183" s="2"/>
      <c r="C183" s="2"/>
      <c r="D183" s="2"/>
      <c r="E183" s="90"/>
      <c r="F183" s="2"/>
      <c r="G183" s="2"/>
      <c r="H183" s="2"/>
      <c r="I183" s="7"/>
      <c r="J183" s="7"/>
      <c r="K183" s="7"/>
      <c r="L183" s="2"/>
      <c r="M183" s="2"/>
    </row>
    <row r="184" spans="2:13" ht="15.75" customHeight="1" x14ac:dyDescent="0.2">
      <c r="B184" s="2"/>
      <c r="C184" s="2"/>
      <c r="D184" s="2"/>
      <c r="E184" s="90"/>
      <c r="F184" s="2"/>
      <c r="G184" s="2"/>
      <c r="H184" s="2"/>
      <c r="I184" s="7"/>
      <c r="J184" s="7"/>
      <c r="K184" s="7"/>
      <c r="L184" s="2"/>
      <c r="M184" s="2"/>
    </row>
    <row r="185" spans="2:13" ht="15.75" customHeight="1" x14ac:dyDescent="0.2">
      <c r="B185" s="2"/>
      <c r="C185" s="2"/>
      <c r="D185" s="2"/>
      <c r="E185" s="90"/>
      <c r="F185" s="2"/>
      <c r="G185" s="2"/>
      <c r="H185" s="2"/>
      <c r="I185" s="7"/>
      <c r="J185" s="7"/>
      <c r="K185" s="7"/>
      <c r="L185" s="2"/>
      <c r="M185" s="2"/>
    </row>
    <row r="186" spans="2:13" ht="15.75" customHeight="1" x14ac:dyDescent="0.2">
      <c r="B186" s="2"/>
      <c r="C186" s="2"/>
      <c r="D186" s="2"/>
      <c r="E186" s="90"/>
      <c r="F186" s="2"/>
      <c r="G186" s="2"/>
      <c r="H186" s="2"/>
      <c r="I186" s="7"/>
      <c r="J186" s="7"/>
      <c r="K186" s="7"/>
      <c r="L186" s="2"/>
      <c r="M186" s="2"/>
    </row>
    <row r="187" spans="2:13" ht="15.75" customHeight="1" x14ac:dyDescent="0.2">
      <c r="B187" s="2"/>
      <c r="C187" s="2"/>
      <c r="D187" s="2"/>
      <c r="E187" s="90"/>
      <c r="F187" s="2"/>
      <c r="G187" s="2"/>
      <c r="H187" s="2"/>
      <c r="I187" s="7"/>
      <c r="J187" s="7"/>
      <c r="K187" s="7"/>
      <c r="L187" s="2"/>
      <c r="M187" s="2"/>
    </row>
    <row r="188" spans="2:13" ht="15.75" customHeight="1" x14ac:dyDescent="0.2">
      <c r="B188" s="2"/>
      <c r="C188" s="2"/>
      <c r="D188" s="2"/>
      <c r="E188" s="90"/>
      <c r="F188" s="2"/>
      <c r="G188" s="2"/>
      <c r="H188" s="2"/>
      <c r="I188" s="7"/>
      <c r="J188" s="7"/>
      <c r="K188" s="7"/>
      <c r="L188" s="2"/>
      <c r="M188" s="2"/>
    </row>
    <row r="189" spans="2:13" ht="15.75" customHeight="1" x14ac:dyDescent="0.2">
      <c r="B189" s="2"/>
      <c r="C189" s="2"/>
      <c r="D189" s="2"/>
      <c r="E189" s="90"/>
      <c r="F189" s="2"/>
      <c r="G189" s="2"/>
      <c r="H189" s="2"/>
      <c r="I189" s="7"/>
      <c r="J189" s="7"/>
      <c r="K189" s="7"/>
      <c r="L189" s="2"/>
      <c r="M189" s="2"/>
    </row>
    <row r="190" spans="2:13" ht="15.75" customHeight="1" x14ac:dyDescent="0.2">
      <c r="B190" s="2"/>
      <c r="C190" s="2"/>
      <c r="D190" s="2"/>
      <c r="E190" s="90"/>
      <c r="F190" s="2"/>
      <c r="G190" s="2"/>
      <c r="H190" s="2"/>
      <c r="I190" s="7"/>
      <c r="J190" s="7"/>
      <c r="K190" s="7"/>
      <c r="L190" s="2"/>
      <c r="M190" s="2"/>
    </row>
    <row r="191" spans="2:13" ht="15.75" customHeight="1" x14ac:dyDescent="0.2">
      <c r="B191" s="2"/>
      <c r="C191" s="2"/>
      <c r="D191" s="2"/>
      <c r="E191" s="90"/>
      <c r="F191" s="2"/>
      <c r="G191" s="2"/>
      <c r="H191" s="2"/>
      <c r="I191" s="7"/>
      <c r="J191" s="7"/>
      <c r="K191" s="7"/>
      <c r="L191" s="2"/>
      <c r="M191" s="2"/>
    </row>
    <row r="192" spans="2:13" ht="15.75" customHeight="1" x14ac:dyDescent="0.2">
      <c r="B192" s="2"/>
      <c r="C192" s="2"/>
      <c r="D192" s="2"/>
      <c r="E192" s="90"/>
      <c r="F192" s="2"/>
      <c r="G192" s="2"/>
      <c r="H192" s="2"/>
      <c r="I192" s="7"/>
      <c r="J192" s="7"/>
      <c r="K192" s="7"/>
      <c r="L192" s="2"/>
      <c r="M192" s="2"/>
    </row>
    <row r="193" spans="2:13" ht="15.75" customHeight="1" x14ac:dyDescent="0.2">
      <c r="B193" s="2"/>
      <c r="C193" s="2"/>
      <c r="D193" s="2"/>
      <c r="E193" s="90"/>
      <c r="F193" s="2"/>
      <c r="G193" s="2"/>
      <c r="H193" s="2"/>
      <c r="I193" s="7"/>
      <c r="J193" s="7"/>
      <c r="K193" s="7"/>
      <c r="L193" s="2"/>
      <c r="M193" s="2"/>
    </row>
    <row r="194" spans="2:13" ht="15.75" customHeight="1" x14ac:dyDescent="0.2">
      <c r="B194" s="2"/>
      <c r="C194" s="2"/>
      <c r="D194" s="2"/>
      <c r="E194" s="90"/>
      <c r="F194" s="2"/>
      <c r="G194" s="2"/>
      <c r="H194" s="2"/>
      <c r="I194" s="7"/>
      <c r="J194" s="7"/>
      <c r="K194" s="7"/>
      <c r="L194" s="2"/>
      <c r="M194" s="2"/>
    </row>
    <row r="195" spans="2:13" ht="15.75" customHeight="1" x14ac:dyDescent="0.2">
      <c r="B195" s="2"/>
      <c r="C195" s="2"/>
      <c r="D195" s="2"/>
      <c r="E195" s="90"/>
      <c r="F195" s="2"/>
      <c r="G195" s="2"/>
      <c r="H195" s="2"/>
      <c r="I195" s="7"/>
      <c r="J195" s="7"/>
      <c r="K195" s="7"/>
      <c r="L195" s="2"/>
      <c r="M195" s="2"/>
    </row>
    <row r="196" spans="2:13" ht="15.75" customHeight="1" x14ac:dyDescent="0.2">
      <c r="B196" s="2"/>
      <c r="C196" s="2"/>
      <c r="D196" s="2"/>
      <c r="E196" s="90"/>
      <c r="F196" s="2"/>
      <c r="G196" s="2"/>
      <c r="H196" s="2"/>
      <c r="I196" s="7"/>
      <c r="J196" s="7"/>
      <c r="K196" s="7"/>
      <c r="L196" s="2"/>
      <c r="M196" s="2"/>
    </row>
    <row r="197" spans="2:13" ht="15.75" customHeight="1" x14ac:dyDescent="0.2">
      <c r="B197" s="2"/>
      <c r="C197" s="2"/>
      <c r="D197" s="2"/>
      <c r="E197" s="90"/>
      <c r="F197" s="2"/>
      <c r="G197" s="2"/>
      <c r="H197" s="2"/>
      <c r="I197" s="7"/>
      <c r="J197" s="7"/>
      <c r="K197" s="7"/>
      <c r="L197" s="2"/>
      <c r="M197" s="2"/>
    </row>
    <row r="198" spans="2:13" ht="15.75" customHeight="1" x14ac:dyDescent="0.2">
      <c r="B198" s="2"/>
      <c r="C198" s="2"/>
      <c r="D198" s="2"/>
      <c r="E198" s="90"/>
      <c r="F198" s="2"/>
      <c r="G198" s="2"/>
      <c r="H198" s="2"/>
      <c r="I198" s="7"/>
      <c r="J198" s="7"/>
      <c r="K198" s="7"/>
      <c r="L198" s="2"/>
      <c r="M198" s="2"/>
    </row>
    <row r="199" spans="2:13" ht="15.75" customHeight="1" x14ac:dyDescent="0.2">
      <c r="B199" s="2"/>
      <c r="C199" s="2"/>
      <c r="D199" s="2"/>
      <c r="E199" s="90"/>
      <c r="F199" s="2"/>
      <c r="G199" s="2"/>
      <c r="H199" s="2"/>
      <c r="I199" s="7"/>
      <c r="J199" s="7"/>
      <c r="K199" s="7"/>
      <c r="L199" s="2"/>
      <c r="M199" s="2"/>
    </row>
    <row r="200" spans="2:13" ht="15.75" customHeight="1" x14ac:dyDescent="0.2">
      <c r="B200" s="2"/>
      <c r="C200" s="2"/>
      <c r="D200" s="2"/>
      <c r="E200" s="90"/>
      <c r="F200" s="2"/>
      <c r="G200" s="2"/>
      <c r="H200" s="2"/>
      <c r="I200" s="7"/>
      <c r="J200" s="7"/>
      <c r="K200" s="7"/>
      <c r="L200" s="2"/>
      <c r="M200" s="2"/>
    </row>
    <row r="201" spans="2:13" ht="15.75" customHeight="1" x14ac:dyDescent="0.2">
      <c r="B201" s="2"/>
      <c r="C201" s="2"/>
      <c r="D201" s="2"/>
      <c r="E201" s="90"/>
      <c r="F201" s="2"/>
      <c r="G201" s="2"/>
      <c r="H201" s="2"/>
      <c r="I201" s="7"/>
      <c r="J201" s="7"/>
      <c r="K201" s="7"/>
      <c r="L201" s="2"/>
      <c r="M201" s="2"/>
    </row>
    <row r="202" spans="2:13" ht="15.75" customHeight="1" x14ac:dyDescent="0.2">
      <c r="B202" s="2"/>
      <c r="C202" s="2"/>
      <c r="D202" s="2"/>
      <c r="E202" s="90"/>
      <c r="F202" s="2"/>
      <c r="G202" s="2"/>
      <c r="H202" s="2"/>
      <c r="I202" s="7"/>
      <c r="J202" s="7"/>
      <c r="K202" s="7"/>
      <c r="L202" s="2"/>
      <c r="M202" s="2"/>
    </row>
    <row r="203" spans="2:13" ht="15.75" customHeight="1" x14ac:dyDescent="0.2">
      <c r="B203" s="2"/>
      <c r="C203" s="2"/>
      <c r="D203" s="2"/>
      <c r="E203" s="90"/>
      <c r="F203" s="2"/>
      <c r="G203" s="2"/>
      <c r="H203" s="2"/>
      <c r="I203" s="7"/>
      <c r="J203" s="7"/>
      <c r="K203" s="7"/>
      <c r="L203" s="2"/>
      <c r="M203" s="2"/>
    </row>
    <row r="204" spans="2:13" ht="15.75" customHeight="1" x14ac:dyDescent="0.2">
      <c r="B204" s="2"/>
      <c r="C204" s="2"/>
      <c r="D204" s="2"/>
      <c r="E204" s="90"/>
      <c r="F204" s="2"/>
      <c r="G204" s="2"/>
      <c r="H204" s="2"/>
      <c r="I204" s="7"/>
      <c r="J204" s="7"/>
      <c r="K204" s="7"/>
      <c r="L204" s="2"/>
      <c r="M204" s="2"/>
    </row>
    <row r="205" spans="2:13" ht="15.75" customHeight="1" x14ac:dyDescent="0.2">
      <c r="B205" s="2"/>
      <c r="C205" s="2"/>
      <c r="D205" s="2"/>
      <c r="E205" s="90"/>
      <c r="F205" s="2"/>
      <c r="G205" s="2"/>
      <c r="H205" s="2"/>
      <c r="I205" s="7"/>
      <c r="J205" s="7"/>
      <c r="K205" s="7"/>
      <c r="L205" s="2"/>
      <c r="M205" s="2"/>
    </row>
    <row r="206" spans="2:13" ht="15.75" customHeight="1" x14ac:dyDescent="0.2">
      <c r="B206" s="2"/>
      <c r="C206" s="2"/>
      <c r="D206" s="2"/>
      <c r="E206" s="90"/>
      <c r="F206" s="2"/>
      <c r="G206" s="2"/>
      <c r="H206" s="2"/>
      <c r="I206" s="7"/>
      <c r="J206" s="7"/>
      <c r="K206" s="7"/>
      <c r="L206" s="2"/>
      <c r="M206" s="2"/>
    </row>
    <row r="207" spans="2:13" ht="15.75" customHeight="1" x14ac:dyDescent="0.2">
      <c r="B207" s="2"/>
      <c r="C207" s="2"/>
      <c r="D207" s="2"/>
      <c r="E207" s="90"/>
      <c r="F207" s="2"/>
      <c r="G207" s="2"/>
      <c r="H207" s="2"/>
      <c r="I207" s="7"/>
      <c r="J207" s="7"/>
      <c r="K207" s="7"/>
      <c r="L207" s="2"/>
      <c r="M207" s="2"/>
    </row>
    <row r="208" spans="2:13" ht="15.75" customHeight="1" x14ac:dyDescent="0.2">
      <c r="B208" s="2"/>
      <c r="C208" s="2"/>
      <c r="D208" s="2"/>
      <c r="E208" s="90"/>
      <c r="F208" s="2"/>
      <c r="G208" s="2"/>
      <c r="H208" s="2"/>
      <c r="I208" s="7"/>
      <c r="J208" s="7"/>
      <c r="K208" s="7"/>
      <c r="L208" s="2"/>
      <c r="M208" s="2"/>
    </row>
    <row r="209" spans="2:13" ht="15.75" customHeight="1" x14ac:dyDescent="0.2">
      <c r="B209" s="2"/>
      <c r="C209" s="2"/>
      <c r="D209" s="2"/>
      <c r="E209" s="90"/>
      <c r="F209" s="2"/>
      <c r="G209" s="2"/>
      <c r="H209" s="2"/>
      <c r="I209" s="7"/>
      <c r="J209" s="7"/>
      <c r="K209" s="7"/>
      <c r="L209" s="2"/>
      <c r="M209" s="2"/>
    </row>
    <row r="210" spans="2:13" ht="15.75" customHeight="1" x14ac:dyDescent="0.2">
      <c r="B210" s="2"/>
      <c r="C210" s="2"/>
      <c r="D210" s="2"/>
      <c r="E210" s="90"/>
      <c r="F210" s="2"/>
      <c r="G210" s="2"/>
      <c r="H210" s="2"/>
      <c r="I210" s="7"/>
      <c r="J210" s="7"/>
      <c r="K210" s="7"/>
      <c r="L210" s="2"/>
      <c r="M210" s="2"/>
    </row>
    <row r="211" spans="2:13" ht="15.75" customHeight="1" x14ac:dyDescent="0.2">
      <c r="B211" s="2"/>
      <c r="C211" s="2"/>
      <c r="D211" s="2"/>
      <c r="E211" s="90"/>
      <c r="F211" s="2"/>
      <c r="G211" s="2"/>
      <c r="H211" s="2"/>
      <c r="I211" s="7"/>
      <c r="J211" s="7"/>
      <c r="K211" s="7"/>
      <c r="L211" s="2"/>
      <c r="M211" s="2"/>
    </row>
    <row r="212" spans="2:13" ht="15.75" customHeight="1" x14ac:dyDescent="0.2">
      <c r="B212" s="2"/>
      <c r="C212" s="2"/>
      <c r="D212" s="2"/>
      <c r="E212" s="90"/>
      <c r="F212" s="2"/>
      <c r="G212" s="2"/>
      <c r="H212" s="2"/>
      <c r="I212" s="7"/>
      <c r="J212" s="7"/>
      <c r="K212" s="7"/>
      <c r="L212" s="2"/>
      <c r="M212" s="2"/>
    </row>
    <row r="213" spans="2:13" ht="15.75" customHeight="1" x14ac:dyDescent="0.2">
      <c r="B213" s="2"/>
      <c r="C213" s="2"/>
      <c r="D213" s="2"/>
      <c r="E213" s="90"/>
      <c r="F213" s="2"/>
      <c r="G213" s="2"/>
      <c r="H213" s="2"/>
      <c r="I213" s="7"/>
      <c r="J213" s="7"/>
      <c r="K213" s="7"/>
      <c r="L213" s="2"/>
      <c r="M213" s="2"/>
    </row>
    <row r="214" spans="2:13" ht="15.75" customHeight="1" x14ac:dyDescent="0.2">
      <c r="B214" s="2"/>
      <c r="C214" s="2"/>
      <c r="D214" s="2"/>
      <c r="E214" s="90"/>
      <c r="F214" s="2"/>
      <c r="G214" s="2"/>
      <c r="H214" s="2"/>
      <c r="I214" s="7"/>
      <c r="J214" s="7"/>
      <c r="K214" s="7"/>
      <c r="L214" s="2"/>
      <c r="M214" s="2"/>
    </row>
    <row r="215" spans="2:13" ht="15.75" customHeight="1" x14ac:dyDescent="0.2">
      <c r="B215" s="2"/>
      <c r="C215" s="2"/>
      <c r="D215" s="2"/>
      <c r="E215" s="90"/>
      <c r="F215" s="2"/>
      <c r="G215" s="2"/>
      <c r="H215" s="2"/>
      <c r="I215" s="7"/>
      <c r="J215" s="7"/>
      <c r="K215" s="7"/>
      <c r="L215" s="2"/>
      <c r="M215" s="2"/>
    </row>
    <row r="216" spans="2:13" ht="15.75" customHeight="1" x14ac:dyDescent="0.2">
      <c r="B216" s="2"/>
      <c r="C216" s="2"/>
      <c r="D216" s="2"/>
      <c r="E216" s="90"/>
      <c r="F216" s="2"/>
      <c r="G216" s="2"/>
      <c r="H216" s="2"/>
      <c r="I216" s="7"/>
      <c r="J216" s="7"/>
      <c r="K216" s="7"/>
      <c r="L216" s="2"/>
      <c r="M216" s="2"/>
    </row>
    <row r="217" spans="2:13" ht="15.75" customHeight="1" x14ac:dyDescent="0.2">
      <c r="B217" s="2"/>
      <c r="C217" s="2"/>
      <c r="D217" s="2"/>
      <c r="E217" s="90"/>
      <c r="F217" s="2"/>
      <c r="G217" s="2"/>
      <c r="H217" s="2"/>
      <c r="I217" s="7"/>
      <c r="J217" s="7"/>
      <c r="K217" s="7"/>
      <c r="L217" s="2"/>
      <c r="M217" s="2"/>
    </row>
    <row r="218" spans="2:13" ht="15.75" customHeight="1" x14ac:dyDescent="0.2">
      <c r="B218" s="2"/>
      <c r="C218" s="2"/>
      <c r="D218" s="2"/>
      <c r="E218" s="90"/>
      <c r="F218" s="2"/>
      <c r="G218" s="2"/>
      <c r="H218" s="2"/>
      <c r="I218" s="7"/>
      <c r="J218" s="7"/>
      <c r="K218" s="7"/>
      <c r="L218" s="2"/>
      <c r="M218" s="2"/>
    </row>
    <row r="219" spans="2:13" ht="15.75" customHeight="1" x14ac:dyDescent="0.2">
      <c r="B219" s="2"/>
      <c r="C219" s="2"/>
      <c r="D219" s="2"/>
      <c r="E219" s="90"/>
      <c r="F219" s="2"/>
      <c r="G219" s="2"/>
      <c r="H219" s="2"/>
      <c r="I219" s="7"/>
      <c r="J219" s="7"/>
      <c r="K219" s="7"/>
      <c r="L219" s="2"/>
      <c r="M219" s="2"/>
    </row>
    <row r="220" spans="2:13" ht="15.75" customHeight="1" x14ac:dyDescent="0.2">
      <c r="B220" s="2"/>
      <c r="C220" s="29"/>
      <c r="D220" s="29"/>
      <c r="E220" s="266"/>
      <c r="F220" s="29"/>
      <c r="G220" s="29"/>
      <c r="H220" s="2"/>
      <c r="I220" s="7"/>
      <c r="J220" s="7"/>
      <c r="K220" s="7"/>
      <c r="L220" s="2"/>
      <c r="M220" s="2"/>
    </row>
    <row r="221" spans="2:13" ht="15.75" customHeight="1" x14ac:dyDescent="0.2">
      <c r="B221" s="2"/>
      <c r="C221" s="29"/>
      <c r="D221" s="29"/>
      <c r="E221" s="266"/>
      <c r="F221" s="29"/>
      <c r="G221" s="29"/>
      <c r="H221" s="2"/>
      <c r="I221" s="7"/>
      <c r="J221" s="7"/>
      <c r="K221" s="7"/>
      <c r="L221" s="2"/>
      <c r="M221" s="2"/>
    </row>
    <row r="222" spans="2:13" ht="15.75" customHeight="1" x14ac:dyDescent="0.2">
      <c r="B222" s="2"/>
      <c r="C222" s="29"/>
      <c r="D222" s="29"/>
      <c r="E222" s="266"/>
      <c r="F222" s="29"/>
      <c r="G222" s="29"/>
      <c r="H222" s="2"/>
      <c r="I222" s="7"/>
      <c r="J222" s="7"/>
      <c r="K222" s="7"/>
      <c r="L222" s="2"/>
      <c r="M222" s="2"/>
    </row>
    <row r="223" spans="2:13" ht="15.75" customHeight="1" x14ac:dyDescent="0.2">
      <c r="B223" s="2"/>
      <c r="C223" s="29"/>
      <c r="D223" s="29"/>
      <c r="E223" s="266"/>
      <c r="F223" s="29"/>
      <c r="G223" s="29"/>
      <c r="H223" s="2"/>
      <c r="I223" s="7"/>
      <c r="J223" s="7"/>
      <c r="K223" s="7"/>
      <c r="L223" s="2"/>
      <c r="M223" s="2"/>
    </row>
    <row r="224" spans="2:13" ht="15.75" customHeight="1" x14ac:dyDescent="0.2">
      <c r="B224" s="2"/>
      <c r="C224" s="29"/>
      <c r="D224" s="29"/>
      <c r="E224" s="266"/>
      <c r="F224" s="29"/>
      <c r="G224" s="29"/>
      <c r="H224" s="2"/>
      <c r="I224" s="7"/>
      <c r="J224" s="7"/>
      <c r="K224" s="7"/>
      <c r="L224" s="2"/>
      <c r="M224" s="2"/>
    </row>
    <row r="225" spans="2:13" ht="15.75" customHeight="1" x14ac:dyDescent="0.2">
      <c r="B225" s="2"/>
      <c r="C225" s="29"/>
      <c r="D225" s="29"/>
      <c r="E225" s="266"/>
      <c r="F225" s="29"/>
      <c r="G225" s="29"/>
      <c r="H225" s="2"/>
      <c r="I225" s="7"/>
      <c r="J225" s="7"/>
      <c r="K225" s="7"/>
      <c r="L225" s="2"/>
      <c r="M225" s="2"/>
    </row>
    <row r="226" spans="2:13" ht="15.75" customHeight="1" x14ac:dyDescent="0.2">
      <c r="B226" s="2"/>
      <c r="C226" s="29"/>
      <c r="D226" s="29"/>
      <c r="E226" s="266"/>
      <c r="F226" s="29"/>
      <c r="G226" s="29"/>
      <c r="H226" s="2"/>
      <c r="I226" s="7"/>
      <c r="J226" s="7"/>
      <c r="K226" s="7"/>
      <c r="L226" s="2"/>
      <c r="M226" s="2"/>
    </row>
    <row r="227" spans="2:13" ht="15.75" customHeight="1" x14ac:dyDescent="0.2">
      <c r="B227" s="2"/>
      <c r="C227" s="29"/>
      <c r="D227" s="29"/>
      <c r="E227" s="266"/>
      <c r="F227" s="29"/>
      <c r="G227" s="29"/>
      <c r="H227" s="2"/>
      <c r="I227" s="7"/>
      <c r="J227" s="7"/>
      <c r="K227" s="7"/>
      <c r="L227" s="2"/>
      <c r="M227" s="2"/>
    </row>
    <row r="228" spans="2:13" ht="15.75" customHeight="1" x14ac:dyDescent="0.2">
      <c r="B228" s="2"/>
      <c r="C228" s="29"/>
      <c r="D228" s="29"/>
      <c r="E228" s="266"/>
      <c r="F228" s="29"/>
      <c r="G228" s="29"/>
      <c r="H228" s="2"/>
      <c r="I228" s="7"/>
      <c r="J228" s="7"/>
      <c r="K228" s="7"/>
      <c r="L228" s="2"/>
      <c r="M228" s="2"/>
    </row>
    <row r="229" spans="2:13" ht="15.75" customHeight="1" x14ac:dyDescent="0.2">
      <c r="B229" s="2"/>
      <c r="C229" s="29"/>
      <c r="D229" s="29"/>
      <c r="E229" s="266"/>
      <c r="F229" s="29"/>
      <c r="G229" s="29"/>
      <c r="H229" s="2"/>
      <c r="I229" s="7"/>
      <c r="J229" s="7"/>
      <c r="K229" s="7"/>
      <c r="L229" s="2"/>
      <c r="M229" s="2"/>
    </row>
    <row r="230" spans="2:13" ht="15.75" customHeight="1" x14ac:dyDescent="0.2">
      <c r="B230" s="2"/>
      <c r="C230" s="29"/>
      <c r="D230" s="29"/>
      <c r="E230" s="266"/>
      <c r="F230" s="29"/>
      <c r="G230" s="29"/>
      <c r="H230" s="2"/>
      <c r="I230" s="7"/>
      <c r="J230" s="7"/>
      <c r="K230" s="7"/>
      <c r="L230" s="2"/>
      <c r="M230" s="2"/>
    </row>
    <row r="231" spans="2:13" ht="15.75" customHeight="1" x14ac:dyDescent="0.2">
      <c r="B231" s="2"/>
      <c r="C231" s="29"/>
      <c r="D231" s="29"/>
      <c r="E231" s="266"/>
      <c r="F231" s="29"/>
      <c r="G231" s="29"/>
      <c r="H231" s="2"/>
      <c r="I231" s="7"/>
      <c r="J231" s="7"/>
      <c r="K231" s="7"/>
      <c r="L231" s="2"/>
      <c r="M231" s="2"/>
    </row>
    <row r="232" spans="2:13" ht="15.75" customHeight="1" x14ac:dyDescent="0.2">
      <c r="B232" s="2"/>
      <c r="C232" s="29"/>
      <c r="D232" s="29"/>
      <c r="E232" s="266"/>
      <c r="F232" s="29"/>
      <c r="G232" s="29"/>
      <c r="H232" s="2"/>
      <c r="I232" s="7"/>
      <c r="J232" s="7"/>
      <c r="K232" s="7"/>
      <c r="L232" s="2"/>
      <c r="M232" s="2"/>
    </row>
    <row r="233" spans="2:13" ht="15.75" customHeight="1" x14ac:dyDescent="0.2">
      <c r="B233" s="2"/>
      <c r="C233" s="29"/>
      <c r="D233" s="29"/>
      <c r="E233" s="266"/>
      <c r="F233" s="29"/>
      <c r="G233" s="29"/>
      <c r="H233" s="2"/>
      <c r="I233" s="7"/>
      <c r="J233" s="7"/>
      <c r="K233" s="7"/>
      <c r="L233" s="2"/>
      <c r="M233" s="2"/>
    </row>
    <row r="234" spans="2:13" ht="15.75" customHeight="1" x14ac:dyDescent="0.2">
      <c r="B234" s="2"/>
      <c r="C234" s="29"/>
      <c r="D234" s="29"/>
      <c r="E234" s="266"/>
      <c r="F234" s="29"/>
      <c r="G234" s="29"/>
      <c r="H234" s="2"/>
      <c r="I234" s="7"/>
      <c r="J234" s="7"/>
      <c r="K234" s="7"/>
      <c r="L234" s="2"/>
      <c r="M234" s="2"/>
    </row>
    <row r="235" spans="2:13" ht="15.75" customHeight="1" x14ac:dyDescent="0.2">
      <c r="B235" s="2"/>
      <c r="C235" s="29"/>
      <c r="D235" s="29"/>
      <c r="E235" s="266"/>
      <c r="F235" s="29"/>
      <c r="G235" s="29"/>
      <c r="H235" s="2"/>
      <c r="I235" s="7"/>
      <c r="J235" s="7"/>
      <c r="K235" s="7"/>
      <c r="L235" s="2"/>
      <c r="M235" s="2"/>
    </row>
    <row r="236" spans="2:13" ht="15.75" customHeight="1" x14ac:dyDescent="0.2">
      <c r="B236" s="2"/>
      <c r="C236" s="29"/>
      <c r="D236" s="29"/>
      <c r="E236" s="266"/>
      <c r="F236" s="29"/>
      <c r="G236" s="29"/>
      <c r="H236" s="2"/>
      <c r="I236" s="7"/>
      <c r="J236" s="7"/>
      <c r="K236" s="7"/>
      <c r="L236" s="2"/>
      <c r="M236" s="2"/>
    </row>
    <row r="237" spans="2:13" ht="15.75" customHeight="1" x14ac:dyDescent="0.2">
      <c r="B237" s="2"/>
      <c r="C237" s="29"/>
      <c r="D237" s="29"/>
      <c r="E237" s="266"/>
      <c r="F237" s="29"/>
      <c r="G237" s="29"/>
      <c r="H237" s="2"/>
      <c r="I237" s="7"/>
      <c r="J237" s="7"/>
      <c r="K237" s="7"/>
      <c r="L237" s="2"/>
      <c r="M237" s="2"/>
    </row>
    <row r="238" spans="2:13" ht="15.75" customHeight="1" x14ac:dyDescent="0.2">
      <c r="B238" s="2"/>
      <c r="C238" s="29"/>
      <c r="D238" s="29"/>
      <c r="E238" s="266"/>
      <c r="F238" s="29"/>
      <c r="G238" s="29"/>
      <c r="H238" s="2"/>
      <c r="I238" s="7"/>
      <c r="J238" s="7"/>
      <c r="K238" s="7"/>
      <c r="L238" s="2"/>
      <c r="M238" s="2"/>
    </row>
    <row r="239" spans="2:13" ht="15.75" customHeight="1" x14ac:dyDescent="0.2">
      <c r="B239" s="2"/>
      <c r="C239" s="29"/>
      <c r="D239" s="29"/>
      <c r="E239" s="266"/>
      <c r="F239" s="29"/>
      <c r="G239" s="29"/>
      <c r="H239" s="2"/>
      <c r="I239" s="7"/>
      <c r="J239" s="7"/>
      <c r="K239" s="7"/>
      <c r="L239" s="2"/>
      <c r="M239" s="2"/>
    </row>
    <row r="240" spans="2:13" ht="15.75" customHeight="1" x14ac:dyDescent="0.2">
      <c r="B240" s="2"/>
      <c r="C240" s="29"/>
      <c r="D240" s="29"/>
      <c r="E240" s="266"/>
      <c r="F240" s="29"/>
      <c r="G240" s="29"/>
      <c r="H240" s="2"/>
      <c r="I240" s="7"/>
      <c r="J240" s="7"/>
      <c r="K240" s="7"/>
      <c r="L240" s="2"/>
      <c r="M240" s="2"/>
    </row>
    <row r="241" spans="2:13" ht="15.75" customHeight="1" x14ac:dyDescent="0.2">
      <c r="B241" s="2"/>
      <c r="C241" s="29"/>
      <c r="D241" s="29"/>
      <c r="E241" s="266"/>
      <c r="F241" s="29"/>
      <c r="G241" s="29"/>
      <c r="H241" s="2"/>
      <c r="I241" s="7"/>
      <c r="J241" s="7"/>
      <c r="K241" s="7"/>
      <c r="L241" s="2"/>
      <c r="M241" s="2"/>
    </row>
    <row r="242" spans="2:13" ht="15.75" customHeight="1" x14ac:dyDescent="0.2">
      <c r="B242" s="2"/>
      <c r="C242" s="29"/>
      <c r="D242" s="29"/>
      <c r="E242" s="266"/>
      <c r="F242" s="29"/>
      <c r="G242" s="29"/>
      <c r="H242" s="2"/>
      <c r="I242" s="7"/>
      <c r="J242" s="7"/>
      <c r="K242" s="7"/>
      <c r="L242" s="2"/>
      <c r="M242" s="2"/>
    </row>
    <row r="243" spans="2:13" ht="15.75" customHeight="1" x14ac:dyDescent="0.2">
      <c r="B243" s="2"/>
      <c r="C243" s="29"/>
      <c r="D243" s="29"/>
      <c r="E243" s="266"/>
      <c r="F243" s="29"/>
      <c r="G243" s="29"/>
      <c r="H243" s="2"/>
      <c r="I243" s="7"/>
      <c r="J243" s="7"/>
      <c r="K243" s="7"/>
      <c r="L243" s="2"/>
      <c r="M243" s="2"/>
    </row>
    <row r="244" spans="2:13" ht="15.75" customHeight="1" x14ac:dyDescent="0.2">
      <c r="B244" s="2"/>
      <c r="C244" s="29"/>
      <c r="D244" s="29"/>
      <c r="E244" s="266"/>
      <c r="F244" s="29"/>
      <c r="G244" s="29"/>
      <c r="H244" s="2"/>
      <c r="I244" s="7"/>
      <c r="J244" s="7"/>
      <c r="K244" s="7"/>
      <c r="L244" s="2"/>
      <c r="M244" s="2"/>
    </row>
    <row r="245" spans="2:13" ht="15.75" customHeight="1" x14ac:dyDescent="0.2">
      <c r="B245" s="2"/>
      <c r="C245" s="29"/>
      <c r="D245" s="29"/>
      <c r="E245" s="266"/>
      <c r="F245" s="29"/>
      <c r="G245" s="29"/>
      <c r="H245" s="2"/>
      <c r="I245" s="7"/>
      <c r="J245" s="7"/>
      <c r="K245" s="7"/>
      <c r="L245" s="2"/>
      <c r="M245" s="2"/>
    </row>
    <row r="246" spans="2:13" ht="15.75" customHeight="1" x14ac:dyDescent="0.2">
      <c r="B246" s="2"/>
      <c r="C246" s="29"/>
      <c r="D246" s="29"/>
      <c r="E246" s="266"/>
      <c r="F246" s="29"/>
      <c r="G246" s="29"/>
      <c r="H246" s="2"/>
      <c r="I246" s="7"/>
      <c r="J246" s="7"/>
      <c r="K246" s="7"/>
      <c r="L246" s="2"/>
      <c r="M246" s="2"/>
    </row>
    <row r="247" spans="2:13" ht="15.75" customHeight="1" x14ac:dyDescent="0.2">
      <c r="B247" s="2"/>
      <c r="C247" s="29"/>
      <c r="D247" s="29"/>
      <c r="E247" s="266"/>
      <c r="F247" s="29"/>
      <c r="G247" s="29"/>
      <c r="H247" s="2"/>
      <c r="I247" s="7"/>
      <c r="J247" s="7"/>
      <c r="K247" s="7"/>
      <c r="L247" s="2"/>
      <c r="M247" s="2"/>
    </row>
    <row r="248" spans="2:13" ht="15.75" customHeight="1" x14ac:dyDescent="0.2">
      <c r="B248" s="2"/>
      <c r="C248" s="29"/>
      <c r="D248" s="29"/>
      <c r="E248" s="266"/>
      <c r="F248" s="29"/>
      <c r="G248" s="29"/>
      <c r="H248" s="2"/>
      <c r="I248" s="7"/>
      <c r="J248" s="7"/>
      <c r="K248" s="7"/>
      <c r="L248" s="2"/>
      <c r="M248" s="2"/>
    </row>
    <row r="249" spans="2:13" ht="15.75" customHeight="1" x14ac:dyDescent="0.2">
      <c r="B249" s="2"/>
      <c r="C249" s="29"/>
      <c r="D249" s="29"/>
      <c r="E249" s="266"/>
      <c r="F249" s="29"/>
      <c r="G249" s="29"/>
      <c r="H249" s="2"/>
      <c r="I249" s="7"/>
      <c r="J249" s="7"/>
      <c r="K249" s="7"/>
      <c r="L249" s="2"/>
      <c r="M249" s="2"/>
    </row>
    <row r="250" spans="2:13" ht="15.75" customHeight="1" x14ac:dyDescent="0.2">
      <c r="B250" s="2"/>
      <c r="C250" s="29"/>
      <c r="D250" s="29"/>
      <c r="E250" s="266"/>
      <c r="F250" s="29"/>
      <c r="G250" s="29"/>
      <c r="H250" s="2"/>
      <c r="I250" s="7"/>
      <c r="J250" s="7"/>
      <c r="K250" s="7"/>
      <c r="L250" s="2"/>
      <c r="M250" s="2"/>
    </row>
    <row r="251" spans="2:13" ht="15.75" customHeight="1" x14ac:dyDescent="0.2">
      <c r="B251" s="2"/>
      <c r="C251" s="29"/>
      <c r="D251" s="29"/>
      <c r="E251" s="266"/>
      <c r="F251" s="29"/>
      <c r="G251" s="29"/>
      <c r="H251" s="2"/>
      <c r="I251" s="7"/>
      <c r="J251" s="7"/>
      <c r="K251" s="7"/>
      <c r="L251" s="2"/>
      <c r="M251" s="2"/>
    </row>
    <row r="252" spans="2:13" ht="15.75" customHeight="1" x14ac:dyDescent="0.2">
      <c r="B252" s="2"/>
      <c r="C252" s="29"/>
      <c r="D252" s="29"/>
      <c r="E252" s="266"/>
      <c r="F252" s="29"/>
      <c r="G252" s="29"/>
      <c r="H252" s="2"/>
      <c r="I252" s="7"/>
      <c r="J252" s="7"/>
      <c r="K252" s="7"/>
      <c r="L252" s="2"/>
      <c r="M252" s="2"/>
    </row>
    <row r="253" spans="2:13" ht="15.75" customHeight="1" x14ac:dyDescent="0.2">
      <c r="B253" s="2"/>
      <c r="C253" s="29"/>
      <c r="D253" s="29"/>
      <c r="E253" s="266"/>
      <c r="F253" s="29"/>
      <c r="G253" s="29"/>
      <c r="H253" s="2"/>
      <c r="I253" s="7"/>
      <c r="J253" s="7"/>
      <c r="K253" s="7"/>
      <c r="L253" s="2"/>
      <c r="M253" s="2"/>
    </row>
    <row r="254" spans="2:13" ht="15.75" customHeight="1" x14ac:dyDescent="0.2">
      <c r="B254" s="2"/>
      <c r="C254" s="29"/>
      <c r="D254" s="29"/>
      <c r="E254" s="266"/>
      <c r="F254" s="29"/>
      <c r="G254" s="29"/>
      <c r="H254" s="2"/>
      <c r="I254" s="7"/>
      <c r="J254" s="7"/>
      <c r="K254" s="7"/>
      <c r="L254" s="2"/>
      <c r="M254" s="2"/>
    </row>
    <row r="255" spans="2:13" ht="15.75" customHeight="1" x14ac:dyDescent="0.2">
      <c r="B255" s="2"/>
      <c r="C255" s="29"/>
      <c r="D255" s="29"/>
      <c r="E255" s="266"/>
      <c r="F255" s="29"/>
      <c r="G255" s="29"/>
      <c r="H255" s="2"/>
      <c r="I255" s="7"/>
      <c r="J255" s="7"/>
      <c r="K255" s="7"/>
      <c r="L255" s="2"/>
      <c r="M255" s="2"/>
    </row>
    <row r="256" spans="2:13" ht="15.75" customHeight="1" x14ac:dyDescent="0.2">
      <c r="B256" s="2"/>
      <c r="C256" s="29"/>
      <c r="D256" s="29"/>
      <c r="E256" s="266"/>
      <c r="F256" s="29"/>
      <c r="G256" s="29"/>
      <c r="H256" s="2"/>
      <c r="I256" s="7"/>
      <c r="J256" s="7"/>
      <c r="K256" s="7"/>
      <c r="L256" s="2"/>
      <c r="M256" s="2"/>
    </row>
    <row r="257" spans="2:13" ht="15.75" customHeight="1" x14ac:dyDescent="0.2">
      <c r="B257" s="2"/>
      <c r="C257" s="29"/>
      <c r="D257" s="29"/>
      <c r="E257" s="266"/>
      <c r="F257" s="29"/>
      <c r="G257" s="29"/>
      <c r="H257" s="2"/>
      <c r="I257" s="7"/>
      <c r="J257" s="7"/>
      <c r="K257" s="7"/>
      <c r="L257" s="2"/>
      <c r="M257" s="2"/>
    </row>
    <row r="258" spans="2:13" ht="15.75" customHeight="1" x14ac:dyDescent="0.2">
      <c r="B258" s="2"/>
      <c r="C258" s="29"/>
      <c r="D258" s="29"/>
      <c r="E258" s="266"/>
      <c r="F258" s="29"/>
      <c r="G258" s="29"/>
      <c r="H258" s="2"/>
      <c r="I258" s="7"/>
      <c r="J258" s="7"/>
      <c r="K258" s="7"/>
      <c r="L258" s="2"/>
      <c r="M258" s="2"/>
    </row>
    <row r="259" spans="2:13" ht="15.75" customHeight="1" x14ac:dyDescent="0.2">
      <c r="B259" s="2"/>
      <c r="C259" s="29"/>
      <c r="D259" s="29"/>
      <c r="E259" s="266"/>
      <c r="F259" s="29"/>
      <c r="G259" s="29"/>
      <c r="H259" s="2"/>
      <c r="I259" s="7"/>
      <c r="J259" s="7"/>
      <c r="K259" s="7"/>
      <c r="L259" s="2"/>
      <c r="M259" s="2"/>
    </row>
    <row r="260" spans="2:13" ht="15.75" customHeight="1" x14ac:dyDescent="0.2">
      <c r="B260" s="2"/>
      <c r="C260" s="29"/>
      <c r="D260" s="29"/>
      <c r="E260" s="266"/>
      <c r="F260" s="29"/>
      <c r="G260" s="29"/>
      <c r="H260" s="2"/>
      <c r="I260" s="7"/>
      <c r="J260" s="7"/>
      <c r="K260" s="7"/>
      <c r="L260" s="2"/>
      <c r="M260" s="2"/>
    </row>
    <row r="261" spans="2:13" ht="15.75" customHeight="1" x14ac:dyDescent="0.2">
      <c r="B261" s="2"/>
      <c r="C261" s="29"/>
      <c r="D261" s="29"/>
      <c r="E261" s="266"/>
      <c r="F261" s="29"/>
      <c r="G261" s="29"/>
      <c r="H261" s="2"/>
      <c r="I261" s="7"/>
      <c r="J261" s="7"/>
      <c r="K261" s="7"/>
      <c r="L261" s="2"/>
      <c r="M261" s="2"/>
    </row>
    <row r="262" spans="2:13" ht="15.75" customHeight="1" x14ac:dyDescent="0.2">
      <c r="B262" s="2"/>
      <c r="C262" s="29"/>
      <c r="D262" s="29"/>
      <c r="E262" s="266"/>
      <c r="F262" s="29"/>
      <c r="G262" s="29"/>
      <c r="H262" s="2"/>
      <c r="I262" s="7"/>
      <c r="J262" s="7"/>
      <c r="K262" s="7"/>
      <c r="L262" s="2"/>
      <c r="M262" s="2"/>
    </row>
    <row r="263" spans="2:13" ht="15.75" customHeight="1" x14ac:dyDescent="0.2">
      <c r="B263" s="2"/>
      <c r="C263" s="29"/>
      <c r="D263" s="29"/>
      <c r="E263" s="266"/>
      <c r="F263" s="29"/>
      <c r="G263" s="29"/>
      <c r="H263" s="2"/>
      <c r="I263" s="7"/>
      <c r="J263" s="7"/>
      <c r="K263" s="7"/>
      <c r="L263" s="2"/>
      <c r="M263" s="2"/>
    </row>
    <row r="264" spans="2:13" ht="15.75" customHeight="1" x14ac:dyDescent="0.2">
      <c r="B264" s="2"/>
      <c r="C264" s="29"/>
      <c r="D264" s="29"/>
      <c r="E264" s="266"/>
      <c r="F264" s="29"/>
      <c r="G264" s="29"/>
      <c r="H264" s="2"/>
      <c r="I264" s="7"/>
      <c r="J264" s="7"/>
      <c r="K264" s="7"/>
      <c r="L264" s="2"/>
      <c r="M264" s="2"/>
    </row>
    <row r="265" spans="2:13" ht="15.75" customHeight="1" x14ac:dyDescent="0.2">
      <c r="B265" s="2"/>
      <c r="C265" s="29"/>
      <c r="D265" s="29"/>
      <c r="E265" s="266"/>
      <c r="F265" s="29"/>
      <c r="G265" s="29"/>
      <c r="H265" s="2"/>
      <c r="I265" s="7"/>
      <c r="J265" s="7"/>
      <c r="K265" s="7"/>
      <c r="L265" s="2"/>
      <c r="M265" s="2"/>
    </row>
    <row r="266" spans="2:13" ht="15.75" customHeight="1" x14ac:dyDescent="0.2">
      <c r="B266" s="2"/>
      <c r="C266" s="29"/>
      <c r="D266" s="29"/>
      <c r="E266" s="266"/>
      <c r="F266" s="29"/>
      <c r="G266" s="29"/>
      <c r="H266" s="2"/>
      <c r="I266" s="7"/>
      <c r="J266" s="7"/>
      <c r="K266" s="7"/>
      <c r="L266" s="2"/>
      <c r="M266" s="2"/>
    </row>
    <row r="267" spans="2:13" ht="15.75" customHeight="1" x14ac:dyDescent="0.2">
      <c r="B267" s="2"/>
      <c r="C267" s="29"/>
      <c r="D267" s="29"/>
      <c r="E267" s="266"/>
      <c r="F267" s="29"/>
      <c r="G267" s="29"/>
      <c r="H267" s="2"/>
      <c r="I267" s="7"/>
      <c r="J267" s="7"/>
      <c r="K267" s="7"/>
      <c r="L267" s="2"/>
      <c r="M267" s="2"/>
    </row>
    <row r="268" spans="2:13" ht="15.75" customHeight="1" x14ac:dyDescent="0.2">
      <c r="B268" s="2"/>
      <c r="C268" s="29"/>
      <c r="D268" s="29"/>
      <c r="E268" s="266"/>
      <c r="F268" s="29"/>
      <c r="G268" s="29"/>
      <c r="H268" s="2"/>
      <c r="I268" s="7"/>
      <c r="J268" s="7"/>
      <c r="K268" s="7"/>
      <c r="L268" s="2"/>
      <c r="M268" s="2"/>
    </row>
    <row r="269" spans="2:13" ht="15.75" customHeight="1" x14ac:dyDescent="0.2">
      <c r="B269" s="2"/>
      <c r="C269" s="29"/>
      <c r="D269" s="29"/>
      <c r="E269" s="266"/>
      <c r="F269" s="29"/>
      <c r="G269" s="29"/>
      <c r="H269" s="2"/>
      <c r="I269" s="7"/>
      <c r="J269" s="7"/>
      <c r="K269" s="7"/>
      <c r="L269" s="2"/>
      <c r="M269" s="2"/>
    </row>
    <row r="270" spans="2:13" ht="15.75" customHeight="1" x14ac:dyDescent="0.2">
      <c r="B270" s="2"/>
      <c r="C270" s="29"/>
      <c r="D270" s="29"/>
      <c r="E270" s="266"/>
      <c r="F270" s="29"/>
      <c r="G270" s="29"/>
      <c r="H270" s="2"/>
      <c r="I270" s="7"/>
      <c r="J270" s="7"/>
      <c r="K270" s="7"/>
      <c r="L270" s="2"/>
      <c r="M270" s="2"/>
    </row>
    <row r="271" spans="2:13" ht="15.75" customHeight="1" x14ac:dyDescent="0.2">
      <c r="B271" s="2"/>
      <c r="C271" s="29"/>
      <c r="D271" s="29"/>
      <c r="E271" s="266"/>
      <c r="F271" s="29"/>
      <c r="G271" s="29"/>
      <c r="H271" s="2"/>
      <c r="I271" s="7"/>
      <c r="J271" s="7"/>
      <c r="K271" s="7"/>
      <c r="L271" s="2"/>
      <c r="M271" s="2"/>
    </row>
    <row r="272" spans="2:13" ht="15.75" customHeight="1" x14ac:dyDescent="0.2">
      <c r="B272" s="2"/>
      <c r="C272" s="29"/>
      <c r="D272" s="29"/>
      <c r="E272" s="266"/>
      <c r="F272" s="29"/>
      <c r="G272" s="29"/>
      <c r="H272" s="2"/>
      <c r="I272" s="7"/>
      <c r="J272" s="7"/>
      <c r="K272" s="7"/>
      <c r="L272" s="2"/>
      <c r="M272" s="2"/>
    </row>
    <row r="273" spans="2:13" ht="15.75" customHeight="1" x14ac:dyDescent="0.2">
      <c r="B273" s="2"/>
      <c r="C273" s="29"/>
      <c r="D273" s="29"/>
      <c r="E273" s="266"/>
      <c r="F273" s="29"/>
      <c r="G273" s="29"/>
      <c r="H273" s="2"/>
      <c r="I273" s="7"/>
      <c r="J273" s="7"/>
      <c r="K273" s="7"/>
      <c r="L273" s="2"/>
      <c r="M273" s="2"/>
    </row>
    <row r="274" spans="2:13" ht="15.75" customHeight="1" x14ac:dyDescent="0.2">
      <c r="B274" s="2"/>
      <c r="C274" s="29"/>
      <c r="D274" s="29"/>
      <c r="E274" s="266"/>
      <c r="F274" s="29"/>
      <c r="G274" s="29"/>
      <c r="H274" s="2"/>
      <c r="I274" s="7"/>
      <c r="J274" s="7"/>
      <c r="K274" s="7"/>
      <c r="L274" s="2"/>
      <c r="M274" s="2"/>
    </row>
    <row r="275" spans="2:13" ht="15.75" customHeight="1" x14ac:dyDescent="0.2">
      <c r="B275" s="2"/>
      <c r="C275" s="29"/>
      <c r="D275" s="29"/>
      <c r="E275" s="266"/>
      <c r="F275" s="29"/>
      <c r="G275" s="29"/>
      <c r="H275" s="2"/>
      <c r="I275" s="7"/>
      <c r="J275" s="7"/>
      <c r="K275" s="7"/>
      <c r="L275" s="2"/>
      <c r="M275" s="2"/>
    </row>
    <row r="276" spans="2:13" ht="15.75" customHeight="1" x14ac:dyDescent="0.2">
      <c r="B276" s="2"/>
      <c r="C276" s="29"/>
      <c r="D276" s="29"/>
      <c r="E276" s="266"/>
      <c r="F276" s="29"/>
      <c r="G276" s="29"/>
      <c r="H276" s="2"/>
      <c r="I276" s="7"/>
      <c r="J276" s="7"/>
      <c r="K276" s="7"/>
      <c r="L276" s="2"/>
      <c r="M276" s="2"/>
    </row>
    <row r="277" spans="2:13" ht="15.75" customHeight="1" x14ac:dyDescent="0.2">
      <c r="B277" s="2"/>
      <c r="C277" s="29"/>
      <c r="D277" s="29"/>
      <c r="E277" s="266"/>
      <c r="F277" s="29"/>
      <c r="G277" s="29"/>
      <c r="H277" s="2"/>
      <c r="I277" s="7"/>
      <c r="J277" s="7"/>
      <c r="K277" s="7"/>
      <c r="L277" s="2"/>
      <c r="M277" s="2"/>
    </row>
    <row r="278" spans="2:13" ht="15.75" customHeight="1" x14ac:dyDescent="0.2">
      <c r="B278" s="2"/>
      <c r="C278" s="29"/>
      <c r="D278" s="29"/>
      <c r="E278" s="266"/>
      <c r="F278" s="29"/>
      <c r="G278" s="29"/>
      <c r="H278" s="2"/>
      <c r="I278" s="7"/>
      <c r="J278" s="7"/>
      <c r="K278" s="7"/>
      <c r="L278" s="2"/>
      <c r="M278" s="2"/>
    </row>
    <row r="279" spans="2:13" ht="15.75" customHeight="1" x14ac:dyDescent="0.2">
      <c r="B279" s="2"/>
      <c r="C279" s="29"/>
      <c r="D279" s="29"/>
      <c r="E279" s="266"/>
      <c r="F279" s="29"/>
      <c r="G279" s="29"/>
      <c r="H279" s="2"/>
      <c r="I279" s="7"/>
      <c r="J279" s="7"/>
      <c r="K279" s="7"/>
      <c r="L279" s="2"/>
      <c r="M279" s="2"/>
    </row>
    <row r="280" spans="2:13" ht="15.75" customHeight="1" x14ac:dyDescent="0.2">
      <c r="B280" s="2"/>
      <c r="C280" s="29"/>
      <c r="D280" s="29"/>
      <c r="E280" s="266"/>
      <c r="F280" s="29"/>
      <c r="G280" s="29"/>
      <c r="H280" s="2"/>
      <c r="I280" s="7"/>
      <c r="J280" s="7"/>
      <c r="K280" s="7"/>
      <c r="L280" s="2"/>
      <c r="M280" s="2"/>
    </row>
    <row r="281" spans="2:13" ht="15.75" customHeight="1" x14ac:dyDescent="0.2">
      <c r="B281" s="2"/>
      <c r="C281" s="29"/>
      <c r="D281" s="29"/>
      <c r="E281" s="266"/>
      <c r="F281" s="29"/>
      <c r="G281" s="29"/>
      <c r="H281" s="2"/>
      <c r="I281" s="7"/>
      <c r="J281" s="7"/>
      <c r="K281" s="7"/>
      <c r="L281" s="2"/>
      <c r="M281" s="2"/>
    </row>
    <row r="282" spans="2:13" ht="15.75" customHeight="1" x14ac:dyDescent="0.2">
      <c r="B282" s="2"/>
      <c r="C282" s="29"/>
      <c r="D282" s="29"/>
      <c r="E282" s="266"/>
      <c r="F282" s="29"/>
      <c r="G282" s="29"/>
      <c r="H282" s="2"/>
      <c r="I282" s="7"/>
      <c r="J282" s="7"/>
      <c r="K282" s="7"/>
      <c r="L282" s="2"/>
      <c r="M282" s="2"/>
    </row>
    <row r="283" spans="2:13" ht="15.75" customHeight="1" x14ac:dyDescent="0.2">
      <c r="B283" s="2"/>
      <c r="C283" s="29"/>
      <c r="D283" s="29"/>
      <c r="E283" s="266"/>
      <c r="F283" s="29"/>
      <c r="G283" s="29"/>
      <c r="H283" s="2"/>
      <c r="I283" s="7"/>
      <c r="J283" s="7"/>
      <c r="K283" s="7"/>
      <c r="L283" s="2"/>
      <c r="M283" s="2"/>
    </row>
    <row r="284" spans="2:13" ht="15.75" customHeight="1" x14ac:dyDescent="0.2">
      <c r="B284" s="2"/>
      <c r="C284" s="29"/>
      <c r="D284" s="29"/>
      <c r="E284" s="266"/>
      <c r="F284" s="29"/>
      <c r="G284" s="29"/>
      <c r="H284" s="2"/>
      <c r="I284" s="7"/>
      <c r="J284" s="7"/>
      <c r="K284" s="7"/>
      <c r="L284" s="2"/>
      <c r="M284" s="2"/>
    </row>
    <row r="285" spans="2:13" ht="15.75" customHeight="1" x14ac:dyDescent="0.2">
      <c r="B285" s="2"/>
      <c r="C285" s="29"/>
      <c r="D285" s="29"/>
      <c r="E285" s="266"/>
      <c r="F285" s="29"/>
      <c r="G285" s="29"/>
      <c r="H285" s="2"/>
      <c r="I285" s="7"/>
      <c r="J285" s="7"/>
      <c r="K285" s="7"/>
      <c r="L285" s="2"/>
      <c r="M285" s="2"/>
    </row>
    <row r="286" spans="2:13" ht="15.75" customHeight="1" x14ac:dyDescent="0.2">
      <c r="B286" s="2"/>
      <c r="C286" s="29"/>
      <c r="D286" s="29"/>
      <c r="E286" s="266"/>
      <c r="F286" s="29"/>
      <c r="G286" s="29"/>
      <c r="H286" s="2"/>
      <c r="I286" s="7"/>
      <c r="J286" s="7"/>
      <c r="K286" s="7"/>
      <c r="L286" s="2"/>
      <c r="M286" s="2"/>
    </row>
    <row r="287" spans="2:13" ht="15.75" customHeight="1" x14ac:dyDescent="0.2">
      <c r="B287" s="2"/>
      <c r="C287" s="29"/>
      <c r="D287" s="29"/>
      <c r="E287" s="266"/>
      <c r="F287" s="29"/>
      <c r="G287" s="29"/>
      <c r="H287" s="2"/>
      <c r="I287" s="7"/>
      <c r="J287" s="7"/>
      <c r="K287" s="7"/>
      <c r="L287" s="2"/>
      <c r="M287" s="2"/>
    </row>
    <row r="288" spans="2:13" ht="15.75" customHeight="1" x14ac:dyDescent="0.2">
      <c r="B288" s="2"/>
      <c r="C288" s="29"/>
      <c r="D288" s="29"/>
      <c r="E288" s="266"/>
      <c r="F288" s="29"/>
      <c r="G288" s="29"/>
      <c r="H288" s="2"/>
      <c r="I288" s="7"/>
      <c r="J288" s="7"/>
      <c r="K288" s="7"/>
      <c r="L288" s="2"/>
      <c r="M288" s="2"/>
    </row>
    <row r="289" spans="2:13" ht="15.75" customHeight="1" x14ac:dyDescent="0.2">
      <c r="B289" s="2"/>
      <c r="C289" s="29"/>
      <c r="D289" s="29"/>
      <c r="E289" s="266"/>
      <c r="F289" s="29"/>
      <c r="G289" s="29"/>
      <c r="H289" s="2"/>
      <c r="I289" s="7"/>
      <c r="J289" s="7"/>
      <c r="K289" s="7"/>
      <c r="L289" s="2"/>
      <c r="M289" s="2"/>
    </row>
    <row r="290" spans="2:13" ht="15.75" customHeight="1" x14ac:dyDescent="0.2">
      <c r="B290" s="2"/>
      <c r="C290" s="29"/>
      <c r="D290" s="29"/>
      <c r="E290" s="266"/>
      <c r="F290" s="29"/>
      <c r="G290" s="29"/>
      <c r="H290" s="2"/>
      <c r="I290" s="7"/>
      <c r="J290" s="7"/>
      <c r="K290" s="7"/>
      <c r="L290" s="2"/>
      <c r="M290" s="2"/>
    </row>
    <row r="291" spans="2:13" ht="15.75" customHeight="1" x14ac:dyDescent="0.2">
      <c r="B291" s="2"/>
      <c r="C291" s="29"/>
      <c r="D291" s="29"/>
      <c r="E291" s="266"/>
      <c r="F291" s="29"/>
      <c r="G291" s="29"/>
      <c r="H291" s="2"/>
      <c r="I291" s="7"/>
      <c r="J291" s="7"/>
      <c r="K291" s="7"/>
      <c r="L291" s="2"/>
      <c r="M291" s="2"/>
    </row>
    <row r="292" spans="2:13" ht="15.75" customHeight="1" x14ac:dyDescent="0.2">
      <c r="B292" s="2"/>
      <c r="C292" s="29"/>
      <c r="D292" s="29"/>
      <c r="E292" s="266"/>
      <c r="F292" s="29"/>
      <c r="G292" s="29"/>
      <c r="H292" s="2"/>
      <c r="I292" s="7"/>
      <c r="J292" s="7"/>
      <c r="K292" s="7"/>
      <c r="L292" s="2"/>
      <c r="M292" s="2"/>
    </row>
    <row r="293" spans="2:13" ht="15.75" customHeight="1" x14ac:dyDescent="0.2">
      <c r="B293" s="2"/>
      <c r="C293" s="29"/>
      <c r="D293" s="29"/>
      <c r="E293" s="266"/>
      <c r="F293" s="29"/>
      <c r="G293" s="29"/>
      <c r="H293" s="2"/>
      <c r="I293" s="7"/>
      <c r="J293" s="7"/>
      <c r="K293" s="7"/>
      <c r="L293" s="2"/>
      <c r="M293" s="2"/>
    </row>
    <row r="294" spans="2:13" ht="15.75" customHeight="1" x14ac:dyDescent="0.2">
      <c r="B294" s="2"/>
      <c r="C294" s="29"/>
      <c r="D294" s="29"/>
      <c r="E294" s="266"/>
      <c r="F294" s="29"/>
      <c r="G294" s="29"/>
      <c r="H294" s="2"/>
      <c r="I294" s="7"/>
      <c r="J294" s="7"/>
      <c r="K294" s="7"/>
      <c r="L294" s="2"/>
      <c r="M294" s="2"/>
    </row>
    <row r="295" spans="2:13" ht="15.75" customHeight="1" x14ac:dyDescent="0.2">
      <c r="B295" s="2"/>
      <c r="C295" s="29"/>
      <c r="D295" s="29"/>
      <c r="E295" s="266"/>
      <c r="F295" s="29"/>
      <c r="G295" s="29"/>
      <c r="H295" s="2"/>
      <c r="I295" s="7"/>
      <c r="J295" s="7"/>
      <c r="K295" s="7"/>
      <c r="L295" s="2"/>
      <c r="M295" s="2"/>
    </row>
    <row r="296" spans="2:13" ht="15.75" customHeight="1" x14ac:dyDescent="0.2">
      <c r="B296" s="2"/>
      <c r="C296" s="29"/>
      <c r="D296" s="29"/>
      <c r="E296" s="266"/>
      <c r="F296" s="29"/>
      <c r="G296" s="29"/>
      <c r="H296" s="2"/>
      <c r="I296" s="7"/>
      <c r="J296" s="7"/>
      <c r="K296" s="7"/>
      <c r="L296" s="2"/>
      <c r="M296" s="2"/>
    </row>
    <row r="297" spans="2:13" ht="15.75" customHeight="1" x14ac:dyDescent="0.2">
      <c r="B297" s="2"/>
      <c r="C297" s="29"/>
      <c r="D297" s="29"/>
      <c r="E297" s="266"/>
      <c r="F297" s="29"/>
      <c r="G297" s="29"/>
      <c r="H297" s="2"/>
      <c r="I297" s="7"/>
      <c r="J297" s="7"/>
      <c r="K297" s="7"/>
      <c r="L297" s="2"/>
      <c r="M297" s="2"/>
    </row>
    <row r="298" spans="2:13" ht="15.75" customHeight="1" x14ac:dyDescent="0.2">
      <c r="B298" s="2"/>
      <c r="C298" s="29"/>
      <c r="D298" s="29"/>
      <c r="E298" s="266"/>
      <c r="F298" s="29"/>
      <c r="G298" s="29"/>
      <c r="H298" s="2"/>
      <c r="I298" s="7"/>
      <c r="J298" s="7"/>
      <c r="K298" s="7"/>
      <c r="L298" s="2"/>
      <c r="M298" s="2"/>
    </row>
    <row r="299" spans="2:13" ht="15.75" customHeight="1" x14ac:dyDescent="0.2">
      <c r="B299" s="2"/>
      <c r="C299" s="29"/>
      <c r="D299" s="29"/>
      <c r="E299" s="266"/>
      <c r="F299" s="29"/>
      <c r="G299" s="29"/>
      <c r="H299" s="2"/>
      <c r="I299" s="7"/>
      <c r="J299" s="7"/>
      <c r="K299" s="7"/>
      <c r="L299" s="2"/>
      <c r="M299" s="2"/>
    </row>
    <row r="300" spans="2:13" ht="15.75" customHeight="1" x14ac:dyDescent="0.2">
      <c r="B300" s="2"/>
      <c r="C300" s="29"/>
      <c r="D300" s="29"/>
      <c r="E300" s="266"/>
      <c r="F300" s="29"/>
      <c r="G300" s="29"/>
      <c r="H300" s="2"/>
      <c r="I300" s="7"/>
      <c r="J300" s="7"/>
      <c r="K300" s="7"/>
      <c r="L300" s="2"/>
      <c r="M300" s="2"/>
    </row>
    <row r="301" spans="2:13" ht="15.75" customHeight="1" x14ac:dyDescent="0.2">
      <c r="B301" s="2"/>
      <c r="C301" s="29"/>
      <c r="D301" s="29"/>
      <c r="E301" s="266"/>
      <c r="F301" s="29"/>
      <c r="G301" s="29"/>
      <c r="H301" s="2"/>
      <c r="I301" s="7"/>
      <c r="J301" s="7"/>
      <c r="K301" s="7"/>
      <c r="L301" s="2"/>
      <c r="M301" s="2"/>
    </row>
    <row r="302" spans="2:13" ht="15.75" customHeight="1" x14ac:dyDescent="0.2">
      <c r="B302" s="2"/>
      <c r="C302" s="29"/>
      <c r="D302" s="29"/>
      <c r="E302" s="266"/>
      <c r="F302" s="29"/>
      <c r="G302" s="29"/>
      <c r="H302" s="2"/>
      <c r="I302" s="7"/>
      <c r="J302" s="7"/>
      <c r="K302" s="7"/>
      <c r="L302" s="2"/>
      <c r="M302" s="2"/>
    </row>
    <row r="303" spans="2:13" ht="15.75" customHeight="1" x14ac:dyDescent="0.2">
      <c r="B303" s="2"/>
      <c r="C303" s="29"/>
      <c r="D303" s="29"/>
      <c r="E303" s="266"/>
      <c r="F303" s="29"/>
      <c r="G303" s="29"/>
      <c r="H303" s="2"/>
      <c r="I303" s="7"/>
      <c r="J303" s="7"/>
      <c r="K303" s="7"/>
      <c r="L303" s="2"/>
      <c r="M303" s="2"/>
    </row>
    <row r="304" spans="2:13" ht="15.75" customHeight="1" x14ac:dyDescent="0.2">
      <c r="B304" s="2"/>
      <c r="C304" s="29"/>
      <c r="D304" s="29"/>
      <c r="E304" s="266"/>
      <c r="F304" s="29"/>
      <c r="G304" s="29"/>
      <c r="H304" s="2"/>
      <c r="I304" s="7"/>
      <c r="J304" s="7"/>
      <c r="K304" s="7"/>
      <c r="L304" s="2"/>
      <c r="M304" s="2"/>
    </row>
    <row r="305" spans="2:13" ht="15.75" customHeight="1" x14ac:dyDescent="0.2">
      <c r="B305" s="2"/>
      <c r="C305" s="29"/>
      <c r="D305" s="29"/>
      <c r="E305" s="266"/>
      <c r="F305" s="29"/>
      <c r="G305" s="29"/>
      <c r="H305" s="2"/>
      <c r="I305" s="7"/>
      <c r="J305" s="7"/>
      <c r="K305" s="7"/>
      <c r="L305" s="2"/>
      <c r="M305" s="2"/>
    </row>
    <row r="306" spans="2:13" ht="15.75" customHeight="1" x14ac:dyDescent="0.2">
      <c r="B306" s="2"/>
      <c r="C306" s="29"/>
      <c r="D306" s="29"/>
      <c r="E306" s="266"/>
      <c r="F306" s="29"/>
      <c r="G306" s="29"/>
      <c r="H306" s="2"/>
      <c r="I306" s="7"/>
      <c r="J306" s="7"/>
      <c r="K306" s="7"/>
      <c r="L306" s="2"/>
      <c r="M306" s="2"/>
    </row>
    <row r="307" spans="2:13" ht="15.75" customHeight="1" x14ac:dyDescent="0.2">
      <c r="B307" s="2"/>
      <c r="C307" s="29"/>
      <c r="D307" s="29"/>
      <c r="E307" s="266"/>
      <c r="F307" s="29"/>
      <c r="G307" s="29"/>
      <c r="H307" s="2"/>
      <c r="I307" s="7"/>
      <c r="J307" s="7"/>
      <c r="K307" s="7"/>
      <c r="L307" s="2"/>
      <c r="M307" s="2"/>
    </row>
    <row r="308" spans="2:13" ht="15.75" customHeight="1" x14ac:dyDescent="0.2">
      <c r="B308" s="2"/>
      <c r="C308" s="29"/>
      <c r="D308" s="29"/>
      <c r="E308" s="266"/>
      <c r="F308" s="29"/>
      <c r="G308" s="29"/>
      <c r="H308" s="2"/>
      <c r="I308" s="7"/>
      <c r="J308" s="7"/>
      <c r="K308" s="7"/>
      <c r="L308" s="2"/>
      <c r="M308" s="2"/>
    </row>
    <row r="309" spans="2:13" ht="15.75" customHeight="1" x14ac:dyDescent="0.2">
      <c r="B309" s="2"/>
      <c r="C309" s="29"/>
      <c r="D309" s="29"/>
      <c r="E309" s="266"/>
      <c r="F309" s="29"/>
      <c r="G309" s="29"/>
      <c r="H309" s="2"/>
      <c r="I309" s="7"/>
      <c r="J309" s="7"/>
      <c r="K309" s="7"/>
      <c r="L309" s="2"/>
      <c r="M309" s="2"/>
    </row>
    <row r="310" spans="2:13" ht="15.75" customHeight="1" x14ac:dyDescent="0.2">
      <c r="B310" s="2"/>
      <c r="C310" s="29"/>
      <c r="D310" s="29"/>
      <c r="E310" s="266"/>
      <c r="F310" s="29"/>
      <c r="G310" s="29"/>
      <c r="H310" s="2"/>
      <c r="I310" s="7"/>
      <c r="J310" s="7"/>
      <c r="K310" s="7"/>
      <c r="L310" s="2"/>
      <c r="M310" s="2"/>
    </row>
    <row r="311" spans="2:13" ht="15.75" customHeight="1" x14ac:dyDescent="0.2">
      <c r="B311" s="2"/>
      <c r="C311" s="29"/>
      <c r="D311" s="29"/>
      <c r="E311" s="266"/>
      <c r="F311" s="29"/>
      <c r="G311" s="29"/>
      <c r="H311" s="2"/>
      <c r="I311" s="7"/>
      <c r="J311" s="7"/>
      <c r="K311" s="7"/>
      <c r="L311" s="2"/>
      <c r="M311" s="2"/>
    </row>
    <row r="312" spans="2:13" ht="15.75" customHeight="1" x14ac:dyDescent="0.2">
      <c r="B312" s="2"/>
      <c r="C312" s="29"/>
      <c r="D312" s="29"/>
      <c r="E312" s="266"/>
      <c r="F312" s="29"/>
      <c r="G312" s="29"/>
      <c r="H312" s="2"/>
      <c r="I312" s="7"/>
      <c r="J312" s="7"/>
      <c r="K312" s="7"/>
      <c r="L312" s="2"/>
      <c r="M312" s="2"/>
    </row>
    <row r="313" spans="2:13" ht="15.75" customHeight="1" x14ac:dyDescent="0.2">
      <c r="B313" s="2"/>
      <c r="C313" s="29"/>
      <c r="D313" s="29"/>
      <c r="E313" s="266"/>
      <c r="F313" s="29"/>
      <c r="G313" s="29"/>
      <c r="H313" s="2"/>
      <c r="I313" s="7"/>
      <c r="J313" s="7"/>
      <c r="K313" s="7"/>
      <c r="L313" s="2"/>
      <c r="M313" s="2"/>
    </row>
    <row r="314" spans="2:13" ht="15.75" customHeight="1" x14ac:dyDescent="0.2">
      <c r="B314" s="2"/>
      <c r="C314" s="29"/>
      <c r="D314" s="29"/>
      <c r="E314" s="266"/>
      <c r="F314" s="29"/>
      <c r="G314" s="29"/>
      <c r="H314" s="2"/>
      <c r="I314" s="7"/>
      <c r="J314" s="7"/>
      <c r="K314" s="7"/>
      <c r="L314" s="2"/>
      <c r="M314" s="2"/>
    </row>
    <row r="315" spans="2:13" ht="15.75" customHeight="1" x14ac:dyDescent="0.2">
      <c r="B315" s="2"/>
      <c r="C315" s="29"/>
      <c r="D315" s="29"/>
      <c r="E315" s="266"/>
      <c r="F315" s="29"/>
      <c r="G315" s="29"/>
      <c r="H315" s="2"/>
      <c r="I315" s="7"/>
      <c r="J315" s="7"/>
      <c r="K315" s="7"/>
      <c r="L315" s="2"/>
      <c r="M315" s="2"/>
    </row>
    <row r="316" spans="2:13" ht="15.75" customHeight="1" x14ac:dyDescent="0.2">
      <c r="B316" s="2"/>
      <c r="C316" s="29"/>
      <c r="D316" s="29"/>
      <c r="E316" s="266"/>
      <c r="F316" s="29"/>
      <c r="G316" s="29"/>
      <c r="H316" s="2"/>
      <c r="I316" s="7"/>
      <c r="J316" s="7"/>
      <c r="K316" s="7"/>
      <c r="L316" s="2"/>
      <c r="M316" s="2"/>
    </row>
    <row r="317" spans="2:13" ht="15.75" customHeight="1" x14ac:dyDescent="0.2">
      <c r="B317" s="2"/>
      <c r="C317" s="29"/>
      <c r="D317" s="29"/>
      <c r="E317" s="266"/>
      <c r="F317" s="29"/>
      <c r="G317" s="29"/>
      <c r="H317" s="2"/>
      <c r="I317" s="7"/>
      <c r="J317" s="7"/>
      <c r="K317" s="7"/>
      <c r="L317" s="2"/>
      <c r="M317" s="2"/>
    </row>
    <row r="318" spans="2:13" ht="15.75" customHeight="1" x14ac:dyDescent="0.2">
      <c r="B318" s="2"/>
      <c r="C318" s="29"/>
      <c r="D318" s="29"/>
      <c r="E318" s="266"/>
      <c r="F318" s="29"/>
      <c r="G318" s="29"/>
      <c r="H318" s="2"/>
      <c r="I318" s="7"/>
      <c r="J318" s="7"/>
      <c r="K318" s="7"/>
      <c r="L318" s="2"/>
      <c r="M318" s="2"/>
    </row>
    <row r="319" spans="2:13" ht="15.75" customHeight="1" x14ac:dyDescent="0.2">
      <c r="B319" s="2"/>
      <c r="C319" s="29"/>
      <c r="D319" s="29"/>
      <c r="E319" s="266"/>
      <c r="F319" s="29"/>
      <c r="G319" s="29"/>
      <c r="H319" s="2"/>
      <c r="I319" s="7"/>
      <c r="J319" s="7"/>
      <c r="K319" s="7"/>
      <c r="L319" s="2"/>
      <c r="M319" s="2"/>
    </row>
    <row r="320" spans="2:13" ht="15.75" customHeight="1" x14ac:dyDescent="0.2">
      <c r="B320" s="2"/>
      <c r="C320" s="29"/>
      <c r="D320" s="29"/>
      <c r="E320" s="266"/>
      <c r="F320" s="29"/>
      <c r="G320" s="29"/>
      <c r="H320" s="2"/>
      <c r="I320" s="7"/>
      <c r="J320" s="7"/>
      <c r="K320" s="7"/>
      <c r="L320" s="2"/>
      <c r="M320" s="2"/>
    </row>
    <row r="321" spans="2:13" ht="15.75" customHeight="1" x14ac:dyDescent="0.2">
      <c r="B321" s="2"/>
      <c r="C321" s="29"/>
      <c r="D321" s="29"/>
      <c r="E321" s="266"/>
      <c r="F321" s="29"/>
      <c r="G321" s="29"/>
      <c r="H321" s="2"/>
      <c r="I321" s="7"/>
      <c r="J321" s="7"/>
      <c r="K321" s="7"/>
      <c r="L321" s="2"/>
      <c r="M321" s="2"/>
    </row>
    <row r="322" spans="2:13" ht="15.75" customHeight="1" x14ac:dyDescent="0.2">
      <c r="B322" s="2"/>
      <c r="C322" s="29"/>
      <c r="D322" s="29"/>
      <c r="E322" s="266"/>
      <c r="F322" s="29"/>
      <c r="G322" s="29"/>
      <c r="H322" s="2"/>
      <c r="I322" s="7"/>
      <c r="J322" s="7"/>
      <c r="K322" s="7"/>
      <c r="L322" s="2"/>
      <c r="M322" s="2"/>
    </row>
    <row r="323" spans="2:13" ht="15.75" customHeight="1" x14ac:dyDescent="0.2">
      <c r="B323" s="2"/>
      <c r="C323" s="29"/>
      <c r="D323" s="29"/>
      <c r="E323" s="266"/>
      <c r="F323" s="29"/>
      <c r="G323" s="29"/>
      <c r="H323" s="2"/>
      <c r="I323" s="7"/>
      <c r="J323" s="7"/>
      <c r="K323" s="7"/>
      <c r="L323" s="2"/>
      <c r="M323" s="2"/>
    </row>
    <row r="324" spans="2:13" ht="15.75" customHeight="1" x14ac:dyDescent="0.2">
      <c r="B324" s="2"/>
      <c r="C324" s="29"/>
      <c r="D324" s="29"/>
      <c r="E324" s="266"/>
      <c r="F324" s="29"/>
      <c r="G324" s="29"/>
      <c r="H324" s="2"/>
      <c r="I324" s="7"/>
      <c r="J324" s="7"/>
      <c r="K324" s="7"/>
      <c r="L324" s="2"/>
      <c r="M324" s="2"/>
    </row>
    <row r="325" spans="2:13" ht="15.75" customHeight="1" x14ac:dyDescent="0.2">
      <c r="B325" s="2"/>
      <c r="C325" s="29"/>
      <c r="D325" s="29"/>
      <c r="E325" s="266"/>
      <c r="F325" s="29"/>
      <c r="G325" s="29"/>
      <c r="H325" s="2"/>
      <c r="I325" s="7"/>
      <c r="J325" s="7"/>
      <c r="K325" s="7"/>
      <c r="L325" s="2"/>
      <c r="M325" s="2"/>
    </row>
    <row r="326" spans="2:13" ht="15.75" customHeight="1" x14ac:dyDescent="0.2">
      <c r="B326" s="2"/>
      <c r="C326" s="29"/>
      <c r="D326" s="29"/>
      <c r="E326" s="266"/>
      <c r="F326" s="29"/>
      <c r="G326" s="29"/>
      <c r="H326" s="2"/>
      <c r="I326" s="7"/>
      <c r="J326" s="7"/>
      <c r="K326" s="7"/>
      <c r="L326" s="2"/>
      <c r="M326" s="2"/>
    </row>
    <row r="327" spans="2:13" ht="15.75" customHeight="1" x14ac:dyDescent="0.2">
      <c r="B327" s="2"/>
      <c r="C327" s="29"/>
      <c r="D327" s="29"/>
      <c r="E327" s="266"/>
      <c r="F327" s="29"/>
      <c r="G327" s="29"/>
      <c r="H327" s="2"/>
      <c r="I327" s="7"/>
      <c r="J327" s="7"/>
      <c r="K327" s="7"/>
      <c r="L327" s="2"/>
      <c r="M327" s="2"/>
    </row>
    <row r="328" spans="2:13" ht="15.75" customHeight="1" x14ac:dyDescent="0.2">
      <c r="B328" s="2"/>
      <c r="C328" s="29"/>
      <c r="D328" s="29"/>
      <c r="E328" s="266"/>
      <c r="F328" s="29"/>
      <c r="G328" s="29"/>
      <c r="H328" s="2"/>
      <c r="I328" s="7"/>
      <c r="J328" s="7"/>
      <c r="K328" s="7"/>
      <c r="L328" s="2"/>
      <c r="M328" s="2"/>
    </row>
    <row r="329" spans="2:13" ht="15.75" customHeight="1" x14ac:dyDescent="0.2">
      <c r="B329" s="2"/>
      <c r="C329" s="29"/>
      <c r="D329" s="29"/>
      <c r="E329" s="266"/>
      <c r="F329" s="29"/>
      <c r="G329" s="29"/>
      <c r="H329" s="2"/>
      <c r="I329" s="7"/>
      <c r="J329" s="7"/>
      <c r="K329" s="7"/>
      <c r="L329" s="2"/>
      <c r="M329" s="2"/>
    </row>
    <row r="330" spans="2:13" ht="15.75" customHeight="1" x14ac:dyDescent="0.2">
      <c r="B330" s="2"/>
      <c r="C330" s="29"/>
      <c r="D330" s="29"/>
      <c r="E330" s="266"/>
      <c r="F330" s="29"/>
      <c r="G330" s="29"/>
      <c r="H330" s="2"/>
      <c r="I330" s="7"/>
      <c r="J330" s="7"/>
      <c r="K330" s="7"/>
      <c r="L330" s="2"/>
      <c r="M330" s="2"/>
    </row>
    <row r="331" spans="2:13" ht="15.75" customHeight="1" x14ac:dyDescent="0.2">
      <c r="B331" s="2"/>
      <c r="C331" s="29"/>
      <c r="D331" s="29"/>
      <c r="E331" s="266"/>
      <c r="F331" s="29"/>
      <c r="G331" s="29"/>
      <c r="H331" s="2"/>
      <c r="I331" s="7"/>
      <c r="J331" s="7"/>
      <c r="K331" s="7"/>
      <c r="L331" s="2"/>
      <c r="M331" s="2"/>
    </row>
    <row r="332" spans="2:13" ht="15.75" customHeight="1" x14ac:dyDescent="0.2">
      <c r="B332" s="2"/>
      <c r="C332" s="29"/>
      <c r="D332" s="29"/>
      <c r="E332" s="266"/>
      <c r="F332" s="29"/>
      <c r="G332" s="29"/>
      <c r="H332" s="2"/>
      <c r="I332" s="7"/>
      <c r="J332" s="7"/>
      <c r="K332" s="7"/>
      <c r="L332" s="2"/>
      <c r="M332" s="2"/>
    </row>
    <row r="333" spans="2:13" ht="15.75" customHeight="1" x14ac:dyDescent="0.2">
      <c r="B333" s="2"/>
      <c r="C333" s="29"/>
      <c r="D333" s="29"/>
      <c r="E333" s="266"/>
      <c r="F333" s="29"/>
      <c r="G333" s="29"/>
      <c r="H333" s="2"/>
      <c r="I333" s="7"/>
      <c r="J333" s="7"/>
      <c r="K333" s="7"/>
      <c r="L333" s="2"/>
      <c r="M333" s="2"/>
    </row>
    <row r="334" spans="2:13" ht="15.75" customHeight="1" x14ac:dyDescent="0.2">
      <c r="B334" s="2"/>
      <c r="C334" s="29"/>
      <c r="D334" s="29"/>
      <c r="E334" s="266"/>
      <c r="F334" s="29"/>
      <c r="G334" s="29"/>
      <c r="H334" s="2"/>
      <c r="I334" s="7"/>
      <c r="J334" s="7"/>
      <c r="K334" s="7"/>
      <c r="L334" s="2"/>
      <c r="M334" s="2"/>
    </row>
    <row r="335" spans="2:13" ht="15.75" customHeight="1" x14ac:dyDescent="0.2">
      <c r="B335" s="2"/>
      <c r="C335" s="29"/>
      <c r="D335" s="29"/>
      <c r="E335" s="266"/>
      <c r="F335" s="29"/>
      <c r="G335" s="29"/>
      <c r="H335" s="2"/>
      <c r="I335" s="7"/>
      <c r="J335" s="7"/>
      <c r="K335" s="7"/>
      <c r="L335" s="2"/>
      <c r="M335" s="2"/>
    </row>
    <row r="336" spans="2:13" ht="15.75" customHeight="1" x14ac:dyDescent="0.2">
      <c r="B336" s="2"/>
      <c r="C336" s="29"/>
      <c r="D336" s="29"/>
      <c r="E336" s="266"/>
      <c r="F336" s="29"/>
      <c r="G336" s="29"/>
      <c r="H336" s="2"/>
      <c r="I336" s="7"/>
      <c r="J336" s="7"/>
      <c r="K336" s="7"/>
      <c r="L336" s="2"/>
      <c r="M336" s="2"/>
    </row>
    <row r="337" spans="2:13" ht="15.75" customHeight="1" x14ac:dyDescent="0.2">
      <c r="B337" s="2"/>
      <c r="C337" s="29"/>
      <c r="D337" s="29"/>
      <c r="E337" s="266"/>
      <c r="F337" s="29"/>
      <c r="G337" s="29"/>
      <c r="H337" s="2"/>
      <c r="I337" s="7"/>
      <c r="J337" s="7"/>
      <c r="K337" s="7"/>
      <c r="L337" s="2"/>
      <c r="M337" s="2"/>
    </row>
    <row r="338" spans="2:13" ht="15.75" customHeight="1" x14ac:dyDescent="0.2">
      <c r="B338" s="2"/>
      <c r="C338" s="29"/>
      <c r="D338" s="29"/>
      <c r="E338" s="266"/>
      <c r="F338" s="29"/>
      <c r="G338" s="29"/>
      <c r="H338" s="2"/>
      <c r="I338" s="7"/>
      <c r="J338" s="7"/>
      <c r="K338" s="7"/>
      <c r="L338" s="2"/>
      <c r="M338" s="2"/>
    </row>
    <row r="339" spans="2:13" ht="15.75" customHeight="1" x14ac:dyDescent="0.2">
      <c r="B339" s="2"/>
      <c r="C339" s="29"/>
      <c r="D339" s="29"/>
      <c r="E339" s="266"/>
      <c r="F339" s="29"/>
      <c r="G339" s="29"/>
      <c r="H339" s="2"/>
      <c r="I339" s="7"/>
      <c r="J339" s="7"/>
      <c r="K339" s="7"/>
      <c r="L339" s="2"/>
      <c r="M339" s="2"/>
    </row>
    <row r="340" spans="2:13" ht="15.75" customHeight="1" x14ac:dyDescent="0.2">
      <c r="B340" s="2"/>
      <c r="C340" s="29"/>
      <c r="D340" s="29"/>
      <c r="E340" s="266"/>
      <c r="F340" s="29"/>
      <c r="G340" s="29"/>
      <c r="H340" s="2"/>
      <c r="I340" s="7"/>
      <c r="J340" s="7"/>
      <c r="K340" s="7"/>
      <c r="L340" s="2"/>
      <c r="M340" s="2"/>
    </row>
    <row r="341" spans="2:13" ht="15.75" customHeight="1" x14ac:dyDescent="0.2">
      <c r="B341" s="2"/>
      <c r="C341" s="29"/>
      <c r="D341" s="29"/>
      <c r="E341" s="266"/>
      <c r="F341" s="29"/>
      <c r="G341" s="29"/>
      <c r="H341" s="2"/>
      <c r="I341" s="7"/>
      <c r="J341" s="7"/>
      <c r="K341" s="7"/>
      <c r="L341" s="2"/>
      <c r="M341" s="2"/>
    </row>
    <row r="342" spans="2:13" ht="15.75" customHeight="1" x14ac:dyDescent="0.2">
      <c r="B342" s="2"/>
      <c r="C342" s="29"/>
      <c r="D342" s="29"/>
      <c r="E342" s="266"/>
      <c r="F342" s="29"/>
      <c r="G342" s="29"/>
      <c r="H342" s="2"/>
      <c r="I342" s="7"/>
      <c r="J342" s="7"/>
      <c r="K342" s="7"/>
      <c r="L342" s="2"/>
      <c r="M342" s="2"/>
    </row>
    <row r="343" spans="2:13" ht="15.75" customHeight="1" x14ac:dyDescent="0.2">
      <c r="B343" s="2"/>
      <c r="C343" s="29"/>
      <c r="D343" s="29"/>
      <c r="E343" s="266"/>
      <c r="F343" s="29"/>
      <c r="G343" s="29"/>
      <c r="H343" s="2"/>
      <c r="I343" s="7"/>
      <c r="J343" s="7"/>
      <c r="K343" s="7"/>
      <c r="L343" s="2"/>
      <c r="M343" s="2"/>
    </row>
    <row r="344" spans="2:13" ht="15.75" customHeight="1" x14ac:dyDescent="0.2">
      <c r="B344" s="2"/>
      <c r="C344" s="29"/>
      <c r="D344" s="29"/>
      <c r="E344" s="266"/>
      <c r="F344" s="29"/>
      <c r="G344" s="29"/>
      <c r="H344" s="2"/>
      <c r="I344" s="7"/>
      <c r="J344" s="7"/>
      <c r="K344" s="7"/>
      <c r="L344" s="2"/>
      <c r="M344" s="2"/>
    </row>
    <row r="345" spans="2:13" ht="15.75" customHeight="1" x14ac:dyDescent="0.2">
      <c r="B345" s="2"/>
      <c r="C345" s="29"/>
      <c r="D345" s="29"/>
      <c r="E345" s="266"/>
      <c r="F345" s="29"/>
      <c r="G345" s="29"/>
      <c r="H345" s="2"/>
      <c r="I345" s="7"/>
      <c r="J345" s="7"/>
      <c r="K345" s="7"/>
      <c r="L345" s="2"/>
      <c r="M345" s="2"/>
    </row>
    <row r="346" spans="2:13" ht="15.75" customHeight="1" x14ac:dyDescent="0.2">
      <c r="B346" s="2"/>
      <c r="C346" s="29"/>
      <c r="D346" s="29"/>
      <c r="E346" s="266"/>
      <c r="F346" s="29"/>
      <c r="G346" s="29"/>
      <c r="H346" s="2"/>
      <c r="I346" s="7"/>
      <c r="J346" s="7"/>
      <c r="K346" s="7"/>
      <c r="L346" s="2"/>
      <c r="M346" s="2"/>
    </row>
    <row r="347" spans="2:13" ht="15.75" customHeight="1" x14ac:dyDescent="0.2">
      <c r="B347" s="2"/>
      <c r="C347" s="29"/>
      <c r="D347" s="29"/>
      <c r="E347" s="266"/>
      <c r="F347" s="29"/>
      <c r="G347" s="29"/>
      <c r="H347" s="2"/>
      <c r="I347" s="7"/>
      <c r="J347" s="7"/>
      <c r="K347" s="7"/>
      <c r="L347" s="2"/>
      <c r="M347" s="2"/>
    </row>
    <row r="348" spans="2:13" ht="15.75" customHeight="1" x14ac:dyDescent="0.2">
      <c r="B348" s="2"/>
      <c r="C348" s="29"/>
      <c r="D348" s="29"/>
      <c r="E348" s="266"/>
      <c r="F348" s="29"/>
      <c r="G348" s="29"/>
      <c r="H348" s="2"/>
      <c r="I348" s="7"/>
      <c r="J348" s="7"/>
      <c r="K348" s="7"/>
      <c r="L348" s="2"/>
      <c r="M348" s="2"/>
    </row>
    <row r="349" spans="2:13" ht="15.75" customHeight="1" x14ac:dyDescent="0.2">
      <c r="B349" s="2"/>
      <c r="C349" s="29"/>
      <c r="D349" s="29"/>
      <c r="E349" s="266"/>
      <c r="F349" s="29"/>
      <c r="G349" s="29"/>
      <c r="H349" s="2"/>
      <c r="I349" s="7"/>
      <c r="J349" s="7"/>
      <c r="K349" s="7"/>
      <c r="L349" s="2"/>
      <c r="M349" s="2"/>
    </row>
    <row r="350" spans="2:13" ht="15.75" customHeight="1" x14ac:dyDescent="0.2">
      <c r="B350" s="2"/>
      <c r="C350" s="29"/>
      <c r="D350" s="29"/>
      <c r="E350" s="266"/>
      <c r="F350" s="29"/>
      <c r="G350" s="29"/>
      <c r="H350" s="2"/>
      <c r="I350" s="7"/>
      <c r="J350" s="7"/>
      <c r="K350" s="7"/>
      <c r="L350" s="2"/>
      <c r="M350" s="2"/>
    </row>
    <row r="351" spans="2:13" ht="15.75" customHeight="1" x14ac:dyDescent="0.2">
      <c r="B351" s="2"/>
      <c r="C351" s="29"/>
      <c r="D351" s="29"/>
      <c r="E351" s="266"/>
      <c r="F351" s="29"/>
      <c r="G351" s="29"/>
      <c r="H351" s="2"/>
      <c r="I351" s="7"/>
      <c r="J351" s="7"/>
      <c r="K351" s="7"/>
      <c r="L351" s="2"/>
      <c r="M351" s="2"/>
    </row>
    <row r="352" spans="2:13" ht="15.75" customHeight="1" x14ac:dyDescent="0.2">
      <c r="B352" s="2"/>
      <c r="C352" s="29"/>
      <c r="D352" s="29"/>
      <c r="E352" s="266"/>
      <c r="F352" s="29"/>
      <c r="G352" s="29"/>
      <c r="H352" s="2"/>
      <c r="I352" s="7"/>
      <c r="J352" s="7"/>
      <c r="K352" s="7"/>
      <c r="L352" s="2"/>
      <c r="M352" s="2"/>
    </row>
    <row r="353" spans="2:13" ht="15.75" customHeight="1" x14ac:dyDescent="0.2">
      <c r="B353" s="2"/>
      <c r="C353" s="29"/>
      <c r="D353" s="29"/>
      <c r="E353" s="266"/>
      <c r="F353" s="29"/>
      <c r="G353" s="29"/>
      <c r="H353" s="2"/>
      <c r="I353" s="7"/>
      <c r="J353" s="7"/>
      <c r="K353" s="7"/>
      <c r="L353" s="2"/>
      <c r="M353" s="2"/>
    </row>
    <row r="354" spans="2:13" ht="15.75" customHeight="1" x14ac:dyDescent="0.2">
      <c r="B354" s="2"/>
      <c r="C354" s="29"/>
      <c r="D354" s="29"/>
      <c r="E354" s="266"/>
      <c r="F354" s="29"/>
      <c r="G354" s="29"/>
      <c r="H354" s="2"/>
      <c r="I354" s="7"/>
      <c r="J354" s="7"/>
      <c r="K354" s="7"/>
      <c r="L354" s="2"/>
      <c r="M354" s="2"/>
    </row>
    <row r="355" spans="2:13" ht="15.75" customHeight="1" x14ac:dyDescent="0.2">
      <c r="B355" s="2"/>
      <c r="C355" s="29"/>
      <c r="D355" s="29"/>
      <c r="E355" s="266"/>
      <c r="F355" s="29"/>
      <c r="G355" s="29"/>
      <c r="H355" s="2"/>
      <c r="I355" s="7"/>
      <c r="J355" s="7"/>
      <c r="K355" s="7"/>
      <c r="L355" s="2"/>
      <c r="M355" s="2"/>
    </row>
    <row r="356" spans="2:13" ht="15.75" customHeight="1" x14ac:dyDescent="0.2">
      <c r="B356" s="2"/>
      <c r="C356" s="29"/>
      <c r="D356" s="29"/>
      <c r="E356" s="266"/>
      <c r="F356" s="29"/>
      <c r="G356" s="29"/>
      <c r="H356" s="2"/>
      <c r="I356" s="7"/>
      <c r="J356" s="7"/>
      <c r="K356" s="7"/>
      <c r="L356" s="2"/>
      <c r="M356" s="2"/>
    </row>
    <row r="357" spans="2:13" ht="15.75" customHeight="1" x14ac:dyDescent="0.2">
      <c r="B357" s="2"/>
      <c r="C357" s="29"/>
      <c r="D357" s="29"/>
      <c r="E357" s="266"/>
      <c r="F357" s="29"/>
      <c r="G357" s="29"/>
      <c r="H357" s="2"/>
      <c r="I357" s="7"/>
      <c r="J357" s="7"/>
      <c r="K357" s="7"/>
      <c r="L357" s="2"/>
      <c r="M357" s="2"/>
    </row>
    <row r="358" spans="2:13" ht="15.75" customHeight="1" x14ac:dyDescent="0.2">
      <c r="B358" s="2"/>
      <c r="C358" s="29"/>
      <c r="D358" s="29"/>
      <c r="E358" s="266"/>
      <c r="F358" s="29"/>
      <c r="G358" s="29"/>
      <c r="H358" s="2"/>
      <c r="I358" s="7"/>
      <c r="J358" s="7"/>
      <c r="K358" s="7"/>
      <c r="L358" s="2"/>
      <c r="M358" s="2"/>
    </row>
    <row r="359" spans="2:13" ht="15.75" customHeight="1" x14ac:dyDescent="0.2">
      <c r="B359" s="2"/>
      <c r="C359" s="29"/>
      <c r="D359" s="29"/>
      <c r="E359" s="266"/>
      <c r="F359" s="29"/>
      <c r="G359" s="29"/>
      <c r="H359" s="2"/>
      <c r="I359" s="7"/>
      <c r="J359" s="7"/>
      <c r="K359" s="7"/>
      <c r="L359" s="2"/>
      <c r="M359" s="2"/>
    </row>
    <row r="360" spans="2:13" ht="15.75" customHeight="1" x14ac:dyDescent="0.2">
      <c r="B360" s="2"/>
      <c r="C360" s="29"/>
      <c r="D360" s="29"/>
      <c r="E360" s="266"/>
      <c r="F360" s="29"/>
      <c r="G360" s="29"/>
      <c r="H360" s="2"/>
      <c r="I360" s="7"/>
      <c r="J360" s="7"/>
      <c r="K360" s="7"/>
      <c r="L360" s="2"/>
      <c r="M360" s="2"/>
    </row>
    <row r="361" spans="2:13" ht="15.75" customHeight="1" x14ac:dyDescent="0.2">
      <c r="B361" s="2"/>
      <c r="C361" s="29"/>
      <c r="D361" s="29"/>
      <c r="E361" s="266"/>
      <c r="F361" s="29"/>
      <c r="G361" s="29"/>
      <c r="H361" s="2"/>
      <c r="I361" s="7"/>
      <c r="J361" s="7"/>
      <c r="K361" s="7"/>
      <c r="L361" s="2"/>
      <c r="M361" s="2"/>
    </row>
    <row r="362" spans="2:13" ht="15.75" customHeight="1" x14ac:dyDescent="0.2">
      <c r="B362" s="2"/>
      <c r="C362" s="29"/>
      <c r="D362" s="29"/>
      <c r="E362" s="266"/>
      <c r="F362" s="29"/>
      <c r="G362" s="29"/>
      <c r="H362" s="2"/>
      <c r="I362" s="7"/>
      <c r="J362" s="7"/>
      <c r="K362" s="7"/>
      <c r="L362" s="2"/>
      <c r="M362" s="2"/>
    </row>
    <row r="363" spans="2:13" ht="15.75" customHeight="1" x14ac:dyDescent="0.2">
      <c r="B363" s="2"/>
      <c r="C363" s="29"/>
      <c r="D363" s="29"/>
      <c r="E363" s="266"/>
      <c r="F363" s="29"/>
      <c r="G363" s="29"/>
      <c r="H363" s="2"/>
      <c r="I363" s="7"/>
      <c r="J363" s="7"/>
      <c r="K363" s="7"/>
      <c r="L363" s="2"/>
      <c r="M363" s="2"/>
    </row>
    <row r="364" spans="2:13" ht="15.75" customHeight="1" x14ac:dyDescent="0.2">
      <c r="B364" s="2"/>
      <c r="C364" s="29"/>
      <c r="D364" s="29"/>
      <c r="E364" s="266"/>
      <c r="F364" s="29"/>
      <c r="G364" s="29"/>
      <c r="H364" s="2"/>
      <c r="I364" s="7"/>
      <c r="J364" s="7"/>
      <c r="K364" s="7"/>
      <c r="L364" s="2"/>
      <c r="M364" s="2"/>
    </row>
    <row r="365" spans="2:13" ht="15.75" customHeight="1" x14ac:dyDescent="0.2">
      <c r="B365" s="2"/>
      <c r="C365" s="29"/>
      <c r="D365" s="29"/>
      <c r="E365" s="266"/>
      <c r="F365" s="29"/>
      <c r="G365" s="29"/>
      <c r="H365" s="2"/>
      <c r="I365" s="7"/>
      <c r="J365" s="7"/>
      <c r="K365" s="7"/>
      <c r="L365" s="2"/>
      <c r="M365" s="2"/>
    </row>
    <row r="366" spans="2:13" ht="15.75" customHeight="1" x14ac:dyDescent="0.2">
      <c r="B366" s="2"/>
      <c r="C366" s="29"/>
      <c r="D366" s="29"/>
      <c r="E366" s="266"/>
      <c r="F366" s="29"/>
      <c r="G366" s="29"/>
      <c r="H366" s="2"/>
      <c r="I366" s="7"/>
      <c r="J366" s="7"/>
      <c r="K366" s="7"/>
      <c r="L366" s="2"/>
      <c r="M366" s="2"/>
    </row>
    <row r="367" spans="2:13" ht="15.75" customHeight="1" x14ac:dyDescent="0.2">
      <c r="B367" s="2"/>
      <c r="C367" s="29"/>
      <c r="D367" s="29"/>
      <c r="E367" s="266"/>
      <c r="F367" s="29"/>
      <c r="G367" s="29"/>
      <c r="H367" s="2"/>
      <c r="I367" s="7"/>
      <c r="J367" s="7"/>
      <c r="K367" s="7"/>
      <c r="L367" s="2"/>
      <c r="M367" s="2"/>
    </row>
    <row r="368" spans="2:13" ht="15.75" customHeight="1" x14ac:dyDescent="0.2">
      <c r="B368" s="2"/>
      <c r="C368" s="29"/>
      <c r="D368" s="29"/>
      <c r="E368" s="266"/>
      <c r="F368" s="29"/>
      <c r="G368" s="29"/>
      <c r="H368" s="2"/>
      <c r="I368" s="7"/>
      <c r="J368" s="7"/>
      <c r="K368" s="7"/>
      <c r="L368" s="2"/>
      <c r="M368" s="2"/>
    </row>
    <row r="369" spans="2:13" ht="15.75" customHeight="1" x14ac:dyDescent="0.2">
      <c r="B369" s="2"/>
      <c r="C369" s="29"/>
      <c r="D369" s="29"/>
      <c r="E369" s="266"/>
      <c r="F369" s="29"/>
      <c r="G369" s="29"/>
      <c r="H369" s="2"/>
      <c r="I369" s="7"/>
      <c r="J369" s="7"/>
      <c r="K369" s="7"/>
      <c r="L369" s="2"/>
      <c r="M369" s="2"/>
    </row>
    <row r="370" spans="2:13" ht="15.75" customHeight="1" x14ac:dyDescent="0.2">
      <c r="B370" s="2"/>
      <c r="C370" s="29"/>
      <c r="D370" s="29"/>
      <c r="E370" s="266"/>
      <c r="F370" s="29"/>
      <c r="G370" s="29"/>
      <c r="H370" s="2"/>
      <c r="I370" s="7"/>
      <c r="J370" s="7"/>
      <c r="K370" s="7"/>
      <c r="L370" s="2"/>
      <c r="M370" s="2"/>
    </row>
    <row r="371" spans="2:13" ht="15.75" customHeight="1" x14ac:dyDescent="0.2">
      <c r="B371" s="2"/>
      <c r="C371" s="29"/>
      <c r="D371" s="29"/>
      <c r="E371" s="266"/>
      <c r="F371" s="29"/>
      <c r="G371" s="29"/>
      <c r="H371" s="2"/>
      <c r="I371" s="7"/>
      <c r="J371" s="7"/>
      <c r="K371" s="7"/>
      <c r="L371" s="2"/>
      <c r="M371" s="2"/>
    </row>
    <row r="372" spans="2:13" ht="15.75" customHeight="1" x14ac:dyDescent="0.2">
      <c r="B372" s="2"/>
      <c r="C372" s="29"/>
      <c r="D372" s="29"/>
      <c r="E372" s="266"/>
      <c r="F372" s="29"/>
      <c r="G372" s="29"/>
      <c r="H372" s="2"/>
      <c r="I372" s="7"/>
      <c r="J372" s="7"/>
      <c r="K372" s="7"/>
      <c r="L372" s="2"/>
      <c r="M372" s="2"/>
    </row>
    <row r="373" spans="2:13" ht="15.75" customHeight="1" x14ac:dyDescent="0.2">
      <c r="B373" s="2"/>
      <c r="C373" s="29"/>
      <c r="D373" s="29"/>
      <c r="E373" s="266"/>
      <c r="F373" s="29"/>
      <c r="G373" s="29"/>
      <c r="H373" s="2"/>
      <c r="I373" s="7"/>
      <c r="J373" s="7"/>
      <c r="K373" s="7"/>
      <c r="L373" s="2"/>
      <c r="M373" s="2"/>
    </row>
    <row r="374" spans="2:13" ht="15.75" customHeight="1" x14ac:dyDescent="0.2">
      <c r="B374" s="2"/>
      <c r="C374" s="29"/>
      <c r="D374" s="29"/>
      <c r="E374" s="266"/>
      <c r="F374" s="29"/>
      <c r="G374" s="29"/>
      <c r="H374" s="2"/>
      <c r="I374" s="7"/>
      <c r="J374" s="7"/>
      <c r="K374" s="7"/>
      <c r="L374" s="2"/>
      <c r="M374" s="2"/>
    </row>
    <row r="375" spans="2:13" ht="15.75" customHeight="1" x14ac:dyDescent="0.2">
      <c r="B375" s="2"/>
      <c r="C375" s="29"/>
      <c r="D375" s="29"/>
      <c r="E375" s="266"/>
      <c r="F375" s="29"/>
      <c r="G375" s="29"/>
      <c r="H375" s="2"/>
      <c r="I375" s="7"/>
      <c r="J375" s="7"/>
      <c r="K375" s="7"/>
      <c r="L375" s="2"/>
      <c r="M375" s="2"/>
    </row>
    <row r="376" spans="2:13" ht="15.75" customHeight="1" x14ac:dyDescent="0.2">
      <c r="B376" s="2"/>
      <c r="C376" s="29"/>
      <c r="D376" s="29"/>
      <c r="E376" s="266"/>
      <c r="F376" s="29"/>
      <c r="G376" s="29"/>
      <c r="H376" s="2"/>
      <c r="I376" s="7"/>
      <c r="J376" s="7"/>
      <c r="K376" s="7"/>
      <c r="L376" s="2"/>
      <c r="M376" s="2"/>
    </row>
    <row r="377" spans="2:13" ht="15.75" customHeight="1" x14ac:dyDescent="0.2">
      <c r="B377" s="2"/>
      <c r="C377" s="29"/>
      <c r="D377" s="29"/>
      <c r="E377" s="266"/>
      <c r="F377" s="29"/>
      <c r="G377" s="29"/>
      <c r="H377" s="2"/>
      <c r="I377" s="7"/>
      <c r="J377" s="7"/>
      <c r="K377" s="7"/>
      <c r="L377" s="2"/>
      <c r="M377" s="2"/>
    </row>
    <row r="378" spans="2:13" ht="15.75" customHeight="1" x14ac:dyDescent="0.2">
      <c r="B378" s="2"/>
      <c r="C378" s="29"/>
      <c r="D378" s="29"/>
      <c r="E378" s="266"/>
      <c r="F378" s="29"/>
      <c r="G378" s="29"/>
      <c r="H378" s="2"/>
      <c r="I378" s="7"/>
      <c r="J378" s="7"/>
      <c r="K378" s="7"/>
      <c r="L378" s="2"/>
      <c r="M378" s="2"/>
    </row>
    <row r="379" spans="2:13" ht="15.75" customHeight="1" x14ac:dyDescent="0.2">
      <c r="B379" s="2"/>
      <c r="C379" s="29"/>
      <c r="D379" s="29"/>
      <c r="E379" s="266"/>
      <c r="F379" s="29"/>
      <c r="G379" s="29"/>
      <c r="H379" s="2"/>
      <c r="I379" s="7"/>
      <c r="J379" s="7"/>
      <c r="K379" s="7"/>
      <c r="L379" s="2"/>
      <c r="M379" s="2"/>
    </row>
    <row r="380" spans="2:13" ht="15.75" customHeight="1" x14ac:dyDescent="0.2">
      <c r="B380" s="2"/>
      <c r="C380" s="29"/>
      <c r="D380" s="29"/>
      <c r="E380" s="266"/>
      <c r="F380" s="29"/>
      <c r="G380" s="29"/>
      <c r="H380" s="2"/>
      <c r="I380" s="7"/>
      <c r="J380" s="7"/>
      <c r="K380" s="7"/>
      <c r="L380" s="2"/>
      <c r="M380" s="2"/>
    </row>
    <row r="381" spans="2:13" ht="15.75" customHeight="1" x14ac:dyDescent="0.2">
      <c r="B381" s="2"/>
      <c r="C381" s="29"/>
      <c r="D381" s="29"/>
      <c r="E381" s="266"/>
      <c r="F381" s="29"/>
      <c r="G381" s="29"/>
      <c r="H381" s="2"/>
      <c r="I381" s="7"/>
      <c r="J381" s="7"/>
      <c r="K381" s="7"/>
      <c r="L381" s="2"/>
      <c r="M381" s="2"/>
    </row>
    <row r="382" spans="2:13" ht="15.75" customHeight="1" x14ac:dyDescent="0.2">
      <c r="B382" s="2"/>
      <c r="C382" s="29"/>
      <c r="D382" s="29"/>
      <c r="E382" s="266"/>
      <c r="F382" s="29"/>
      <c r="G382" s="29"/>
      <c r="H382" s="2"/>
      <c r="I382" s="7"/>
      <c r="J382" s="7"/>
      <c r="K382" s="7"/>
      <c r="L382" s="2"/>
      <c r="M382" s="2"/>
    </row>
    <row r="383" spans="2:13" ht="15.75" customHeight="1" x14ac:dyDescent="0.2">
      <c r="B383" s="2"/>
      <c r="C383" s="29"/>
      <c r="D383" s="29"/>
      <c r="E383" s="266"/>
      <c r="F383" s="29"/>
      <c r="G383" s="29"/>
      <c r="H383" s="2"/>
      <c r="I383" s="7"/>
      <c r="J383" s="7"/>
      <c r="K383" s="7"/>
      <c r="L383" s="2"/>
      <c r="M383" s="2"/>
    </row>
    <row r="384" spans="2:13" ht="15.75" customHeight="1" x14ac:dyDescent="0.2">
      <c r="B384" s="2"/>
      <c r="C384" s="29"/>
      <c r="D384" s="29"/>
      <c r="E384" s="266"/>
      <c r="F384" s="29"/>
      <c r="G384" s="29"/>
      <c r="H384" s="2"/>
      <c r="I384" s="7"/>
      <c r="J384" s="7"/>
      <c r="K384" s="7"/>
      <c r="L384" s="2"/>
      <c r="M384" s="2"/>
    </row>
    <row r="385" spans="2:13" ht="15.75" customHeight="1" x14ac:dyDescent="0.2">
      <c r="B385" s="2"/>
      <c r="C385" s="29"/>
      <c r="D385" s="29"/>
      <c r="E385" s="266"/>
      <c r="F385" s="29"/>
      <c r="G385" s="29"/>
      <c r="H385" s="2"/>
      <c r="I385" s="7"/>
      <c r="J385" s="7"/>
      <c r="K385" s="7"/>
      <c r="L385" s="2"/>
      <c r="M385" s="2"/>
    </row>
    <row r="386" spans="2:13" ht="15.75" customHeight="1" x14ac:dyDescent="0.2">
      <c r="B386" s="2"/>
      <c r="C386" s="29"/>
      <c r="D386" s="29"/>
      <c r="E386" s="266"/>
      <c r="F386" s="29"/>
      <c r="G386" s="29"/>
      <c r="H386" s="2"/>
      <c r="I386" s="7"/>
      <c r="J386" s="7"/>
      <c r="K386" s="7"/>
      <c r="L386" s="2"/>
      <c r="M386" s="2"/>
    </row>
    <row r="387" spans="2:13" ht="15.75" customHeight="1" x14ac:dyDescent="0.2">
      <c r="B387" s="2"/>
      <c r="C387" s="29"/>
      <c r="D387" s="29"/>
      <c r="E387" s="266"/>
      <c r="F387" s="29"/>
      <c r="G387" s="29"/>
      <c r="H387" s="2"/>
      <c r="I387" s="7"/>
      <c r="J387" s="7"/>
      <c r="K387" s="7"/>
      <c r="L387" s="2"/>
      <c r="M387" s="2"/>
    </row>
    <row r="388" spans="2:13" ht="15.75" customHeight="1" x14ac:dyDescent="0.2">
      <c r="B388" s="2"/>
      <c r="C388" s="29"/>
      <c r="D388" s="29"/>
      <c r="E388" s="266"/>
      <c r="F388" s="29"/>
      <c r="G388" s="29"/>
      <c r="H388" s="2"/>
      <c r="I388" s="7"/>
      <c r="J388" s="7"/>
      <c r="K388" s="7"/>
      <c r="L388" s="2"/>
      <c r="M388" s="2"/>
    </row>
    <row r="389" spans="2:13" ht="15.75" customHeight="1" x14ac:dyDescent="0.2">
      <c r="B389" s="2"/>
      <c r="C389" s="29"/>
      <c r="D389" s="29"/>
      <c r="E389" s="266"/>
      <c r="F389" s="29"/>
      <c r="G389" s="29"/>
      <c r="H389" s="2"/>
      <c r="I389" s="7"/>
      <c r="J389" s="7"/>
      <c r="K389" s="7"/>
      <c r="L389" s="2"/>
      <c r="M389" s="2"/>
    </row>
    <row r="390" spans="2:13" ht="15.75" customHeight="1" x14ac:dyDescent="0.2">
      <c r="B390" s="2"/>
      <c r="C390" s="29"/>
      <c r="D390" s="29"/>
      <c r="E390" s="266"/>
      <c r="F390" s="29"/>
      <c r="G390" s="29"/>
      <c r="H390" s="2"/>
      <c r="I390" s="7"/>
      <c r="J390" s="7"/>
      <c r="K390" s="7"/>
      <c r="L390" s="2"/>
      <c r="M390" s="2"/>
    </row>
    <row r="391" spans="2:13" ht="15.75" customHeight="1" x14ac:dyDescent="0.2">
      <c r="B391" s="2"/>
      <c r="C391" s="29"/>
      <c r="D391" s="29"/>
      <c r="E391" s="266"/>
      <c r="F391" s="29"/>
      <c r="G391" s="29"/>
      <c r="H391" s="2"/>
      <c r="I391" s="7"/>
      <c r="J391" s="7"/>
      <c r="K391" s="7"/>
      <c r="L391" s="2"/>
      <c r="M391" s="2"/>
    </row>
    <row r="392" spans="2:13" ht="15.75" customHeight="1" x14ac:dyDescent="0.2">
      <c r="B392" s="2"/>
      <c r="C392" s="29"/>
      <c r="D392" s="29"/>
      <c r="E392" s="266"/>
      <c r="F392" s="29"/>
      <c r="G392" s="29"/>
      <c r="H392" s="2"/>
      <c r="I392" s="7"/>
      <c r="J392" s="7"/>
      <c r="K392" s="7"/>
      <c r="L392" s="2"/>
      <c r="M392" s="2"/>
    </row>
    <row r="393" spans="2:13" ht="15.75" customHeight="1" x14ac:dyDescent="0.2">
      <c r="B393" s="2"/>
      <c r="C393" s="29"/>
      <c r="D393" s="29"/>
      <c r="E393" s="266"/>
      <c r="F393" s="29"/>
      <c r="G393" s="29"/>
      <c r="H393" s="2"/>
      <c r="I393" s="7"/>
      <c r="J393" s="7"/>
      <c r="K393" s="7"/>
      <c r="L393" s="2"/>
      <c r="M393" s="2"/>
    </row>
    <row r="394" spans="2:13" ht="15.75" customHeight="1" x14ac:dyDescent="0.2">
      <c r="B394" s="2"/>
      <c r="C394" s="29"/>
      <c r="D394" s="29"/>
      <c r="E394" s="266"/>
      <c r="F394" s="29"/>
      <c r="G394" s="29"/>
      <c r="H394" s="2"/>
      <c r="I394" s="7"/>
      <c r="J394" s="7"/>
      <c r="K394" s="7"/>
      <c r="L394" s="2"/>
      <c r="M394" s="2"/>
    </row>
    <row r="395" spans="2:13" ht="15.75" customHeight="1" x14ac:dyDescent="0.2">
      <c r="B395" s="2"/>
      <c r="C395" s="29"/>
      <c r="D395" s="29"/>
      <c r="E395" s="266"/>
      <c r="F395" s="29"/>
      <c r="G395" s="29"/>
      <c r="H395" s="2"/>
      <c r="I395" s="7"/>
      <c r="J395" s="7"/>
      <c r="K395" s="7"/>
      <c r="L395" s="2"/>
      <c r="M395" s="2"/>
    </row>
    <row r="396" spans="2:13" ht="15.75" customHeight="1" x14ac:dyDescent="0.2">
      <c r="B396" s="2"/>
      <c r="C396" s="29"/>
      <c r="D396" s="29"/>
      <c r="E396" s="266"/>
      <c r="F396" s="29"/>
      <c r="G396" s="29"/>
      <c r="H396" s="2"/>
      <c r="I396" s="7"/>
      <c r="J396" s="7"/>
      <c r="K396" s="7"/>
      <c r="L396" s="2"/>
      <c r="M396" s="2"/>
    </row>
    <row r="397" spans="2:13" ht="15.75" customHeight="1" x14ac:dyDescent="0.2">
      <c r="B397" s="2"/>
      <c r="C397" s="29"/>
      <c r="D397" s="29"/>
      <c r="E397" s="266"/>
      <c r="F397" s="29"/>
      <c r="G397" s="29"/>
      <c r="H397" s="2"/>
      <c r="I397" s="7"/>
      <c r="J397" s="7"/>
      <c r="K397" s="7"/>
      <c r="L397" s="2"/>
      <c r="M397" s="2"/>
    </row>
    <row r="398" spans="2:13" ht="15.75" customHeight="1" x14ac:dyDescent="0.2">
      <c r="B398" s="2"/>
      <c r="C398" s="29"/>
      <c r="D398" s="29"/>
      <c r="E398" s="266"/>
      <c r="F398" s="29"/>
      <c r="G398" s="29"/>
      <c r="H398" s="2"/>
      <c r="I398" s="7"/>
      <c r="J398" s="7"/>
      <c r="K398" s="7"/>
      <c r="L398" s="2"/>
      <c r="M398" s="2"/>
    </row>
    <row r="399" spans="2:13" ht="15.75" customHeight="1" x14ac:dyDescent="0.2">
      <c r="B399" s="2"/>
      <c r="C399" s="29"/>
      <c r="D399" s="29"/>
      <c r="E399" s="266"/>
      <c r="F399" s="29"/>
      <c r="G399" s="29"/>
      <c r="H399" s="2"/>
      <c r="I399" s="7"/>
      <c r="J399" s="7"/>
      <c r="K399" s="7"/>
      <c r="L399" s="2"/>
      <c r="M399" s="2"/>
    </row>
    <row r="400" spans="2:13" ht="15.75" customHeight="1" x14ac:dyDescent="0.2">
      <c r="B400" s="2"/>
      <c r="C400" s="29"/>
      <c r="D400" s="29"/>
      <c r="E400" s="266"/>
      <c r="F400" s="29"/>
      <c r="G400" s="29"/>
      <c r="H400" s="2"/>
      <c r="I400" s="7"/>
      <c r="J400" s="7"/>
      <c r="K400" s="7"/>
      <c r="L400" s="2"/>
      <c r="M400" s="2"/>
    </row>
    <row r="401" spans="2:13" ht="15.75" customHeight="1" x14ac:dyDescent="0.2">
      <c r="B401" s="2"/>
      <c r="C401" s="29"/>
      <c r="D401" s="29"/>
      <c r="E401" s="266"/>
      <c r="F401" s="29"/>
      <c r="G401" s="29"/>
      <c r="H401" s="2"/>
      <c r="I401" s="7"/>
      <c r="J401" s="7"/>
      <c r="K401" s="7"/>
      <c r="L401" s="2"/>
      <c r="M401" s="2"/>
    </row>
    <row r="402" spans="2:13" ht="15.75" customHeight="1" x14ac:dyDescent="0.2">
      <c r="B402" s="2"/>
      <c r="C402" s="29"/>
      <c r="D402" s="29"/>
      <c r="E402" s="266"/>
      <c r="F402" s="29"/>
      <c r="G402" s="29"/>
      <c r="H402" s="2"/>
      <c r="I402" s="7"/>
      <c r="J402" s="7"/>
      <c r="K402" s="7"/>
      <c r="L402" s="2"/>
      <c r="M402" s="2"/>
    </row>
    <row r="403" spans="2:13" ht="15.75" customHeight="1" x14ac:dyDescent="0.2">
      <c r="B403" s="2"/>
      <c r="C403" s="29"/>
      <c r="D403" s="29"/>
      <c r="E403" s="266"/>
      <c r="F403" s="29"/>
      <c r="G403" s="29"/>
      <c r="H403" s="2"/>
      <c r="I403" s="7"/>
      <c r="J403" s="7"/>
      <c r="K403" s="7"/>
      <c r="L403" s="2"/>
      <c r="M403" s="2"/>
    </row>
    <row r="404" spans="2:13" ht="15.75" customHeight="1" x14ac:dyDescent="0.2">
      <c r="B404" s="2"/>
      <c r="C404" s="29"/>
      <c r="D404" s="29"/>
      <c r="E404" s="266"/>
      <c r="F404" s="29"/>
      <c r="G404" s="29"/>
      <c r="H404" s="2"/>
      <c r="I404" s="7"/>
      <c r="J404" s="7"/>
      <c r="K404" s="7"/>
      <c r="L404" s="2"/>
      <c r="M404" s="2"/>
    </row>
    <row r="405" spans="2:13" ht="15.75" customHeight="1" x14ac:dyDescent="0.2">
      <c r="B405" s="2"/>
      <c r="C405" s="29"/>
      <c r="D405" s="29"/>
      <c r="E405" s="266"/>
      <c r="F405" s="29"/>
      <c r="G405" s="29"/>
      <c r="H405" s="2"/>
      <c r="I405" s="7"/>
      <c r="J405" s="7"/>
      <c r="K405" s="7"/>
      <c r="L405" s="2"/>
      <c r="M405" s="2"/>
    </row>
    <row r="406" spans="2:13" ht="15.75" customHeight="1" x14ac:dyDescent="0.2">
      <c r="B406" s="2"/>
      <c r="C406" s="29"/>
      <c r="D406" s="29"/>
      <c r="E406" s="266"/>
      <c r="F406" s="29"/>
      <c r="G406" s="29"/>
      <c r="H406" s="2"/>
      <c r="I406" s="7"/>
      <c r="J406" s="7"/>
      <c r="K406" s="7"/>
      <c r="L406" s="2"/>
      <c r="M406" s="2"/>
    </row>
    <row r="407" spans="2:13" ht="15.75" customHeight="1" x14ac:dyDescent="0.2">
      <c r="B407" s="2"/>
      <c r="C407" s="29"/>
      <c r="D407" s="29"/>
      <c r="E407" s="266"/>
      <c r="F407" s="29"/>
      <c r="G407" s="29"/>
      <c r="H407" s="2"/>
      <c r="I407" s="7"/>
      <c r="J407" s="7"/>
      <c r="K407" s="7"/>
      <c r="L407" s="2"/>
      <c r="M407" s="2"/>
    </row>
    <row r="408" spans="2:13" ht="15.75" customHeight="1" x14ac:dyDescent="0.2">
      <c r="B408" s="2"/>
      <c r="C408" s="29"/>
      <c r="D408" s="29"/>
      <c r="E408" s="266"/>
      <c r="F408" s="29"/>
      <c r="G408" s="29"/>
      <c r="H408" s="2"/>
      <c r="I408" s="7"/>
      <c r="J408" s="7"/>
      <c r="K408" s="7"/>
      <c r="L408" s="2"/>
      <c r="M408" s="2"/>
    </row>
    <row r="409" spans="2:13" ht="15.75" customHeight="1" x14ac:dyDescent="0.2">
      <c r="B409" s="2"/>
      <c r="C409" s="29"/>
      <c r="D409" s="29"/>
      <c r="E409" s="266"/>
      <c r="F409" s="29"/>
      <c r="G409" s="29"/>
      <c r="H409" s="2"/>
      <c r="I409" s="7"/>
      <c r="J409" s="7"/>
      <c r="K409" s="7"/>
      <c r="L409" s="2"/>
      <c r="M409" s="2"/>
    </row>
    <row r="410" spans="2:13" ht="15.75" customHeight="1" x14ac:dyDescent="0.2">
      <c r="B410" s="2"/>
      <c r="C410" s="29"/>
      <c r="D410" s="29"/>
      <c r="E410" s="266"/>
      <c r="F410" s="29"/>
      <c r="G410" s="29"/>
      <c r="H410" s="2"/>
      <c r="I410" s="7"/>
      <c r="J410" s="7"/>
      <c r="K410" s="7"/>
      <c r="L410" s="2"/>
      <c r="M410" s="2"/>
    </row>
    <row r="411" spans="2:13" ht="15.75" customHeight="1" x14ac:dyDescent="0.2">
      <c r="B411" s="2"/>
      <c r="C411" s="29"/>
      <c r="D411" s="29"/>
      <c r="E411" s="266"/>
      <c r="F411" s="29"/>
      <c r="G411" s="29"/>
      <c r="H411" s="2"/>
      <c r="I411" s="7"/>
      <c r="J411" s="7"/>
      <c r="K411" s="7"/>
      <c r="L411" s="2"/>
      <c r="M411" s="2"/>
    </row>
    <row r="412" spans="2:13" ht="15.75" customHeight="1" x14ac:dyDescent="0.2">
      <c r="B412" s="2"/>
      <c r="C412" s="29"/>
      <c r="D412" s="29"/>
      <c r="E412" s="266"/>
      <c r="F412" s="29"/>
      <c r="G412" s="29"/>
      <c r="H412" s="2"/>
      <c r="I412" s="7"/>
      <c r="J412" s="7"/>
      <c r="K412" s="7"/>
      <c r="L412" s="2"/>
      <c r="M412" s="2"/>
    </row>
    <row r="413" spans="2:13" ht="15.75" customHeight="1" x14ac:dyDescent="0.2">
      <c r="B413" s="2"/>
      <c r="C413" s="29"/>
      <c r="D413" s="29"/>
      <c r="E413" s="266"/>
      <c r="F413" s="29"/>
      <c r="G413" s="29"/>
      <c r="H413" s="2"/>
      <c r="I413" s="7"/>
      <c r="J413" s="7"/>
      <c r="K413" s="7"/>
      <c r="L413" s="2"/>
      <c r="M413" s="2"/>
    </row>
    <row r="414" spans="2:13" ht="15.75" customHeight="1" x14ac:dyDescent="0.2">
      <c r="B414" s="2"/>
      <c r="C414" s="29"/>
      <c r="D414" s="29"/>
      <c r="E414" s="266"/>
      <c r="F414" s="29"/>
      <c r="G414" s="29"/>
      <c r="H414" s="2"/>
      <c r="I414" s="7"/>
      <c r="J414" s="7"/>
      <c r="K414" s="7"/>
      <c r="L414" s="2"/>
      <c r="M414" s="2"/>
    </row>
    <row r="415" spans="2:13" ht="15.75" customHeight="1" x14ac:dyDescent="0.2">
      <c r="B415" s="2"/>
      <c r="C415" s="29"/>
      <c r="D415" s="29"/>
      <c r="E415" s="266"/>
      <c r="F415" s="29"/>
      <c r="G415" s="29"/>
      <c r="H415" s="2"/>
      <c r="I415" s="7"/>
      <c r="J415" s="7"/>
      <c r="K415" s="7"/>
      <c r="L415" s="2"/>
      <c r="M415" s="2"/>
    </row>
    <row r="416" spans="2:13" ht="15.75" customHeight="1" x14ac:dyDescent="0.2">
      <c r="B416" s="2"/>
      <c r="C416" s="29"/>
      <c r="D416" s="29"/>
      <c r="E416" s="266"/>
      <c r="F416" s="29"/>
      <c r="G416" s="29"/>
      <c r="H416" s="2"/>
      <c r="I416" s="7"/>
      <c r="J416" s="7"/>
      <c r="K416" s="7"/>
      <c r="L416" s="2"/>
      <c r="M416" s="2"/>
    </row>
    <row r="417" spans="2:13" ht="15.75" customHeight="1" x14ac:dyDescent="0.2">
      <c r="B417" s="2"/>
      <c r="C417" s="29"/>
      <c r="D417" s="29"/>
      <c r="E417" s="266"/>
      <c r="F417" s="29"/>
      <c r="G417" s="29"/>
      <c r="H417" s="2"/>
      <c r="I417" s="7"/>
      <c r="J417" s="7"/>
      <c r="K417" s="7"/>
      <c r="L417" s="2"/>
      <c r="M417" s="2"/>
    </row>
    <row r="418" spans="2:13" ht="15.75" customHeight="1" x14ac:dyDescent="0.2">
      <c r="B418" s="2"/>
      <c r="C418" s="29"/>
      <c r="D418" s="29"/>
      <c r="E418" s="266"/>
      <c r="F418" s="29"/>
      <c r="G418" s="29"/>
      <c r="H418" s="2"/>
      <c r="I418" s="7"/>
      <c r="J418" s="7"/>
      <c r="K418" s="7"/>
      <c r="L418" s="2"/>
      <c r="M418" s="2"/>
    </row>
    <row r="419" spans="2:13" ht="15.75" customHeight="1" x14ac:dyDescent="0.2">
      <c r="B419" s="2"/>
      <c r="C419" s="29"/>
      <c r="D419" s="29"/>
      <c r="E419" s="266"/>
      <c r="F419" s="29"/>
      <c r="G419" s="29"/>
      <c r="H419" s="2"/>
      <c r="I419" s="7"/>
      <c r="J419" s="7"/>
      <c r="K419" s="7"/>
      <c r="L419" s="2"/>
      <c r="M419" s="2"/>
    </row>
    <row r="420" spans="2:13" ht="15.75" customHeight="1" x14ac:dyDescent="0.2">
      <c r="B420" s="2"/>
      <c r="C420" s="29"/>
      <c r="D420" s="29"/>
      <c r="E420" s="266"/>
      <c r="F420" s="29"/>
      <c r="G420" s="29"/>
      <c r="H420" s="2"/>
      <c r="I420" s="7"/>
      <c r="J420" s="7"/>
      <c r="K420" s="7"/>
      <c r="L420" s="2"/>
      <c r="M420" s="2"/>
    </row>
    <row r="421" spans="2:13" ht="15.75" customHeight="1" x14ac:dyDescent="0.2">
      <c r="B421" s="2"/>
      <c r="C421" s="29"/>
      <c r="D421" s="29"/>
      <c r="E421" s="266"/>
      <c r="F421" s="29"/>
      <c r="G421" s="29"/>
      <c r="H421" s="2"/>
      <c r="I421" s="7"/>
      <c r="J421" s="7"/>
      <c r="K421" s="7"/>
      <c r="L421" s="2"/>
      <c r="M421" s="2"/>
    </row>
    <row r="422" spans="2:13" ht="15.75" customHeight="1" x14ac:dyDescent="0.2">
      <c r="B422" s="2"/>
      <c r="C422" s="29"/>
      <c r="D422" s="29"/>
      <c r="E422" s="266"/>
      <c r="F422" s="29"/>
      <c r="G422" s="29"/>
      <c r="H422" s="2"/>
      <c r="I422" s="7"/>
      <c r="J422" s="7"/>
      <c r="K422" s="7"/>
      <c r="L422" s="2"/>
      <c r="M422" s="2"/>
    </row>
    <row r="423" spans="2:13" ht="15.75" customHeight="1" x14ac:dyDescent="0.2">
      <c r="B423" s="2"/>
      <c r="C423" s="29"/>
      <c r="D423" s="29"/>
      <c r="E423" s="266"/>
      <c r="F423" s="29"/>
      <c r="G423" s="29"/>
      <c r="H423" s="2"/>
      <c r="I423" s="7"/>
      <c r="J423" s="7"/>
      <c r="K423" s="7"/>
      <c r="L423" s="2"/>
      <c r="M423" s="2"/>
    </row>
    <row r="424" spans="2:13" ht="15.75" customHeight="1" x14ac:dyDescent="0.2">
      <c r="B424" s="2"/>
      <c r="C424" s="29"/>
      <c r="D424" s="29"/>
      <c r="E424" s="266"/>
      <c r="F424" s="29"/>
      <c r="G424" s="29"/>
      <c r="H424" s="2"/>
      <c r="I424" s="7"/>
      <c r="J424" s="7"/>
      <c r="K424" s="7"/>
      <c r="L424" s="2"/>
      <c r="M424" s="2"/>
    </row>
    <row r="425" spans="2:13" ht="15.75" customHeight="1" x14ac:dyDescent="0.2">
      <c r="B425" s="2"/>
      <c r="C425" s="29"/>
      <c r="D425" s="29"/>
      <c r="E425" s="266"/>
      <c r="F425" s="29"/>
      <c r="G425" s="29"/>
      <c r="H425" s="2"/>
      <c r="I425" s="7"/>
      <c r="J425" s="7"/>
      <c r="K425" s="7"/>
      <c r="L425" s="2"/>
      <c r="M425" s="2"/>
    </row>
    <row r="426" spans="2:13" ht="15.75" customHeight="1" x14ac:dyDescent="0.2">
      <c r="B426" s="2"/>
      <c r="C426" s="29"/>
      <c r="D426" s="29"/>
      <c r="E426" s="266"/>
      <c r="F426" s="29"/>
      <c r="G426" s="29"/>
      <c r="H426" s="2"/>
      <c r="I426" s="7"/>
      <c r="J426" s="7"/>
      <c r="K426" s="7"/>
      <c r="L426" s="2"/>
      <c r="M426" s="2"/>
    </row>
    <row r="427" spans="2:13" ht="15.75" customHeight="1" x14ac:dyDescent="0.2">
      <c r="B427" s="2"/>
      <c r="C427" s="29"/>
      <c r="D427" s="29"/>
      <c r="E427" s="266"/>
      <c r="F427" s="29"/>
      <c r="G427" s="29"/>
      <c r="H427" s="2"/>
      <c r="I427" s="7"/>
      <c r="J427" s="7"/>
      <c r="K427" s="7"/>
      <c r="L427" s="2"/>
      <c r="M427" s="2"/>
    </row>
    <row r="428" spans="2:13" ht="15.75" customHeight="1" x14ac:dyDescent="0.2">
      <c r="B428" s="2"/>
      <c r="C428" s="29"/>
      <c r="D428" s="29"/>
      <c r="E428" s="266"/>
      <c r="F428" s="29"/>
      <c r="G428" s="29"/>
      <c r="H428" s="2"/>
      <c r="I428" s="7"/>
      <c r="J428" s="7"/>
      <c r="K428" s="7"/>
      <c r="L428" s="2"/>
      <c r="M428" s="2"/>
    </row>
    <row r="429" spans="2:13" ht="15.75" customHeight="1" x14ac:dyDescent="0.2">
      <c r="B429" s="2"/>
      <c r="C429" s="29"/>
      <c r="D429" s="29"/>
      <c r="E429" s="266"/>
      <c r="F429" s="29"/>
      <c r="G429" s="29"/>
      <c r="H429" s="2"/>
      <c r="I429" s="7"/>
      <c r="J429" s="7"/>
      <c r="K429" s="7"/>
      <c r="L429" s="2"/>
      <c r="M429" s="2"/>
    </row>
    <row r="430" spans="2:13" ht="15.75" customHeight="1" x14ac:dyDescent="0.2">
      <c r="B430" s="2"/>
      <c r="C430" s="29"/>
      <c r="D430" s="29"/>
      <c r="E430" s="266"/>
      <c r="F430" s="29"/>
      <c r="G430" s="29"/>
      <c r="H430" s="2"/>
      <c r="I430" s="7"/>
      <c r="J430" s="7"/>
      <c r="K430" s="7"/>
      <c r="L430" s="2"/>
      <c r="M430" s="2"/>
    </row>
    <row r="431" spans="2:13" ht="15.75" customHeight="1" x14ac:dyDescent="0.2">
      <c r="B431" s="2"/>
      <c r="C431" s="29"/>
      <c r="D431" s="29"/>
      <c r="E431" s="266"/>
      <c r="F431" s="29"/>
      <c r="G431" s="29"/>
      <c r="H431" s="2"/>
      <c r="I431" s="7"/>
      <c r="J431" s="7"/>
      <c r="K431" s="7"/>
      <c r="L431" s="2"/>
      <c r="M431" s="2"/>
    </row>
    <row r="432" spans="2:13" ht="15.75" customHeight="1" x14ac:dyDescent="0.2">
      <c r="B432" s="2"/>
      <c r="C432" s="29"/>
      <c r="D432" s="29"/>
      <c r="E432" s="266"/>
      <c r="F432" s="29"/>
      <c r="G432" s="29"/>
      <c r="H432" s="2"/>
      <c r="I432" s="7"/>
      <c r="J432" s="7"/>
      <c r="K432" s="7"/>
      <c r="L432" s="2"/>
      <c r="M432" s="2"/>
    </row>
    <row r="433" spans="2:13" ht="15.75" customHeight="1" x14ac:dyDescent="0.2">
      <c r="B433" s="2"/>
      <c r="C433" s="29"/>
      <c r="D433" s="29"/>
      <c r="E433" s="266"/>
      <c r="F433" s="29"/>
      <c r="G433" s="29"/>
      <c r="H433" s="2"/>
      <c r="I433" s="7"/>
      <c r="J433" s="7"/>
      <c r="K433" s="7"/>
      <c r="L433" s="2"/>
      <c r="M433" s="2"/>
    </row>
    <row r="434" spans="2:13" ht="15.75" customHeight="1" x14ac:dyDescent="0.2">
      <c r="B434" s="2"/>
      <c r="C434" s="29"/>
      <c r="D434" s="29"/>
      <c r="E434" s="266"/>
      <c r="F434" s="29"/>
      <c r="G434" s="29"/>
      <c r="H434" s="2"/>
      <c r="I434" s="7"/>
      <c r="J434" s="7"/>
      <c r="K434" s="7"/>
      <c r="L434" s="2"/>
      <c r="M434" s="2"/>
    </row>
    <row r="435" spans="2:13" ht="15.75" customHeight="1" x14ac:dyDescent="0.2">
      <c r="B435" s="2"/>
      <c r="C435" s="29"/>
      <c r="D435" s="29"/>
      <c r="E435" s="266"/>
      <c r="F435" s="29"/>
      <c r="G435" s="29"/>
      <c r="H435" s="2"/>
      <c r="I435" s="7"/>
      <c r="J435" s="7"/>
      <c r="K435" s="7"/>
      <c r="L435" s="2"/>
      <c r="M435" s="2"/>
    </row>
    <row r="436" spans="2:13" ht="15.75" customHeight="1" x14ac:dyDescent="0.2">
      <c r="B436" s="2"/>
      <c r="C436" s="29"/>
      <c r="D436" s="29"/>
      <c r="E436" s="266"/>
      <c r="F436" s="29"/>
      <c r="G436" s="29"/>
      <c r="H436" s="2"/>
      <c r="I436" s="7"/>
      <c r="J436" s="7"/>
      <c r="K436" s="7"/>
      <c r="L436" s="2"/>
      <c r="M436" s="2"/>
    </row>
    <row r="437" spans="2:13" ht="15.75" customHeight="1" x14ac:dyDescent="0.2">
      <c r="B437" s="2"/>
      <c r="C437" s="29"/>
      <c r="D437" s="29"/>
      <c r="E437" s="266"/>
      <c r="F437" s="29"/>
      <c r="G437" s="29"/>
      <c r="H437" s="2"/>
      <c r="I437" s="7"/>
      <c r="J437" s="7"/>
      <c r="K437" s="7"/>
      <c r="L437" s="2"/>
      <c r="M437" s="2"/>
    </row>
    <row r="438" spans="2:13" ht="15.75" customHeight="1" x14ac:dyDescent="0.2">
      <c r="B438" s="2"/>
      <c r="C438" s="29"/>
      <c r="D438" s="29"/>
      <c r="E438" s="266"/>
      <c r="F438" s="29"/>
      <c r="G438" s="29"/>
      <c r="H438" s="2"/>
      <c r="I438" s="7"/>
      <c r="J438" s="7"/>
      <c r="K438" s="7"/>
      <c r="L438" s="2"/>
      <c r="M438" s="2"/>
    </row>
    <row r="439" spans="2:13" ht="15.75" customHeight="1" x14ac:dyDescent="0.2">
      <c r="B439" s="2"/>
      <c r="C439" s="29"/>
      <c r="D439" s="29"/>
      <c r="E439" s="266"/>
      <c r="F439" s="29"/>
      <c r="G439" s="29"/>
      <c r="H439" s="2"/>
      <c r="I439" s="7"/>
      <c r="J439" s="7"/>
      <c r="K439" s="7"/>
      <c r="L439" s="2"/>
      <c r="M439" s="2"/>
    </row>
    <row r="440" spans="2:13" ht="15.75" customHeight="1" x14ac:dyDescent="0.2">
      <c r="B440" s="2"/>
      <c r="C440" s="29"/>
      <c r="D440" s="29"/>
      <c r="E440" s="266"/>
      <c r="F440" s="29"/>
      <c r="G440" s="29"/>
      <c r="H440" s="2"/>
      <c r="I440" s="7"/>
      <c r="J440" s="7"/>
      <c r="K440" s="7"/>
      <c r="L440" s="2"/>
      <c r="M440" s="2"/>
    </row>
    <row r="441" spans="2:13" ht="15.75" customHeight="1" x14ac:dyDescent="0.2">
      <c r="B441" s="2"/>
      <c r="C441" s="29"/>
      <c r="D441" s="29"/>
      <c r="E441" s="266"/>
      <c r="F441" s="29"/>
      <c r="G441" s="29"/>
      <c r="H441" s="2"/>
      <c r="I441" s="7"/>
      <c r="J441" s="7"/>
      <c r="K441" s="7"/>
      <c r="L441" s="2"/>
      <c r="M441" s="2"/>
    </row>
    <row r="442" spans="2:13" ht="15.75" customHeight="1" x14ac:dyDescent="0.2">
      <c r="B442" s="2"/>
      <c r="C442" s="29"/>
      <c r="D442" s="29"/>
      <c r="E442" s="266"/>
      <c r="F442" s="29"/>
      <c r="G442" s="29"/>
      <c r="H442" s="2"/>
      <c r="I442" s="7"/>
      <c r="J442" s="7"/>
      <c r="K442" s="7"/>
      <c r="L442" s="2"/>
      <c r="M442" s="2"/>
    </row>
    <row r="443" spans="2:13" ht="15.75" customHeight="1" x14ac:dyDescent="0.2">
      <c r="B443" s="2"/>
      <c r="C443" s="29"/>
      <c r="D443" s="29"/>
      <c r="E443" s="266"/>
      <c r="F443" s="29"/>
      <c r="G443" s="29"/>
      <c r="H443" s="2"/>
      <c r="I443" s="7"/>
      <c r="J443" s="7"/>
      <c r="K443" s="7"/>
      <c r="L443" s="2"/>
      <c r="M443" s="2"/>
    </row>
    <row r="444" spans="2:13" ht="15.75" customHeight="1" x14ac:dyDescent="0.2">
      <c r="B444" s="2"/>
      <c r="C444" s="29"/>
      <c r="D444" s="29"/>
      <c r="E444" s="266"/>
      <c r="F444" s="29"/>
      <c r="G444" s="29"/>
      <c r="H444" s="2"/>
      <c r="I444" s="7"/>
      <c r="J444" s="7"/>
      <c r="K444" s="7"/>
      <c r="L444" s="2"/>
      <c r="M444" s="2"/>
    </row>
    <row r="445" spans="2:13" ht="15.75" customHeight="1" x14ac:dyDescent="0.2">
      <c r="B445" s="2"/>
      <c r="C445" s="29"/>
      <c r="D445" s="29"/>
      <c r="E445" s="266"/>
      <c r="F445" s="29"/>
      <c r="G445" s="29"/>
      <c r="H445" s="2"/>
      <c r="I445" s="7"/>
      <c r="J445" s="7"/>
      <c r="K445" s="7"/>
      <c r="L445" s="2"/>
      <c r="M445" s="2"/>
    </row>
    <row r="446" spans="2:13" ht="15.75" customHeight="1" x14ac:dyDescent="0.2">
      <c r="B446" s="2"/>
      <c r="C446" s="29"/>
      <c r="D446" s="29"/>
      <c r="E446" s="266"/>
      <c r="F446" s="29"/>
      <c r="G446" s="29"/>
      <c r="H446" s="2"/>
      <c r="I446" s="7"/>
      <c r="J446" s="7"/>
      <c r="K446" s="7"/>
      <c r="L446" s="2"/>
      <c r="M446" s="2"/>
    </row>
    <row r="447" spans="2:13" ht="15.75" customHeight="1" x14ac:dyDescent="0.2">
      <c r="B447" s="2"/>
      <c r="C447" s="29"/>
      <c r="D447" s="29"/>
      <c r="E447" s="266"/>
      <c r="F447" s="29"/>
      <c r="G447" s="29"/>
      <c r="H447" s="2"/>
      <c r="I447" s="7"/>
      <c r="J447" s="7"/>
      <c r="K447" s="7"/>
      <c r="L447" s="2"/>
      <c r="M447" s="2"/>
    </row>
    <row r="448" spans="2:13" ht="15.75" customHeight="1" x14ac:dyDescent="0.2">
      <c r="B448" s="2"/>
      <c r="C448" s="29"/>
      <c r="D448" s="29"/>
      <c r="E448" s="266"/>
      <c r="F448" s="29"/>
      <c r="G448" s="29"/>
      <c r="H448" s="2"/>
      <c r="I448" s="7"/>
      <c r="J448" s="7"/>
      <c r="K448" s="7"/>
      <c r="L448" s="2"/>
      <c r="M448" s="2"/>
    </row>
    <row r="449" spans="2:13" ht="15.75" customHeight="1" x14ac:dyDescent="0.2">
      <c r="B449" s="2"/>
      <c r="C449" s="29"/>
      <c r="D449" s="29"/>
      <c r="E449" s="266"/>
      <c r="F449" s="29"/>
      <c r="G449" s="29"/>
      <c r="H449" s="2"/>
      <c r="I449" s="7"/>
      <c r="J449" s="7"/>
      <c r="K449" s="7"/>
      <c r="L449" s="2"/>
      <c r="M449" s="2"/>
    </row>
    <row r="450" spans="2:13" ht="15.75" customHeight="1" x14ac:dyDescent="0.2">
      <c r="B450" s="2"/>
      <c r="C450" s="29"/>
      <c r="D450" s="29"/>
      <c r="E450" s="266"/>
      <c r="F450" s="29"/>
      <c r="G450" s="29"/>
      <c r="H450" s="2"/>
      <c r="I450" s="7"/>
      <c r="J450" s="7"/>
      <c r="K450" s="7"/>
      <c r="L450" s="2"/>
      <c r="M450" s="2"/>
    </row>
    <row r="451" spans="2:13" ht="15.75" customHeight="1" x14ac:dyDescent="0.2">
      <c r="B451" s="2"/>
      <c r="C451" s="29"/>
      <c r="D451" s="29"/>
      <c r="E451" s="266"/>
      <c r="F451" s="29"/>
      <c r="G451" s="29"/>
      <c r="H451" s="2"/>
      <c r="I451" s="7"/>
      <c r="J451" s="7"/>
      <c r="K451" s="7"/>
      <c r="L451" s="2"/>
      <c r="M451" s="2"/>
    </row>
    <row r="452" spans="2:13" ht="15.75" customHeight="1" x14ac:dyDescent="0.2">
      <c r="B452" s="2"/>
      <c r="C452" s="29"/>
      <c r="D452" s="29"/>
      <c r="E452" s="266"/>
      <c r="F452" s="29"/>
      <c r="G452" s="29"/>
      <c r="H452" s="2"/>
      <c r="I452" s="7"/>
      <c r="J452" s="7"/>
      <c r="K452" s="7"/>
      <c r="L452" s="2"/>
      <c r="M452" s="2"/>
    </row>
    <row r="453" spans="2:13" ht="15.75" customHeight="1" x14ac:dyDescent="0.2">
      <c r="B453" s="2"/>
      <c r="C453" s="29"/>
      <c r="D453" s="29"/>
      <c r="E453" s="266"/>
      <c r="F453" s="29"/>
      <c r="G453" s="29"/>
      <c r="H453" s="2"/>
      <c r="I453" s="7"/>
      <c r="J453" s="7"/>
      <c r="K453" s="7"/>
      <c r="L453" s="2"/>
      <c r="M453" s="2"/>
    </row>
    <row r="454" spans="2:13" ht="15.75" customHeight="1" x14ac:dyDescent="0.2">
      <c r="B454" s="2"/>
      <c r="C454" s="29"/>
      <c r="D454" s="29"/>
      <c r="E454" s="266"/>
      <c r="F454" s="29"/>
      <c r="G454" s="29"/>
      <c r="H454" s="2"/>
      <c r="I454" s="7"/>
      <c r="J454" s="7"/>
      <c r="K454" s="7"/>
      <c r="L454" s="2"/>
      <c r="M454" s="2"/>
    </row>
    <row r="455" spans="2:13" ht="15.75" customHeight="1" x14ac:dyDescent="0.2">
      <c r="B455" s="2"/>
      <c r="C455" s="29"/>
      <c r="D455" s="29"/>
      <c r="E455" s="266"/>
      <c r="F455" s="29"/>
      <c r="G455" s="29"/>
      <c r="H455" s="2"/>
      <c r="I455" s="7"/>
      <c r="J455" s="7"/>
      <c r="K455" s="7"/>
      <c r="L455" s="2"/>
      <c r="M455" s="2"/>
    </row>
    <row r="456" spans="2:13" ht="15.75" customHeight="1" x14ac:dyDescent="0.2">
      <c r="B456" s="2"/>
      <c r="C456" s="29"/>
      <c r="D456" s="29"/>
      <c r="E456" s="266"/>
      <c r="F456" s="29"/>
      <c r="G456" s="29"/>
      <c r="H456" s="2"/>
      <c r="I456" s="7"/>
      <c r="J456" s="7"/>
      <c r="K456" s="7"/>
      <c r="L456" s="2"/>
      <c r="M456" s="2"/>
    </row>
    <row r="457" spans="2:13" ht="15.75" customHeight="1" x14ac:dyDescent="0.2">
      <c r="B457" s="2"/>
      <c r="C457" s="29"/>
      <c r="D457" s="29"/>
      <c r="E457" s="266"/>
      <c r="F457" s="29"/>
      <c r="G457" s="29"/>
      <c r="H457" s="2"/>
      <c r="I457" s="7"/>
      <c r="J457" s="7"/>
      <c r="K457" s="7"/>
      <c r="L457" s="2"/>
      <c r="M457" s="2"/>
    </row>
    <row r="458" spans="2:13" ht="15.75" customHeight="1" x14ac:dyDescent="0.2">
      <c r="B458" s="2"/>
      <c r="C458" s="29"/>
      <c r="D458" s="29"/>
      <c r="E458" s="266"/>
      <c r="F458" s="29"/>
      <c r="G458" s="29"/>
      <c r="H458" s="2"/>
      <c r="I458" s="7"/>
      <c r="J458" s="7"/>
      <c r="K458" s="7"/>
      <c r="L458" s="2"/>
      <c r="M458" s="2"/>
    </row>
    <row r="459" spans="2:13" ht="15.75" customHeight="1" x14ac:dyDescent="0.2">
      <c r="B459" s="2"/>
      <c r="C459" s="29"/>
      <c r="D459" s="29"/>
      <c r="E459" s="266"/>
      <c r="F459" s="29"/>
      <c r="G459" s="29"/>
      <c r="H459" s="2"/>
      <c r="I459" s="7"/>
      <c r="J459" s="7"/>
      <c r="K459" s="7"/>
      <c r="L459" s="2"/>
      <c r="M459" s="2"/>
    </row>
    <row r="460" spans="2:13" ht="15.75" customHeight="1" x14ac:dyDescent="0.2">
      <c r="B460" s="2"/>
      <c r="C460" s="29"/>
      <c r="D460" s="29"/>
      <c r="E460" s="266"/>
      <c r="F460" s="29"/>
      <c r="G460" s="29"/>
      <c r="H460" s="2"/>
      <c r="I460" s="7"/>
      <c r="J460" s="7"/>
      <c r="K460" s="7"/>
      <c r="L460" s="2"/>
      <c r="M460" s="2"/>
    </row>
    <row r="461" spans="2:13" ht="15.75" customHeight="1" x14ac:dyDescent="0.2">
      <c r="B461" s="2"/>
      <c r="C461" s="29"/>
      <c r="D461" s="29"/>
      <c r="E461" s="266"/>
      <c r="F461" s="29"/>
      <c r="G461" s="29"/>
      <c r="H461" s="2"/>
      <c r="I461" s="7"/>
      <c r="J461" s="7"/>
      <c r="K461" s="7"/>
      <c r="L461" s="2"/>
      <c r="M461" s="2"/>
    </row>
    <row r="462" spans="2:13" ht="15.75" customHeight="1" x14ac:dyDescent="0.2">
      <c r="B462" s="2"/>
      <c r="C462" s="29"/>
      <c r="D462" s="29"/>
      <c r="E462" s="266"/>
      <c r="F462" s="29"/>
      <c r="G462" s="29"/>
      <c r="H462" s="2"/>
      <c r="I462" s="7"/>
      <c r="J462" s="7"/>
      <c r="K462" s="7"/>
      <c r="L462" s="2"/>
      <c r="M462" s="2"/>
    </row>
    <row r="463" spans="2:13" ht="15.75" customHeight="1" x14ac:dyDescent="0.2">
      <c r="B463" s="2"/>
      <c r="C463" s="29"/>
      <c r="D463" s="29"/>
      <c r="E463" s="266"/>
      <c r="F463" s="29"/>
      <c r="G463" s="29"/>
      <c r="H463" s="2"/>
      <c r="I463" s="7"/>
      <c r="J463" s="7"/>
      <c r="K463" s="7"/>
      <c r="L463" s="2"/>
      <c r="M463" s="2"/>
    </row>
    <row r="464" spans="2:13" ht="15.75" customHeight="1" x14ac:dyDescent="0.2">
      <c r="B464" s="2"/>
      <c r="C464" s="29"/>
      <c r="D464" s="29"/>
      <c r="E464" s="266"/>
      <c r="F464" s="29"/>
      <c r="G464" s="29"/>
      <c r="H464" s="2"/>
      <c r="I464" s="7"/>
      <c r="J464" s="7"/>
      <c r="K464" s="7"/>
      <c r="L464" s="2"/>
      <c r="M464" s="2"/>
    </row>
    <row r="465" spans="2:13" ht="15.75" customHeight="1" x14ac:dyDescent="0.2">
      <c r="B465" s="2"/>
      <c r="C465" s="29"/>
      <c r="D465" s="29"/>
      <c r="E465" s="266"/>
      <c r="F465" s="29"/>
      <c r="G465" s="29"/>
      <c r="H465" s="2"/>
      <c r="I465" s="7"/>
      <c r="J465" s="7"/>
      <c r="K465" s="7"/>
      <c r="L465" s="2"/>
      <c r="M465" s="2"/>
    </row>
    <row r="466" spans="2:13" ht="15.75" customHeight="1" x14ac:dyDescent="0.2">
      <c r="B466" s="2"/>
      <c r="C466" s="29"/>
      <c r="D466" s="29"/>
      <c r="E466" s="266"/>
      <c r="F466" s="29"/>
      <c r="G466" s="29"/>
      <c r="H466" s="2"/>
      <c r="I466" s="7"/>
      <c r="J466" s="7"/>
      <c r="K466" s="7"/>
      <c r="L466" s="2"/>
      <c r="M466" s="2"/>
    </row>
    <row r="467" spans="2:13" ht="15.75" customHeight="1" x14ac:dyDescent="0.2">
      <c r="B467" s="2"/>
      <c r="C467" s="29"/>
      <c r="D467" s="29"/>
      <c r="E467" s="266"/>
      <c r="F467" s="29"/>
      <c r="G467" s="29"/>
      <c r="H467" s="2"/>
      <c r="I467" s="7"/>
      <c r="J467" s="7"/>
      <c r="K467" s="7"/>
      <c r="L467" s="2"/>
      <c r="M467" s="2"/>
    </row>
    <row r="468" spans="2:13" ht="15.75" customHeight="1" x14ac:dyDescent="0.2">
      <c r="B468" s="2"/>
      <c r="C468" s="29"/>
      <c r="D468" s="29"/>
      <c r="E468" s="266"/>
      <c r="F468" s="29"/>
      <c r="G468" s="29"/>
      <c r="H468" s="2"/>
      <c r="I468" s="7"/>
      <c r="J468" s="7"/>
      <c r="K468" s="7"/>
      <c r="L468" s="2"/>
      <c r="M468" s="2"/>
    </row>
    <row r="469" spans="2:13" ht="15.75" customHeight="1" x14ac:dyDescent="0.2">
      <c r="B469" s="2"/>
      <c r="C469" s="29"/>
      <c r="D469" s="29"/>
      <c r="E469" s="266"/>
      <c r="F469" s="29"/>
      <c r="G469" s="29"/>
      <c r="H469" s="2"/>
      <c r="I469" s="7"/>
      <c r="J469" s="7"/>
      <c r="K469" s="7"/>
      <c r="L469" s="2"/>
      <c r="M469" s="2"/>
    </row>
    <row r="470" spans="2:13" ht="15.75" customHeight="1" x14ac:dyDescent="0.2">
      <c r="B470" s="2"/>
      <c r="C470" s="29"/>
      <c r="D470" s="29"/>
      <c r="E470" s="266"/>
      <c r="F470" s="29"/>
      <c r="G470" s="29"/>
      <c r="H470" s="2"/>
      <c r="I470" s="7"/>
      <c r="J470" s="7"/>
      <c r="K470" s="7"/>
      <c r="L470" s="2"/>
      <c r="M470" s="2"/>
    </row>
    <row r="471" spans="2:13" ht="15.75" customHeight="1" x14ac:dyDescent="0.2">
      <c r="B471" s="2"/>
      <c r="C471" s="29"/>
      <c r="D471" s="29"/>
      <c r="E471" s="266"/>
      <c r="F471" s="29"/>
      <c r="G471" s="29"/>
      <c r="H471" s="2"/>
      <c r="I471" s="7"/>
      <c r="J471" s="7"/>
      <c r="K471" s="7"/>
      <c r="L471" s="2"/>
      <c r="M471" s="2"/>
    </row>
    <row r="472" spans="2:13" ht="15.75" customHeight="1" x14ac:dyDescent="0.2">
      <c r="B472" s="2"/>
      <c r="C472" s="29"/>
      <c r="D472" s="29"/>
      <c r="E472" s="266"/>
      <c r="F472" s="29"/>
      <c r="G472" s="29"/>
      <c r="H472" s="2"/>
      <c r="I472" s="7"/>
      <c r="J472" s="7"/>
      <c r="K472" s="7"/>
      <c r="L472" s="2"/>
      <c r="M472" s="2"/>
    </row>
    <row r="473" spans="2:13" ht="15.75" customHeight="1" x14ac:dyDescent="0.2">
      <c r="B473" s="2"/>
      <c r="C473" s="29"/>
      <c r="D473" s="29"/>
      <c r="E473" s="266"/>
      <c r="F473" s="29"/>
      <c r="G473" s="29"/>
      <c r="H473" s="2"/>
      <c r="I473" s="7"/>
      <c r="J473" s="7"/>
      <c r="K473" s="7"/>
      <c r="L473" s="2"/>
      <c r="M473" s="2"/>
    </row>
    <row r="474" spans="2:13" ht="15.75" customHeight="1" x14ac:dyDescent="0.2">
      <c r="B474" s="2"/>
      <c r="C474" s="29"/>
      <c r="D474" s="29"/>
      <c r="E474" s="266"/>
      <c r="F474" s="29"/>
      <c r="G474" s="29"/>
      <c r="H474" s="2"/>
      <c r="I474" s="7"/>
      <c r="J474" s="7"/>
      <c r="K474" s="7"/>
      <c r="L474" s="2"/>
      <c r="M474" s="2"/>
    </row>
    <row r="475" spans="2:13" ht="15.75" customHeight="1" x14ac:dyDescent="0.2">
      <c r="B475" s="2"/>
      <c r="C475" s="29"/>
      <c r="D475" s="29"/>
      <c r="E475" s="266"/>
      <c r="F475" s="29"/>
      <c r="G475" s="29"/>
      <c r="H475" s="2"/>
      <c r="I475" s="7"/>
      <c r="J475" s="7"/>
      <c r="K475" s="7"/>
      <c r="L475" s="2"/>
      <c r="M475" s="2"/>
    </row>
    <row r="476" spans="2:13" ht="15.75" customHeight="1" x14ac:dyDescent="0.2">
      <c r="B476" s="2"/>
      <c r="C476" s="29"/>
      <c r="D476" s="29"/>
      <c r="E476" s="266"/>
      <c r="F476" s="29"/>
      <c r="G476" s="29"/>
      <c r="H476" s="2"/>
      <c r="I476" s="7"/>
      <c r="J476" s="7"/>
      <c r="K476" s="7"/>
      <c r="L476" s="2"/>
      <c r="M476" s="2"/>
    </row>
    <row r="477" spans="2:13" ht="15.75" customHeight="1" x14ac:dyDescent="0.2">
      <c r="B477" s="2"/>
      <c r="C477" s="29"/>
      <c r="D477" s="29"/>
      <c r="E477" s="266"/>
      <c r="F477" s="29"/>
      <c r="G477" s="29"/>
      <c r="H477" s="2"/>
      <c r="I477" s="7"/>
      <c r="J477" s="7"/>
      <c r="K477" s="7"/>
      <c r="L477" s="2"/>
      <c r="M477" s="2"/>
    </row>
    <row r="478" spans="2:13" ht="15.75" customHeight="1" x14ac:dyDescent="0.2">
      <c r="B478" s="2"/>
      <c r="C478" s="29"/>
      <c r="D478" s="29"/>
      <c r="E478" s="266"/>
      <c r="F478" s="29"/>
      <c r="G478" s="29"/>
      <c r="H478" s="2"/>
      <c r="I478" s="7"/>
      <c r="J478" s="7"/>
      <c r="K478" s="7"/>
      <c r="L478" s="2"/>
      <c r="M478" s="2"/>
    </row>
    <row r="479" spans="2:13" ht="15.75" customHeight="1" x14ac:dyDescent="0.2">
      <c r="B479" s="2"/>
      <c r="C479" s="29"/>
      <c r="D479" s="29"/>
      <c r="E479" s="266"/>
      <c r="F479" s="29"/>
      <c r="G479" s="29"/>
      <c r="H479" s="2"/>
      <c r="I479" s="7"/>
      <c r="J479" s="7"/>
      <c r="K479" s="7"/>
      <c r="L479" s="2"/>
      <c r="M479" s="2"/>
    </row>
    <row r="480" spans="2:13" ht="15.75" customHeight="1" x14ac:dyDescent="0.2">
      <c r="B480" s="2"/>
      <c r="C480" s="29"/>
      <c r="D480" s="29"/>
      <c r="E480" s="266"/>
      <c r="F480" s="29"/>
      <c r="G480" s="29"/>
      <c r="H480" s="2"/>
      <c r="I480" s="7"/>
      <c r="J480" s="7"/>
      <c r="K480" s="7"/>
      <c r="L480" s="2"/>
      <c r="M480" s="2"/>
    </row>
    <row r="481" spans="2:13" ht="15.75" customHeight="1" x14ac:dyDescent="0.2">
      <c r="B481" s="2"/>
      <c r="C481" s="29"/>
      <c r="D481" s="29"/>
      <c r="E481" s="266"/>
      <c r="F481" s="29"/>
      <c r="G481" s="29"/>
      <c r="H481" s="2"/>
      <c r="I481" s="7"/>
      <c r="J481" s="7"/>
      <c r="K481" s="7"/>
      <c r="L481" s="2"/>
      <c r="M481" s="2"/>
    </row>
    <row r="482" spans="2:13" ht="15.75" customHeight="1" x14ac:dyDescent="0.2">
      <c r="B482" s="2"/>
      <c r="C482" s="29"/>
      <c r="D482" s="29"/>
      <c r="E482" s="266"/>
      <c r="F482" s="29"/>
      <c r="G482" s="29"/>
      <c r="H482" s="2"/>
      <c r="I482" s="7"/>
      <c r="J482" s="7"/>
      <c r="K482" s="7"/>
      <c r="L482" s="2"/>
      <c r="M482" s="2"/>
    </row>
    <row r="483" spans="2:13" ht="15.75" customHeight="1" x14ac:dyDescent="0.2">
      <c r="B483" s="2"/>
      <c r="C483" s="29"/>
      <c r="D483" s="29"/>
      <c r="E483" s="266"/>
      <c r="F483" s="29"/>
      <c r="G483" s="29"/>
      <c r="H483" s="2"/>
      <c r="I483" s="7"/>
      <c r="J483" s="7"/>
      <c r="K483" s="7"/>
      <c r="L483" s="2"/>
      <c r="M483" s="2"/>
    </row>
    <row r="484" spans="2:13" ht="15.75" customHeight="1" x14ac:dyDescent="0.2">
      <c r="B484" s="2"/>
      <c r="C484" s="29"/>
      <c r="D484" s="29"/>
      <c r="E484" s="266"/>
      <c r="F484" s="29"/>
      <c r="G484" s="29"/>
      <c r="H484" s="2"/>
      <c r="I484" s="7"/>
      <c r="J484" s="7"/>
      <c r="K484" s="7"/>
      <c r="L484" s="2"/>
      <c r="M484" s="2"/>
    </row>
    <row r="485" spans="2:13" ht="15.75" customHeight="1" x14ac:dyDescent="0.2">
      <c r="B485" s="2"/>
      <c r="C485" s="29"/>
      <c r="D485" s="29"/>
      <c r="E485" s="266"/>
      <c r="F485" s="29"/>
      <c r="G485" s="29"/>
      <c r="H485" s="2"/>
      <c r="I485" s="7"/>
      <c r="J485" s="7"/>
      <c r="K485" s="7"/>
      <c r="L485" s="2"/>
      <c r="M485" s="2"/>
    </row>
    <row r="486" spans="2:13" ht="15.75" customHeight="1" x14ac:dyDescent="0.2">
      <c r="B486" s="2"/>
      <c r="C486" s="29"/>
      <c r="D486" s="29"/>
      <c r="E486" s="266"/>
      <c r="F486" s="29"/>
      <c r="G486" s="29"/>
      <c r="H486" s="2"/>
      <c r="I486" s="7"/>
      <c r="J486" s="7"/>
      <c r="K486" s="7"/>
      <c r="L486" s="2"/>
      <c r="M486" s="2"/>
    </row>
    <row r="487" spans="2:13" ht="15.75" customHeight="1" x14ac:dyDescent="0.2">
      <c r="B487" s="2"/>
      <c r="C487" s="29"/>
      <c r="D487" s="29"/>
      <c r="E487" s="266"/>
      <c r="F487" s="29"/>
      <c r="G487" s="29"/>
      <c r="H487" s="2"/>
      <c r="I487" s="7"/>
      <c r="J487" s="7"/>
      <c r="K487" s="7"/>
      <c r="L487" s="2"/>
      <c r="M487" s="2"/>
    </row>
    <row r="488" spans="2:13" ht="15.75" customHeight="1" x14ac:dyDescent="0.2">
      <c r="B488" s="2"/>
      <c r="C488" s="29"/>
      <c r="D488" s="29"/>
      <c r="E488" s="266"/>
      <c r="F488" s="29"/>
      <c r="G488" s="29"/>
      <c r="H488" s="2"/>
      <c r="I488" s="7"/>
      <c r="J488" s="7"/>
      <c r="K488" s="7"/>
      <c r="L488" s="2"/>
      <c r="M488" s="2"/>
    </row>
    <row r="489" spans="2:13" ht="15.75" customHeight="1" x14ac:dyDescent="0.2">
      <c r="B489" s="2"/>
      <c r="C489" s="29"/>
      <c r="D489" s="29"/>
      <c r="E489" s="266"/>
      <c r="F489" s="29"/>
      <c r="G489" s="29"/>
      <c r="H489" s="2"/>
      <c r="I489" s="7"/>
      <c r="J489" s="7"/>
      <c r="K489" s="7"/>
      <c r="L489" s="2"/>
      <c r="M489" s="2"/>
    </row>
    <row r="490" spans="2:13" ht="15.75" customHeight="1" x14ac:dyDescent="0.2">
      <c r="B490" s="2"/>
      <c r="C490" s="29"/>
      <c r="D490" s="29"/>
      <c r="E490" s="266"/>
      <c r="F490" s="29"/>
      <c r="G490" s="29"/>
      <c r="H490" s="2"/>
      <c r="I490" s="7"/>
      <c r="J490" s="7"/>
      <c r="K490" s="7"/>
      <c r="L490" s="2"/>
      <c r="M490" s="2"/>
    </row>
    <row r="491" spans="2:13" ht="15.75" customHeight="1" x14ac:dyDescent="0.2">
      <c r="B491" s="2"/>
      <c r="C491" s="29"/>
      <c r="D491" s="29"/>
      <c r="E491" s="266"/>
      <c r="F491" s="29"/>
      <c r="G491" s="29"/>
      <c r="H491" s="2"/>
      <c r="I491" s="7"/>
      <c r="J491" s="7"/>
      <c r="K491" s="7"/>
      <c r="L491" s="2"/>
      <c r="M491" s="2"/>
    </row>
    <row r="492" spans="2:13" ht="15.75" customHeight="1" x14ac:dyDescent="0.2">
      <c r="B492" s="2"/>
      <c r="C492" s="29"/>
      <c r="D492" s="29"/>
      <c r="E492" s="266"/>
      <c r="F492" s="29"/>
      <c r="G492" s="29"/>
      <c r="H492" s="2"/>
      <c r="I492" s="7"/>
      <c r="J492" s="7"/>
      <c r="K492" s="7"/>
      <c r="L492" s="2"/>
      <c r="M492" s="2"/>
    </row>
    <row r="493" spans="2:13" ht="15.75" customHeight="1" x14ac:dyDescent="0.2">
      <c r="B493" s="2"/>
      <c r="C493" s="29"/>
      <c r="D493" s="29"/>
      <c r="E493" s="266"/>
      <c r="F493" s="29"/>
      <c r="G493" s="29"/>
      <c r="H493" s="2"/>
      <c r="I493" s="7"/>
      <c r="J493" s="7"/>
      <c r="K493" s="7"/>
      <c r="L493" s="2"/>
      <c r="M493" s="2"/>
    </row>
    <row r="494" spans="2:13" ht="15.75" customHeight="1" x14ac:dyDescent="0.2">
      <c r="B494" s="2"/>
      <c r="C494" s="29"/>
      <c r="D494" s="29"/>
      <c r="E494" s="266"/>
      <c r="F494" s="29"/>
      <c r="G494" s="29"/>
      <c r="H494" s="2"/>
      <c r="I494" s="7"/>
      <c r="J494" s="7"/>
      <c r="K494" s="7"/>
      <c r="L494" s="2"/>
      <c r="M494" s="2"/>
    </row>
    <row r="495" spans="2:13" ht="15.75" customHeight="1" x14ac:dyDescent="0.2">
      <c r="B495" s="2"/>
      <c r="C495" s="29"/>
      <c r="D495" s="29"/>
      <c r="E495" s="266"/>
      <c r="F495" s="29"/>
      <c r="G495" s="29"/>
      <c r="H495" s="2"/>
      <c r="I495" s="7"/>
      <c r="J495" s="7"/>
      <c r="K495" s="7"/>
      <c r="L495" s="2"/>
      <c r="M495" s="2"/>
    </row>
    <row r="496" spans="2:13" ht="15.75" customHeight="1" x14ac:dyDescent="0.2">
      <c r="B496" s="2"/>
      <c r="C496" s="29"/>
      <c r="D496" s="29"/>
      <c r="E496" s="266"/>
      <c r="F496" s="29"/>
      <c r="G496" s="29"/>
      <c r="H496" s="2"/>
      <c r="I496" s="7"/>
      <c r="J496" s="7"/>
      <c r="K496" s="7"/>
      <c r="L496" s="2"/>
      <c r="M496" s="2"/>
    </row>
    <row r="497" spans="2:13" ht="15.75" customHeight="1" x14ac:dyDescent="0.2">
      <c r="B497" s="2"/>
      <c r="C497" s="29"/>
      <c r="D497" s="29"/>
      <c r="E497" s="266"/>
      <c r="F497" s="29"/>
      <c r="G497" s="29"/>
      <c r="H497" s="2"/>
      <c r="I497" s="7"/>
      <c r="J497" s="7"/>
      <c r="K497" s="7"/>
      <c r="L497" s="2"/>
      <c r="M497" s="2"/>
    </row>
    <row r="498" spans="2:13" ht="15.75" customHeight="1" x14ac:dyDescent="0.2">
      <c r="B498" s="2"/>
      <c r="C498" s="29"/>
      <c r="D498" s="29"/>
      <c r="E498" s="266"/>
      <c r="F498" s="29"/>
      <c r="G498" s="29"/>
      <c r="H498" s="2"/>
      <c r="I498" s="7"/>
      <c r="J498" s="7"/>
      <c r="K498" s="7"/>
      <c r="L498" s="2"/>
      <c r="M498" s="2"/>
    </row>
    <row r="499" spans="2:13" ht="15.75" customHeight="1" x14ac:dyDescent="0.2">
      <c r="B499" s="2"/>
      <c r="C499" s="29"/>
      <c r="D499" s="29"/>
      <c r="E499" s="266"/>
      <c r="F499" s="29"/>
      <c r="G499" s="29"/>
      <c r="H499" s="2"/>
      <c r="I499" s="7"/>
      <c r="J499" s="7"/>
      <c r="K499" s="7"/>
      <c r="L499" s="2"/>
      <c r="M499" s="2"/>
    </row>
    <row r="500" spans="2:13" ht="15.75" customHeight="1" x14ac:dyDescent="0.2">
      <c r="B500" s="2"/>
      <c r="C500" s="29"/>
      <c r="D500" s="29"/>
      <c r="E500" s="266"/>
      <c r="F500" s="29"/>
      <c r="G500" s="29"/>
      <c r="H500" s="2"/>
      <c r="I500" s="7"/>
      <c r="J500" s="7"/>
      <c r="K500" s="7"/>
      <c r="L500" s="2"/>
      <c r="M500" s="2"/>
    </row>
    <row r="501" spans="2:13" ht="15.75" customHeight="1" x14ac:dyDescent="0.2">
      <c r="B501" s="2"/>
      <c r="C501" s="29"/>
      <c r="D501" s="29"/>
      <c r="E501" s="266"/>
      <c r="F501" s="29"/>
      <c r="G501" s="29"/>
      <c r="H501" s="2"/>
      <c r="I501" s="7"/>
      <c r="J501" s="7"/>
      <c r="K501" s="7"/>
      <c r="L501" s="2"/>
      <c r="M501" s="2"/>
    </row>
    <row r="502" spans="2:13" ht="15.75" customHeight="1" x14ac:dyDescent="0.2">
      <c r="B502" s="2"/>
      <c r="C502" s="29"/>
      <c r="D502" s="29"/>
      <c r="E502" s="266"/>
      <c r="F502" s="29"/>
      <c r="G502" s="29"/>
      <c r="H502" s="2"/>
      <c r="I502" s="7"/>
      <c r="J502" s="7"/>
      <c r="K502" s="7"/>
      <c r="L502" s="2"/>
      <c r="M502" s="2"/>
    </row>
    <row r="503" spans="2:13" ht="15.75" customHeight="1" x14ac:dyDescent="0.2">
      <c r="B503" s="2"/>
      <c r="C503" s="29"/>
      <c r="D503" s="29"/>
      <c r="E503" s="266"/>
      <c r="F503" s="29"/>
      <c r="G503" s="29"/>
      <c r="H503" s="2"/>
      <c r="I503" s="7"/>
      <c r="J503" s="7"/>
      <c r="K503" s="7"/>
      <c r="L503" s="2"/>
      <c r="M503" s="2"/>
    </row>
    <row r="504" spans="2:13" ht="15.75" customHeight="1" x14ac:dyDescent="0.2">
      <c r="B504" s="2"/>
      <c r="C504" s="29"/>
      <c r="D504" s="29"/>
      <c r="E504" s="266"/>
      <c r="F504" s="29"/>
      <c r="G504" s="29"/>
      <c r="H504" s="2"/>
      <c r="I504" s="7"/>
      <c r="J504" s="7"/>
      <c r="K504" s="7"/>
      <c r="L504" s="2"/>
      <c r="M504" s="2"/>
    </row>
    <row r="505" spans="2:13" ht="15.75" customHeight="1" x14ac:dyDescent="0.2">
      <c r="B505" s="2"/>
      <c r="C505" s="29"/>
      <c r="D505" s="29"/>
      <c r="E505" s="266"/>
      <c r="F505" s="29"/>
      <c r="G505" s="29"/>
      <c r="H505" s="2"/>
      <c r="I505" s="7"/>
      <c r="J505" s="7"/>
      <c r="K505" s="7"/>
      <c r="L505" s="2"/>
      <c r="M505" s="2"/>
    </row>
    <row r="506" spans="2:13" ht="15.75" customHeight="1" x14ac:dyDescent="0.2">
      <c r="B506" s="2"/>
      <c r="C506" s="29"/>
      <c r="D506" s="29"/>
      <c r="E506" s="266"/>
      <c r="F506" s="29"/>
      <c r="G506" s="29"/>
      <c r="H506" s="2"/>
      <c r="I506" s="7"/>
      <c r="J506" s="7"/>
      <c r="K506" s="7"/>
      <c r="L506" s="2"/>
      <c r="M506" s="2"/>
    </row>
    <row r="507" spans="2:13" ht="15.75" customHeight="1" x14ac:dyDescent="0.2">
      <c r="B507" s="2"/>
      <c r="C507" s="29"/>
      <c r="D507" s="29"/>
      <c r="E507" s="266"/>
      <c r="F507" s="29"/>
      <c r="G507" s="29"/>
      <c r="H507" s="2"/>
      <c r="I507" s="7"/>
      <c r="J507" s="7"/>
      <c r="K507" s="7"/>
      <c r="L507" s="2"/>
      <c r="M507" s="2"/>
    </row>
    <row r="508" spans="2:13" ht="15.75" customHeight="1" x14ac:dyDescent="0.2">
      <c r="B508" s="2"/>
      <c r="C508" s="29"/>
      <c r="D508" s="29"/>
      <c r="E508" s="266"/>
      <c r="F508" s="29"/>
      <c r="G508" s="29"/>
      <c r="H508" s="2"/>
      <c r="I508" s="7"/>
      <c r="J508" s="7"/>
      <c r="K508" s="7"/>
      <c r="L508" s="2"/>
      <c r="M508" s="2"/>
    </row>
    <row r="509" spans="2:13" ht="15.75" customHeight="1" x14ac:dyDescent="0.2">
      <c r="B509" s="2"/>
      <c r="C509" s="29"/>
      <c r="D509" s="29"/>
      <c r="E509" s="266"/>
      <c r="F509" s="29"/>
      <c r="G509" s="29"/>
      <c r="H509" s="2"/>
      <c r="I509" s="7"/>
      <c r="J509" s="7"/>
      <c r="K509" s="7"/>
      <c r="L509" s="2"/>
      <c r="M509" s="2"/>
    </row>
    <row r="510" spans="2:13" ht="15.75" customHeight="1" x14ac:dyDescent="0.2">
      <c r="B510" s="2"/>
      <c r="C510" s="29"/>
      <c r="D510" s="29"/>
      <c r="E510" s="266"/>
      <c r="F510" s="29"/>
      <c r="G510" s="29"/>
      <c r="H510" s="2"/>
      <c r="I510" s="7"/>
      <c r="J510" s="7"/>
      <c r="K510" s="7"/>
      <c r="L510" s="2"/>
      <c r="M510" s="2"/>
    </row>
    <row r="511" spans="2:13" ht="15.75" customHeight="1" x14ac:dyDescent="0.2">
      <c r="B511" s="2"/>
      <c r="C511" s="29"/>
      <c r="D511" s="29"/>
      <c r="E511" s="266"/>
      <c r="F511" s="29"/>
      <c r="G511" s="29"/>
      <c r="H511" s="2"/>
      <c r="I511" s="7"/>
      <c r="J511" s="7"/>
      <c r="K511" s="7"/>
      <c r="L511" s="2"/>
      <c r="M511" s="2"/>
    </row>
    <row r="512" spans="2:13" ht="15.75" customHeight="1" x14ac:dyDescent="0.2">
      <c r="B512" s="2"/>
      <c r="C512" s="29"/>
      <c r="D512" s="29"/>
      <c r="E512" s="266"/>
      <c r="F512" s="29"/>
      <c r="G512" s="29"/>
      <c r="H512" s="2"/>
      <c r="I512" s="7"/>
      <c r="J512" s="7"/>
      <c r="K512" s="7"/>
      <c r="L512" s="2"/>
      <c r="M512" s="2"/>
    </row>
    <row r="513" spans="2:13" ht="15.75" customHeight="1" x14ac:dyDescent="0.2">
      <c r="B513" s="2"/>
      <c r="C513" s="29"/>
      <c r="D513" s="29"/>
      <c r="E513" s="266"/>
      <c r="F513" s="29"/>
      <c r="G513" s="29"/>
      <c r="H513" s="2"/>
      <c r="I513" s="7"/>
      <c r="J513" s="7"/>
      <c r="K513" s="7"/>
      <c r="L513" s="2"/>
      <c r="M513" s="2"/>
    </row>
    <row r="514" spans="2:13" ht="15.75" customHeight="1" x14ac:dyDescent="0.2">
      <c r="B514" s="2"/>
      <c r="C514" s="29"/>
      <c r="D514" s="29"/>
      <c r="E514" s="266"/>
      <c r="F514" s="29"/>
      <c r="G514" s="29"/>
      <c r="H514" s="2"/>
      <c r="I514" s="7"/>
      <c r="J514" s="7"/>
      <c r="K514" s="7"/>
      <c r="L514" s="2"/>
      <c r="M514" s="2"/>
    </row>
    <row r="515" spans="2:13" ht="15.75" customHeight="1" x14ac:dyDescent="0.2">
      <c r="B515" s="2"/>
      <c r="C515" s="29"/>
      <c r="D515" s="29"/>
      <c r="E515" s="266"/>
      <c r="F515" s="29"/>
      <c r="G515" s="29"/>
      <c r="H515" s="2"/>
      <c r="I515" s="7"/>
      <c r="J515" s="7"/>
      <c r="K515" s="7"/>
      <c r="L515" s="2"/>
      <c r="M515" s="2"/>
    </row>
    <row r="516" spans="2:13" ht="15.75" customHeight="1" x14ac:dyDescent="0.2">
      <c r="B516" s="2"/>
      <c r="C516" s="29"/>
      <c r="D516" s="29"/>
      <c r="E516" s="266"/>
      <c r="F516" s="29"/>
      <c r="G516" s="29"/>
      <c r="H516" s="2"/>
      <c r="I516" s="7"/>
      <c r="J516" s="7"/>
      <c r="K516" s="7"/>
      <c r="L516" s="2"/>
      <c r="M516" s="2"/>
    </row>
    <row r="517" spans="2:13" ht="15.75" customHeight="1" x14ac:dyDescent="0.2">
      <c r="B517" s="2"/>
      <c r="C517" s="29"/>
      <c r="D517" s="29"/>
      <c r="E517" s="266"/>
      <c r="F517" s="29"/>
      <c r="G517" s="29"/>
      <c r="H517" s="2"/>
      <c r="I517" s="7"/>
      <c r="J517" s="7"/>
      <c r="K517" s="7"/>
      <c r="L517" s="2"/>
      <c r="M517" s="2"/>
    </row>
    <row r="518" spans="2:13" ht="15.75" customHeight="1" x14ac:dyDescent="0.2">
      <c r="B518" s="2"/>
      <c r="C518" s="29"/>
      <c r="D518" s="29"/>
      <c r="E518" s="266"/>
      <c r="F518" s="29"/>
      <c r="G518" s="29"/>
      <c r="H518" s="2"/>
      <c r="I518" s="7"/>
      <c r="J518" s="7"/>
      <c r="K518" s="7"/>
      <c r="L518" s="2"/>
      <c r="M518" s="2"/>
    </row>
    <row r="519" spans="2:13" ht="15.75" customHeight="1" x14ac:dyDescent="0.2">
      <c r="B519" s="2"/>
      <c r="C519" s="29"/>
      <c r="D519" s="29"/>
      <c r="E519" s="266"/>
      <c r="F519" s="29"/>
      <c r="G519" s="29"/>
      <c r="H519" s="2"/>
      <c r="I519" s="7"/>
      <c r="J519" s="7"/>
      <c r="K519" s="7"/>
      <c r="L519" s="2"/>
      <c r="M519" s="2"/>
    </row>
    <row r="520" spans="2:13" ht="15.75" customHeight="1" x14ac:dyDescent="0.2">
      <c r="B520" s="2"/>
      <c r="C520" s="29"/>
      <c r="D520" s="29"/>
      <c r="E520" s="266"/>
      <c r="F520" s="29"/>
      <c r="G520" s="29"/>
      <c r="H520" s="2"/>
      <c r="I520" s="7"/>
      <c r="J520" s="7"/>
      <c r="K520" s="7"/>
      <c r="L520" s="2"/>
      <c r="M520" s="2"/>
    </row>
    <row r="521" spans="2:13" ht="15.75" customHeight="1" x14ac:dyDescent="0.2">
      <c r="B521" s="2"/>
      <c r="C521" s="29"/>
      <c r="D521" s="29"/>
      <c r="E521" s="266"/>
      <c r="F521" s="29"/>
      <c r="G521" s="29"/>
      <c r="H521" s="2"/>
      <c r="I521" s="7"/>
      <c r="J521" s="7"/>
      <c r="K521" s="7"/>
      <c r="L521" s="2"/>
      <c r="M521" s="2"/>
    </row>
    <row r="522" spans="2:13" ht="15.75" customHeight="1" x14ac:dyDescent="0.2">
      <c r="B522" s="2"/>
      <c r="C522" s="29"/>
      <c r="D522" s="29"/>
      <c r="E522" s="266"/>
      <c r="F522" s="29"/>
      <c r="G522" s="29"/>
      <c r="H522" s="2"/>
      <c r="I522" s="7"/>
      <c r="J522" s="7"/>
      <c r="K522" s="7"/>
      <c r="L522" s="2"/>
      <c r="M522" s="2"/>
    </row>
    <row r="523" spans="2:13" ht="15.75" customHeight="1" x14ac:dyDescent="0.2">
      <c r="B523" s="2"/>
      <c r="C523" s="29"/>
      <c r="D523" s="29"/>
      <c r="E523" s="266"/>
      <c r="F523" s="29"/>
      <c r="G523" s="29"/>
      <c r="H523" s="2"/>
      <c r="I523" s="7"/>
      <c r="J523" s="7"/>
      <c r="K523" s="7"/>
      <c r="L523" s="2"/>
      <c r="M523" s="2"/>
    </row>
    <row r="524" spans="2:13" ht="15.75" customHeight="1" x14ac:dyDescent="0.2">
      <c r="B524" s="2"/>
      <c r="C524" s="29"/>
      <c r="D524" s="29"/>
      <c r="E524" s="266"/>
      <c r="F524" s="29"/>
      <c r="G524" s="29"/>
      <c r="H524" s="2"/>
      <c r="I524" s="7"/>
      <c r="J524" s="7"/>
      <c r="K524" s="7"/>
      <c r="L524" s="2"/>
      <c r="M524" s="2"/>
    </row>
    <row r="525" spans="2:13" ht="15.75" customHeight="1" x14ac:dyDescent="0.2">
      <c r="B525" s="2"/>
      <c r="C525" s="29"/>
      <c r="D525" s="29"/>
      <c r="E525" s="266"/>
      <c r="F525" s="29"/>
      <c r="G525" s="29"/>
      <c r="H525" s="2"/>
      <c r="I525" s="7"/>
      <c r="J525" s="7"/>
      <c r="K525" s="7"/>
      <c r="L525" s="2"/>
      <c r="M525" s="2"/>
    </row>
    <row r="526" spans="2:13" ht="15.75" customHeight="1" x14ac:dyDescent="0.2">
      <c r="B526" s="2"/>
      <c r="C526" s="29"/>
      <c r="D526" s="29"/>
      <c r="E526" s="266"/>
      <c r="F526" s="29"/>
      <c r="G526" s="29"/>
      <c r="H526" s="2"/>
      <c r="I526" s="7"/>
      <c r="J526" s="7"/>
      <c r="K526" s="7"/>
      <c r="L526" s="2"/>
      <c r="M526" s="2"/>
    </row>
    <row r="527" spans="2:13" ht="15.75" customHeight="1" x14ac:dyDescent="0.2">
      <c r="B527" s="2"/>
      <c r="C527" s="29"/>
      <c r="D527" s="29"/>
      <c r="E527" s="266"/>
      <c r="F527" s="29"/>
      <c r="G527" s="29"/>
      <c r="H527" s="2"/>
      <c r="I527" s="7"/>
      <c r="J527" s="7"/>
      <c r="K527" s="7"/>
      <c r="L527" s="2"/>
      <c r="M527" s="2"/>
    </row>
    <row r="528" spans="2:13" ht="15.75" customHeight="1" x14ac:dyDescent="0.2">
      <c r="B528" s="2"/>
      <c r="C528" s="29"/>
      <c r="D528" s="29"/>
      <c r="E528" s="266"/>
      <c r="F528" s="29"/>
      <c r="G528" s="29"/>
      <c r="H528" s="2"/>
      <c r="I528" s="7"/>
      <c r="J528" s="7"/>
      <c r="K528" s="7"/>
      <c r="L528" s="2"/>
      <c r="M528" s="2"/>
    </row>
    <row r="529" spans="2:13" ht="15.75" customHeight="1" x14ac:dyDescent="0.2">
      <c r="B529" s="2"/>
      <c r="C529" s="29"/>
      <c r="D529" s="29"/>
      <c r="E529" s="266"/>
      <c r="F529" s="29"/>
      <c r="G529" s="29"/>
      <c r="H529" s="2"/>
      <c r="I529" s="7"/>
      <c r="J529" s="7"/>
      <c r="K529" s="7"/>
      <c r="L529" s="2"/>
      <c r="M529" s="2"/>
    </row>
    <row r="530" spans="2:13" ht="15.75" customHeight="1" x14ac:dyDescent="0.2">
      <c r="B530" s="2"/>
      <c r="C530" s="29"/>
      <c r="D530" s="29"/>
      <c r="E530" s="266"/>
      <c r="F530" s="29"/>
      <c r="G530" s="29"/>
      <c r="H530" s="2"/>
      <c r="I530" s="7"/>
      <c r="J530" s="7"/>
      <c r="K530" s="7"/>
      <c r="L530" s="2"/>
      <c r="M530" s="2"/>
    </row>
    <row r="531" spans="2:13" ht="15.75" customHeight="1" x14ac:dyDescent="0.2">
      <c r="B531" s="2"/>
      <c r="C531" s="29"/>
      <c r="D531" s="29"/>
      <c r="E531" s="266"/>
      <c r="F531" s="29"/>
      <c r="G531" s="29"/>
      <c r="H531" s="2"/>
      <c r="I531" s="7"/>
      <c r="J531" s="7"/>
      <c r="K531" s="7"/>
      <c r="L531" s="2"/>
      <c r="M531" s="2"/>
    </row>
    <row r="532" spans="2:13" ht="15.75" customHeight="1" x14ac:dyDescent="0.2">
      <c r="B532" s="2"/>
      <c r="C532" s="29"/>
      <c r="D532" s="29"/>
      <c r="E532" s="266"/>
      <c r="F532" s="29"/>
      <c r="G532" s="29"/>
      <c r="H532" s="2"/>
      <c r="I532" s="7"/>
      <c r="J532" s="7"/>
      <c r="K532" s="7"/>
      <c r="L532" s="2"/>
      <c r="M532" s="2"/>
    </row>
    <row r="533" spans="2:13" ht="15.75" customHeight="1" x14ac:dyDescent="0.2">
      <c r="B533" s="2"/>
      <c r="C533" s="29"/>
      <c r="D533" s="29"/>
      <c r="E533" s="266"/>
      <c r="F533" s="29"/>
      <c r="G533" s="29"/>
      <c r="H533" s="2"/>
      <c r="I533" s="7"/>
      <c r="J533" s="7"/>
      <c r="K533" s="7"/>
      <c r="L533" s="2"/>
      <c r="M533" s="2"/>
    </row>
    <row r="534" spans="2:13" ht="15.75" customHeight="1" x14ac:dyDescent="0.2">
      <c r="B534" s="2"/>
      <c r="C534" s="29"/>
      <c r="D534" s="29"/>
      <c r="E534" s="266"/>
      <c r="F534" s="29"/>
      <c r="G534" s="29"/>
      <c r="H534" s="2"/>
      <c r="I534" s="7"/>
      <c r="J534" s="7"/>
      <c r="K534" s="7"/>
      <c r="L534" s="2"/>
      <c r="M534" s="2"/>
    </row>
    <row r="535" spans="2:13" ht="15.75" customHeight="1" x14ac:dyDescent="0.2">
      <c r="B535" s="2"/>
      <c r="C535" s="29"/>
      <c r="D535" s="29"/>
      <c r="E535" s="266"/>
      <c r="F535" s="29"/>
      <c r="G535" s="29"/>
      <c r="H535" s="2"/>
      <c r="I535" s="7"/>
      <c r="J535" s="7"/>
      <c r="K535" s="7"/>
      <c r="L535" s="2"/>
      <c r="M535" s="2"/>
    </row>
    <row r="536" spans="2:13" ht="15.75" customHeight="1" x14ac:dyDescent="0.2">
      <c r="B536" s="2"/>
      <c r="C536" s="29"/>
      <c r="D536" s="29"/>
      <c r="E536" s="266"/>
      <c r="F536" s="29"/>
      <c r="G536" s="29"/>
      <c r="H536" s="2"/>
      <c r="I536" s="7"/>
      <c r="J536" s="7"/>
      <c r="K536" s="7"/>
      <c r="L536" s="2"/>
      <c r="M536" s="2"/>
    </row>
    <row r="537" spans="2:13" ht="15.75" customHeight="1" x14ac:dyDescent="0.2">
      <c r="B537" s="2"/>
      <c r="C537" s="29"/>
      <c r="D537" s="29"/>
      <c r="E537" s="266"/>
      <c r="F537" s="29"/>
      <c r="G537" s="29"/>
      <c r="H537" s="2"/>
      <c r="I537" s="7"/>
      <c r="J537" s="7"/>
      <c r="K537" s="7"/>
      <c r="L537" s="2"/>
      <c r="M537" s="2"/>
    </row>
    <row r="538" spans="2:13" ht="15.75" customHeight="1" x14ac:dyDescent="0.2">
      <c r="B538" s="2"/>
      <c r="C538" s="29"/>
      <c r="D538" s="29"/>
      <c r="E538" s="266"/>
      <c r="F538" s="29"/>
      <c r="G538" s="29"/>
      <c r="H538" s="2"/>
      <c r="I538" s="7"/>
      <c r="J538" s="7"/>
      <c r="K538" s="7"/>
      <c r="L538" s="2"/>
      <c r="M538" s="2"/>
    </row>
    <row r="539" spans="2:13" ht="15.75" customHeight="1" x14ac:dyDescent="0.2">
      <c r="B539" s="2"/>
      <c r="C539" s="29"/>
      <c r="D539" s="29"/>
      <c r="E539" s="266"/>
      <c r="F539" s="29"/>
      <c r="G539" s="29"/>
      <c r="H539" s="2"/>
      <c r="I539" s="7"/>
      <c r="J539" s="7"/>
      <c r="K539" s="7"/>
      <c r="L539" s="2"/>
      <c r="M539" s="2"/>
    </row>
    <row r="540" spans="2:13" ht="15.75" customHeight="1" x14ac:dyDescent="0.2">
      <c r="B540" s="2"/>
      <c r="C540" s="29"/>
      <c r="D540" s="29"/>
      <c r="E540" s="266"/>
      <c r="F540" s="29"/>
      <c r="G540" s="29"/>
      <c r="H540" s="2"/>
      <c r="I540" s="7"/>
      <c r="J540" s="7"/>
      <c r="K540" s="7"/>
      <c r="L540" s="2"/>
      <c r="M540" s="2"/>
    </row>
    <row r="541" spans="2:13" ht="15.75" customHeight="1" x14ac:dyDescent="0.2">
      <c r="B541" s="2"/>
      <c r="C541" s="29"/>
      <c r="D541" s="29"/>
      <c r="E541" s="266"/>
      <c r="F541" s="29"/>
      <c r="G541" s="29"/>
      <c r="H541" s="2"/>
      <c r="I541" s="7"/>
      <c r="J541" s="7"/>
      <c r="K541" s="7"/>
      <c r="L541" s="2"/>
      <c r="M541" s="2"/>
    </row>
    <row r="542" spans="2:13" ht="15.75" customHeight="1" x14ac:dyDescent="0.2">
      <c r="B542" s="2"/>
      <c r="C542" s="29"/>
      <c r="D542" s="29"/>
      <c r="E542" s="266"/>
      <c r="F542" s="29"/>
      <c r="G542" s="29"/>
      <c r="H542" s="2"/>
      <c r="I542" s="7"/>
      <c r="J542" s="7"/>
      <c r="K542" s="7"/>
      <c r="L542" s="2"/>
      <c r="M542" s="2"/>
    </row>
    <row r="543" spans="2:13" ht="15.75" customHeight="1" x14ac:dyDescent="0.2">
      <c r="B543" s="2"/>
      <c r="C543" s="29"/>
      <c r="D543" s="29"/>
      <c r="E543" s="266"/>
      <c r="F543" s="29"/>
      <c r="G543" s="29"/>
      <c r="H543" s="2"/>
      <c r="I543" s="7"/>
      <c r="J543" s="7"/>
      <c r="K543" s="7"/>
      <c r="L543" s="2"/>
      <c r="M543" s="2"/>
    </row>
    <row r="544" spans="2:13" ht="15.75" customHeight="1" x14ac:dyDescent="0.2">
      <c r="B544" s="2"/>
      <c r="C544" s="29"/>
      <c r="D544" s="29"/>
      <c r="E544" s="266"/>
      <c r="F544" s="29"/>
      <c r="G544" s="29"/>
      <c r="H544" s="2"/>
      <c r="I544" s="7"/>
      <c r="J544" s="7"/>
      <c r="K544" s="7"/>
      <c r="L544" s="2"/>
      <c r="M544" s="2"/>
    </row>
    <row r="545" spans="2:13" ht="15.75" customHeight="1" x14ac:dyDescent="0.2">
      <c r="B545" s="2"/>
      <c r="C545" s="29"/>
      <c r="D545" s="29"/>
      <c r="E545" s="266"/>
      <c r="F545" s="29"/>
      <c r="G545" s="29"/>
      <c r="H545" s="2"/>
      <c r="I545" s="7"/>
      <c r="J545" s="7"/>
      <c r="K545" s="7"/>
      <c r="L545" s="2"/>
      <c r="M545" s="2"/>
    </row>
    <row r="546" spans="2:13" ht="15.75" customHeight="1" x14ac:dyDescent="0.2">
      <c r="B546" s="2"/>
      <c r="C546" s="29"/>
      <c r="D546" s="29"/>
      <c r="E546" s="266"/>
      <c r="F546" s="29"/>
      <c r="G546" s="29"/>
      <c r="H546" s="2"/>
      <c r="I546" s="7"/>
      <c r="J546" s="7"/>
      <c r="K546" s="7"/>
      <c r="L546" s="2"/>
      <c r="M546" s="2"/>
    </row>
    <row r="547" spans="2:13" ht="15.75" customHeight="1" x14ac:dyDescent="0.2">
      <c r="B547" s="2"/>
      <c r="C547" s="29"/>
      <c r="D547" s="29"/>
      <c r="E547" s="266"/>
      <c r="F547" s="29"/>
      <c r="G547" s="29"/>
      <c r="H547" s="2"/>
      <c r="I547" s="7"/>
      <c r="J547" s="7"/>
      <c r="K547" s="7"/>
      <c r="L547" s="2"/>
      <c r="M547" s="2"/>
    </row>
    <row r="548" spans="2:13" ht="15.75" customHeight="1" x14ac:dyDescent="0.2">
      <c r="B548" s="2"/>
      <c r="C548" s="29"/>
      <c r="D548" s="29"/>
      <c r="E548" s="266"/>
      <c r="F548" s="29"/>
      <c r="G548" s="29"/>
      <c r="H548" s="2"/>
      <c r="I548" s="7"/>
      <c r="J548" s="7"/>
      <c r="K548" s="7"/>
      <c r="L548" s="2"/>
      <c r="M548" s="2"/>
    </row>
    <row r="549" spans="2:13" ht="15.75" customHeight="1" x14ac:dyDescent="0.2">
      <c r="B549" s="2"/>
      <c r="C549" s="29"/>
      <c r="D549" s="29"/>
      <c r="E549" s="266"/>
      <c r="F549" s="29"/>
      <c r="G549" s="29"/>
      <c r="H549" s="2"/>
      <c r="I549" s="7"/>
      <c r="J549" s="7"/>
      <c r="K549" s="7"/>
      <c r="L549" s="2"/>
      <c r="M549" s="2"/>
    </row>
    <row r="550" spans="2:13" ht="15.75" customHeight="1" x14ac:dyDescent="0.2">
      <c r="B550" s="2"/>
      <c r="C550" s="29"/>
      <c r="D550" s="29"/>
      <c r="E550" s="266"/>
      <c r="F550" s="29"/>
      <c r="G550" s="29"/>
      <c r="H550" s="2"/>
      <c r="I550" s="7"/>
      <c r="J550" s="7"/>
      <c r="K550" s="7"/>
      <c r="L550" s="2"/>
      <c r="M550" s="2"/>
    </row>
    <row r="551" spans="2:13" ht="15.75" customHeight="1" x14ac:dyDescent="0.2">
      <c r="B551" s="2"/>
      <c r="C551" s="29"/>
      <c r="D551" s="29"/>
      <c r="E551" s="266"/>
      <c r="F551" s="29"/>
      <c r="G551" s="29"/>
      <c r="H551" s="2"/>
      <c r="I551" s="7"/>
      <c r="J551" s="7"/>
      <c r="K551" s="7"/>
      <c r="L551" s="2"/>
      <c r="M551" s="2"/>
    </row>
    <row r="552" spans="2:13" ht="15.75" customHeight="1" x14ac:dyDescent="0.2">
      <c r="B552" s="2"/>
      <c r="C552" s="29"/>
      <c r="D552" s="29"/>
      <c r="E552" s="266"/>
      <c r="F552" s="29"/>
      <c r="G552" s="29"/>
      <c r="H552" s="2"/>
      <c r="I552" s="7"/>
      <c r="J552" s="7"/>
      <c r="K552" s="7"/>
      <c r="L552" s="2"/>
      <c r="M552" s="2"/>
    </row>
    <row r="553" spans="2:13" ht="15.75" customHeight="1" x14ac:dyDescent="0.2">
      <c r="B553" s="2"/>
      <c r="C553" s="29"/>
      <c r="D553" s="29"/>
      <c r="E553" s="266"/>
      <c r="F553" s="29"/>
      <c r="G553" s="29"/>
      <c r="H553" s="2"/>
      <c r="I553" s="7"/>
      <c r="J553" s="7"/>
      <c r="K553" s="7"/>
      <c r="L553" s="2"/>
      <c r="M553" s="2"/>
    </row>
    <row r="554" spans="2:13" ht="15.75" customHeight="1" x14ac:dyDescent="0.2">
      <c r="B554" s="2"/>
      <c r="C554" s="29"/>
      <c r="D554" s="29"/>
      <c r="E554" s="266"/>
      <c r="F554" s="29"/>
      <c r="G554" s="29"/>
      <c r="H554" s="2"/>
      <c r="I554" s="7"/>
      <c r="J554" s="7"/>
      <c r="K554" s="7"/>
      <c r="L554" s="2"/>
      <c r="M554" s="2"/>
    </row>
    <row r="555" spans="2:13" ht="15.75" customHeight="1" x14ac:dyDescent="0.2">
      <c r="B555" s="2"/>
      <c r="C555" s="29"/>
      <c r="D555" s="29"/>
      <c r="E555" s="266"/>
      <c r="F555" s="29"/>
      <c r="G555" s="29"/>
      <c r="H555" s="2"/>
      <c r="I555" s="7"/>
      <c r="J555" s="7"/>
      <c r="K555" s="7"/>
      <c r="L555" s="2"/>
      <c r="M555" s="2"/>
    </row>
    <row r="556" spans="2:13" ht="15.75" customHeight="1" x14ac:dyDescent="0.2">
      <c r="B556" s="2"/>
      <c r="C556" s="29"/>
      <c r="D556" s="29"/>
      <c r="E556" s="266"/>
      <c r="F556" s="29"/>
      <c r="G556" s="29"/>
      <c r="H556" s="2"/>
      <c r="I556" s="7"/>
      <c r="J556" s="7"/>
      <c r="K556" s="7"/>
      <c r="L556" s="2"/>
      <c r="M556" s="2"/>
    </row>
    <row r="557" spans="2:13" ht="15.75" customHeight="1" x14ac:dyDescent="0.2">
      <c r="B557" s="2"/>
      <c r="C557" s="29"/>
      <c r="D557" s="29"/>
      <c r="E557" s="266"/>
      <c r="F557" s="29"/>
      <c r="G557" s="29"/>
      <c r="H557" s="2"/>
      <c r="I557" s="7"/>
      <c r="J557" s="7"/>
      <c r="K557" s="7"/>
      <c r="L557" s="2"/>
      <c r="M557" s="2"/>
    </row>
    <row r="558" spans="2:13" ht="15.75" customHeight="1" x14ac:dyDescent="0.2">
      <c r="B558" s="2"/>
      <c r="C558" s="29"/>
      <c r="D558" s="29"/>
      <c r="E558" s="266"/>
      <c r="F558" s="29"/>
      <c r="G558" s="29"/>
      <c r="H558" s="2"/>
      <c r="I558" s="7"/>
      <c r="J558" s="7"/>
      <c r="K558" s="7"/>
      <c r="L558" s="2"/>
      <c r="M558" s="2"/>
    </row>
    <row r="559" spans="2:13" ht="15.75" customHeight="1" x14ac:dyDescent="0.2">
      <c r="B559" s="2"/>
      <c r="C559" s="29"/>
      <c r="D559" s="29"/>
      <c r="E559" s="266"/>
      <c r="F559" s="29"/>
      <c r="G559" s="29"/>
      <c r="H559" s="2"/>
      <c r="I559" s="7"/>
      <c r="J559" s="7"/>
      <c r="K559" s="7"/>
      <c r="L559" s="2"/>
      <c r="M559" s="2"/>
    </row>
    <row r="560" spans="2:13" ht="15.75" customHeight="1" x14ac:dyDescent="0.2">
      <c r="B560" s="2"/>
      <c r="C560" s="29"/>
      <c r="D560" s="29"/>
      <c r="E560" s="266"/>
      <c r="F560" s="29"/>
      <c r="G560" s="29"/>
      <c r="H560" s="2"/>
      <c r="I560" s="7"/>
      <c r="J560" s="7"/>
      <c r="K560" s="7"/>
      <c r="L560" s="2"/>
      <c r="M560" s="2"/>
    </row>
    <row r="561" spans="2:13" ht="15.75" customHeight="1" x14ac:dyDescent="0.2">
      <c r="B561" s="2"/>
      <c r="C561" s="29"/>
      <c r="D561" s="29"/>
      <c r="E561" s="266"/>
      <c r="F561" s="29"/>
      <c r="G561" s="29"/>
      <c r="H561" s="2"/>
      <c r="I561" s="7"/>
      <c r="J561" s="7"/>
      <c r="K561" s="7"/>
      <c r="L561" s="2"/>
      <c r="M561" s="2"/>
    </row>
    <row r="562" spans="2:13" ht="15.75" customHeight="1" x14ac:dyDescent="0.2">
      <c r="B562" s="2"/>
      <c r="C562" s="29"/>
      <c r="D562" s="29"/>
      <c r="E562" s="266"/>
      <c r="F562" s="29"/>
      <c r="G562" s="29"/>
      <c r="H562" s="2"/>
      <c r="I562" s="7"/>
      <c r="J562" s="7"/>
      <c r="K562" s="7"/>
      <c r="L562" s="2"/>
      <c r="M562" s="2"/>
    </row>
    <row r="563" spans="2:13" ht="15.75" customHeight="1" x14ac:dyDescent="0.2">
      <c r="B563" s="2"/>
      <c r="C563" s="29"/>
      <c r="D563" s="29"/>
      <c r="E563" s="266"/>
      <c r="F563" s="29"/>
      <c r="G563" s="29"/>
      <c r="H563" s="2"/>
      <c r="I563" s="7"/>
      <c r="J563" s="7"/>
      <c r="K563" s="7"/>
      <c r="L563" s="2"/>
      <c r="M563" s="2"/>
    </row>
    <row r="564" spans="2:13" ht="15.75" customHeight="1" x14ac:dyDescent="0.2">
      <c r="B564" s="2"/>
      <c r="C564" s="29"/>
      <c r="D564" s="29"/>
      <c r="E564" s="266"/>
      <c r="F564" s="29"/>
      <c r="G564" s="29"/>
      <c r="H564" s="2"/>
      <c r="I564" s="7"/>
      <c r="J564" s="7"/>
      <c r="K564" s="7"/>
      <c r="L564" s="2"/>
      <c r="M564" s="2"/>
    </row>
    <row r="565" spans="2:13" ht="15.75" customHeight="1" x14ac:dyDescent="0.2">
      <c r="B565" s="2"/>
      <c r="C565" s="29"/>
      <c r="D565" s="29"/>
      <c r="E565" s="266"/>
      <c r="F565" s="29"/>
      <c r="G565" s="29"/>
      <c r="H565" s="2"/>
      <c r="I565" s="7"/>
      <c r="J565" s="7"/>
      <c r="K565" s="7"/>
      <c r="L565" s="2"/>
      <c r="M565" s="2"/>
    </row>
    <row r="566" spans="2:13" ht="15.75" customHeight="1" x14ac:dyDescent="0.2">
      <c r="B566" s="2"/>
      <c r="C566" s="29"/>
      <c r="D566" s="29"/>
      <c r="E566" s="266"/>
      <c r="F566" s="29"/>
      <c r="G566" s="29"/>
      <c r="H566" s="2"/>
      <c r="I566" s="7"/>
      <c r="J566" s="7"/>
      <c r="K566" s="7"/>
      <c r="L566" s="2"/>
      <c r="M566" s="2"/>
    </row>
    <row r="567" spans="2:13" ht="15.75" customHeight="1" x14ac:dyDescent="0.2">
      <c r="B567" s="2"/>
      <c r="C567" s="29"/>
      <c r="D567" s="29"/>
      <c r="E567" s="266"/>
      <c r="F567" s="29"/>
      <c r="G567" s="29"/>
      <c r="H567" s="2"/>
      <c r="I567" s="7"/>
      <c r="J567" s="7"/>
      <c r="K567" s="7"/>
      <c r="L567" s="2"/>
      <c r="M567" s="2"/>
    </row>
    <row r="568" spans="2:13" ht="15.75" customHeight="1" x14ac:dyDescent="0.2">
      <c r="B568" s="2"/>
      <c r="C568" s="29"/>
      <c r="D568" s="29"/>
      <c r="E568" s="266"/>
      <c r="F568" s="29"/>
      <c r="G568" s="29"/>
      <c r="H568" s="2"/>
      <c r="I568" s="7"/>
      <c r="J568" s="7"/>
      <c r="K568" s="7"/>
      <c r="L568" s="2"/>
      <c r="M568" s="2"/>
    </row>
    <row r="569" spans="2:13" ht="15.75" customHeight="1" x14ac:dyDescent="0.2">
      <c r="B569" s="2"/>
      <c r="C569" s="29"/>
      <c r="D569" s="29"/>
      <c r="E569" s="266"/>
      <c r="F569" s="29"/>
      <c r="G569" s="29"/>
      <c r="H569" s="2"/>
      <c r="I569" s="7"/>
      <c r="J569" s="7"/>
      <c r="K569" s="7"/>
      <c r="L569" s="2"/>
      <c r="M569" s="2"/>
    </row>
    <row r="570" spans="2:13" ht="15.75" customHeight="1" x14ac:dyDescent="0.2">
      <c r="B570" s="2"/>
      <c r="C570" s="29"/>
      <c r="D570" s="29"/>
      <c r="E570" s="266"/>
      <c r="F570" s="29"/>
      <c r="G570" s="29"/>
      <c r="H570" s="2"/>
      <c r="I570" s="7"/>
      <c r="J570" s="7"/>
      <c r="K570" s="7"/>
      <c r="L570" s="2"/>
      <c r="M570" s="2"/>
    </row>
    <row r="571" spans="2:13" ht="15.75" customHeight="1" x14ac:dyDescent="0.2">
      <c r="B571" s="2"/>
      <c r="C571" s="29"/>
      <c r="D571" s="29"/>
      <c r="E571" s="266"/>
      <c r="F571" s="29"/>
      <c r="G571" s="29"/>
      <c r="H571" s="2"/>
      <c r="I571" s="7"/>
      <c r="J571" s="7"/>
      <c r="K571" s="7"/>
      <c r="L571" s="2"/>
      <c r="M571" s="2"/>
    </row>
    <row r="572" spans="2:13" ht="15.75" customHeight="1" x14ac:dyDescent="0.2">
      <c r="B572" s="2"/>
      <c r="C572" s="29"/>
      <c r="D572" s="29"/>
      <c r="E572" s="266"/>
      <c r="F572" s="29"/>
      <c r="G572" s="29"/>
      <c r="H572" s="2"/>
      <c r="I572" s="7"/>
      <c r="J572" s="7"/>
      <c r="K572" s="7"/>
      <c r="L572" s="2"/>
      <c r="M572" s="2"/>
    </row>
    <row r="573" spans="2:13" ht="15.75" customHeight="1" x14ac:dyDescent="0.2">
      <c r="B573" s="2"/>
      <c r="C573" s="29"/>
      <c r="D573" s="29"/>
      <c r="E573" s="266"/>
      <c r="F573" s="29"/>
      <c r="G573" s="29"/>
      <c r="H573" s="2"/>
      <c r="I573" s="7"/>
      <c r="J573" s="7"/>
      <c r="K573" s="7"/>
      <c r="L573" s="2"/>
      <c r="M573" s="2"/>
    </row>
    <row r="574" spans="2:13" ht="15.75" customHeight="1" x14ac:dyDescent="0.2">
      <c r="B574" s="2"/>
      <c r="C574" s="29"/>
      <c r="D574" s="29"/>
      <c r="E574" s="266"/>
      <c r="F574" s="29"/>
      <c r="G574" s="29"/>
      <c r="H574" s="2"/>
      <c r="I574" s="7"/>
      <c r="J574" s="7"/>
      <c r="K574" s="7"/>
      <c r="L574" s="2"/>
      <c r="M574" s="2"/>
    </row>
    <row r="575" spans="2:13" ht="15.75" customHeight="1" x14ac:dyDescent="0.2">
      <c r="B575" s="2"/>
      <c r="C575" s="29"/>
      <c r="D575" s="29"/>
      <c r="E575" s="266"/>
      <c r="F575" s="29"/>
      <c r="G575" s="29"/>
      <c r="H575" s="2"/>
      <c r="I575" s="7"/>
      <c r="J575" s="7"/>
      <c r="K575" s="7"/>
      <c r="L575" s="2"/>
      <c r="M575" s="2"/>
    </row>
    <row r="576" spans="2:13" ht="15.75" customHeight="1" x14ac:dyDescent="0.2">
      <c r="B576" s="2"/>
      <c r="C576" s="29"/>
      <c r="D576" s="29"/>
      <c r="E576" s="266"/>
      <c r="F576" s="29"/>
      <c r="G576" s="29"/>
      <c r="H576" s="2"/>
      <c r="I576" s="7"/>
      <c r="J576" s="7"/>
      <c r="K576" s="7"/>
      <c r="L576" s="2"/>
      <c r="M576" s="2"/>
    </row>
    <row r="577" spans="2:13" ht="15.75" customHeight="1" x14ac:dyDescent="0.2">
      <c r="B577" s="2"/>
      <c r="C577" s="29"/>
      <c r="D577" s="29"/>
      <c r="E577" s="266"/>
      <c r="F577" s="29"/>
      <c r="G577" s="29"/>
      <c r="H577" s="2"/>
      <c r="I577" s="7"/>
      <c r="J577" s="7"/>
      <c r="K577" s="7"/>
      <c r="L577" s="2"/>
      <c r="M577" s="2"/>
    </row>
    <row r="578" spans="2:13" ht="15.75" customHeight="1" x14ac:dyDescent="0.2">
      <c r="B578" s="2"/>
      <c r="C578" s="29"/>
      <c r="D578" s="29"/>
      <c r="E578" s="266"/>
      <c r="F578" s="29"/>
      <c r="G578" s="29"/>
      <c r="H578" s="2"/>
      <c r="I578" s="7"/>
      <c r="J578" s="7"/>
      <c r="K578" s="7"/>
      <c r="L578" s="2"/>
      <c r="M578" s="2"/>
    </row>
    <row r="579" spans="2:13" ht="15.75" customHeight="1" x14ac:dyDescent="0.2">
      <c r="B579" s="2"/>
      <c r="C579" s="29"/>
      <c r="D579" s="29"/>
      <c r="E579" s="266"/>
      <c r="F579" s="29"/>
      <c r="G579" s="29"/>
      <c r="H579" s="2"/>
      <c r="I579" s="7"/>
      <c r="J579" s="7"/>
      <c r="K579" s="7"/>
      <c r="L579" s="2"/>
      <c r="M579" s="2"/>
    </row>
    <row r="580" spans="2:13" ht="15.75" customHeight="1" x14ac:dyDescent="0.2">
      <c r="B580" s="2"/>
      <c r="C580" s="29"/>
      <c r="D580" s="29"/>
      <c r="E580" s="266"/>
      <c r="F580" s="29"/>
      <c r="G580" s="29"/>
      <c r="H580" s="2"/>
      <c r="I580" s="7"/>
      <c r="J580" s="7"/>
      <c r="K580" s="7"/>
      <c r="L580" s="2"/>
      <c r="M580" s="2"/>
    </row>
    <row r="581" spans="2:13" ht="15.75" customHeight="1" x14ac:dyDescent="0.2">
      <c r="B581" s="2"/>
      <c r="C581" s="29"/>
      <c r="D581" s="29"/>
      <c r="E581" s="266"/>
      <c r="F581" s="29"/>
      <c r="G581" s="29"/>
      <c r="H581" s="2"/>
      <c r="I581" s="7"/>
      <c r="J581" s="7"/>
      <c r="K581" s="7"/>
      <c r="L581" s="2"/>
      <c r="M581" s="2"/>
    </row>
    <row r="582" spans="2:13" ht="15.75" customHeight="1" x14ac:dyDescent="0.2">
      <c r="B582" s="2"/>
      <c r="C582" s="29"/>
      <c r="D582" s="29"/>
      <c r="E582" s="266"/>
      <c r="F582" s="29"/>
      <c r="G582" s="29"/>
      <c r="H582" s="2"/>
      <c r="I582" s="7"/>
      <c r="J582" s="7"/>
      <c r="K582" s="7"/>
      <c r="L582" s="2"/>
      <c r="M582" s="2"/>
    </row>
    <row r="583" spans="2:13" ht="15.75" customHeight="1" x14ac:dyDescent="0.2">
      <c r="B583" s="2"/>
      <c r="C583" s="29"/>
      <c r="D583" s="29"/>
      <c r="E583" s="266"/>
      <c r="F583" s="29"/>
      <c r="G583" s="29"/>
      <c r="H583" s="2"/>
      <c r="I583" s="7"/>
      <c r="J583" s="7"/>
      <c r="K583" s="7"/>
      <c r="L583" s="2"/>
      <c r="M583" s="2"/>
    </row>
    <row r="584" spans="2:13" ht="15.75" customHeight="1" x14ac:dyDescent="0.2">
      <c r="B584" s="2"/>
      <c r="C584" s="29"/>
      <c r="D584" s="29"/>
      <c r="E584" s="266"/>
      <c r="F584" s="29"/>
      <c r="G584" s="29"/>
      <c r="H584" s="2"/>
      <c r="I584" s="7"/>
      <c r="J584" s="7"/>
      <c r="K584" s="7"/>
      <c r="L584" s="2"/>
      <c r="M584" s="2"/>
    </row>
    <row r="585" spans="2:13" ht="15.75" customHeight="1" x14ac:dyDescent="0.2">
      <c r="B585" s="2"/>
      <c r="C585" s="29"/>
      <c r="D585" s="29"/>
      <c r="E585" s="266"/>
      <c r="F585" s="29"/>
      <c r="G585" s="29"/>
      <c r="H585" s="2"/>
      <c r="I585" s="7"/>
      <c r="J585" s="7"/>
      <c r="K585" s="7"/>
      <c r="L585" s="2"/>
      <c r="M585" s="2"/>
    </row>
    <row r="586" spans="2:13" ht="15.75" customHeight="1" x14ac:dyDescent="0.2">
      <c r="B586" s="2"/>
      <c r="C586" s="29"/>
      <c r="D586" s="29"/>
      <c r="E586" s="266"/>
      <c r="F586" s="29"/>
      <c r="G586" s="29"/>
      <c r="H586" s="2"/>
      <c r="I586" s="7"/>
      <c r="J586" s="7"/>
      <c r="K586" s="7"/>
      <c r="L586" s="2"/>
      <c r="M586" s="2"/>
    </row>
    <row r="587" spans="2:13" ht="15.75" customHeight="1" x14ac:dyDescent="0.2">
      <c r="B587" s="2"/>
      <c r="C587" s="29"/>
      <c r="D587" s="29"/>
      <c r="E587" s="266"/>
      <c r="F587" s="29"/>
      <c r="G587" s="29"/>
      <c r="H587" s="2"/>
      <c r="I587" s="7"/>
      <c r="J587" s="7"/>
      <c r="K587" s="7"/>
      <c r="L587" s="2"/>
      <c r="M587" s="2"/>
    </row>
    <row r="588" spans="2:13" ht="15.75" customHeight="1" x14ac:dyDescent="0.2">
      <c r="B588" s="2"/>
      <c r="C588" s="29"/>
      <c r="D588" s="29"/>
      <c r="E588" s="266"/>
      <c r="F588" s="29"/>
      <c r="G588" s="29"/>
      <c r="H588" s="2"/>
      <c r="I588" s="7"/>
      <c r="J588" s="7"/>
      <c r="K588" s="7"/>
      <c r="L588" s="2"/>
      <c r="M588" s="2"/>
    </row>
    <row r="589" spans="2:13" ht="15.75" customHeight="1" x14ac:dyDescent="0.2">
      <c r="B589" s="2"/>
      <c r="C589" s="29"/>
      <c r="D589" s="29"/>
      <c r="E589" s="266"/>
      <c r="F589" s="29"/>
      <c r="G589" s="29"/>
      <c r="H589" s="2"/>
      <c r="I589" s="7"/>
      <c r="J589" s="7"/>
      <c r="K589" s="7"/>
      <c r="L589" s="2"/>
      <c r="M589" s="2"/>
    </row>
    <row r="590" spans="2:13" ht="15.75" customHeight="1" x14ac:dyDescent="0.2">
      <c r="B590" s="2"/>
      <c r="C590" s="29"/>
      <c r="D590" s="29"/>
      <c r="E590" s="266"/>
      <c r="F590" s="29"/>
      <c r="G590" s="29"/>
      <c r="H590" s="2"/>
      <c r="I590" s="7"/>
      <c r="J590" s="7"/>
      <c r="K590" s="7"/>
      <c r="L590" s="2"/>
      <c r="M590" s="2"/>
    </row>
    <row r="591" spans="2:13" ht="15.75" customHeight="1" x14ac:dyDescent="0.2">
      <c r="B591" s="2"/>
      <c r="C591" s="29"/>
      <c r="D591" s="29"/>
      <c r="E591" s="266"/>
      <c r="F591" s="29"/>
      <c r="G591" s="29"/>
      <c r="H591" s="2"/>
      <c r="I591" s="7"/>
      <c r="J591" s="7"/>
      <c r="K591" s="7"/>
      <c r="L591" s="2"/>
      <c r="M591" s="2"/>
    </row>
    <row r="592" spans="2:13" ht="15.75" customHeight="1" x14ac:dyDescent="0.2">
      <c r="B592" s="2"/>
      <c r="C592" s="29"/>
      <c r="D592" s="29"/>
      <c r="E592" s="266"/>
      <c r="F592" s="29"/>
      <c r="G592" s="29"/>
      <c r="H592" s="2"/>
      <c r="I592" s="7"/>
      <c r="J592" s="7"/>
      <c r="K592" s="7"/>
      <c r="L592" s="2"/>
      <c r="M592" s="2"/>
    </row>
    <row r="593" spans="2:13" ht="15.75" customHeight="1" x14ac:dyDescent="0.2">
      <c r="B593" s="2"/>
      <c r="C593" s="29"/>
      <c r="D593" s="29"/>
      <c r="E593" s="266"/>
      <c r="F593" s="29"/>
      <c r="G593" s="29"/>
      <c r="H593" s="2"/>
      <c r="I593" s="7"/>
      <c r="J593" s="7"/>
      <c r="K593" s="7"/>
      <c r="L593" s="2"/>
      <c r="M593" s="2"/>
    </row>
    <row r="594" spans="2:13" ht="15.75" customHeight="1" x14ac:dyDescent="0.2">
      <c r="B594" s="2"/>
      <c r="C594" s="29"/>
      <c r="D594" s="29"/>
      <c r="E594" s="266"/>
      <c r="F594" s="29"/>
      <c r="G594" s="29"/>
      <c r="H594" s="2"/>
      <c r="I594" s="7"/>
      <c r="J594" s="7"/>
      <c r="K594" s="7"/>
      <c r="L594" s="2"/>
      <c r="M594" s="2"/>
    </row>
    <row r="595" spans="2:13" ht="15.75" customHeight="1" x14ac:dyDescent="0.2">
      <c r="B595" s="2"/>
      <c r="C595" s="29"/>
      <c r="D595" s="29"/>
      <c r="E595" s="266"/>
      <c r="F595" s="29"/>
      <c r="G595" s="29"/>
      <c r="H595" s="2"/>
      <c r="I595" s="7"/>
      <c r="J595" s="7"/>
      <c r="K595" s="7"/>
      <c r="L595" s="2"/>
      <c r="M595" s="2"/>
    </row>
    <row r="596" spans="2:13" ht="15.75" customHeight="1" x14ac:dyDescent="0.2">
      <c r="B596" s="2"/>
      <c r="C596" s="29"/>
      <c r="D596" s="29"/>
      <c r="E596" s="266"/>
      <c r="F596" s="29"/>
      <c r="G596" s="29"/>
      <c r="H596" s="2"/>
      <c r="I596" s="7"/>
      <c r="J596" s="7"/>
      <c r="K596" s="7"/>
      <c r="L596" s="2"/>
      <c r="M596" s="2"/>
    </row>
    <row r="597" spans="2:13" ht="15.75" customHeight="1" x14ac:dyDescent="0.2">
      <c r="B597" s="2"/>
      <c r="C597" s="29"/>
      <c r="D597" s="29"/>
      <c r="E597" s="266"/>
      <c r="F597" s="29"/>
      <c r="G597" s="29"/>
      <c r="H597" s="2"/>
      <c r="I597" s="7"/>
      <c r="J597" s="7"/>
      <c r="K597" s="7"/>
      <c r="L597" s="2"/>
      <c r="M597" s="2"/>
    </row>
    <row r="598" spans="2:13" ht="15.75" customHeight="1" x14ac:dyDescent="0.2">
      <c r="B598" s="2"/>
      <c r="C598" s="29"/>
      <c r="D598" s="29"/>
      <c r="E598" s="266"/>
      <c r="F598" s="29"/>
      <c r="G598" s="29"/>
      <c r="H598" s="2"/>
      <c r="I598" s="7"/>
      <c r="J598" s="7"/>
      <c r="K598" s="7"/>
      <c r="L598" s="2"/>
      <c r="M598" s="2"/>
    </row>
    <row r="599" spans="2:13" ht="15.75" customHeight="1" x14ac:dyDescent="0.2">
      <c r="B599" s="2"/>
      <c r="C599" s="29"/>
      <c r="D599" s="29"/>
      <c r="E599" s="266"/>
      <c r="F599" s="29"/>
      <c r="G599" s="29"/>
      <c r="H599" s="2"/>
      <c r="I599" s="7"/>
      <c r="J599" s="7"/>
      <c r="K599" s="7"/>
      <c r="L599" s="2"/>
      <c r="M599" s="2"/>
    </row>
    <row r="600" spans="2:13" ht="15.75" customHeight="1" x14ac:dyDescent="0.2">
      <c r="B600" s="2"/>
      <c r="C600" s="29"/>
      <c r="D600" s="29"/>
      <c r="E600" s="266"/>
      <c r="F600" s="29"/>
      <c r="G600" s="29"/>
      <c r="H600" s="2"/>
      <c r="I600" s="7"/>
      <c r="J600" s="7"/>
      <c r="K600" s="7"/>
      <c r="L600" s="2"/>
      <c r="M600" s="2"/>
    </row>
    <row r="601" spans="2:13" ht="15.75" customHeight="1" x14ac:dyDescent="0.2">
      <c r="B601" s="2"/>
      <c r="C601" s="29"/>
      <c r="D601" s="29"/>
      <c r="E601" s="266"/>
      <c r="F601" s="29"/>
      <c r="G601" s="29"/>
      <c r="H601" s="2"/>
      <c r="I601" s="7"/>
      <c r="J601" s="7"/>
      <c r="K601" s="7"/>
      <c r="L601" s="2"/>
      <c r="M601" s="2"/>
    </row>
    <row r="602" spans="2:13" ht="15.75" customHeight="1" x14ac:dyDescent="0.2">
      <c r="B602" s="2"/>
      <c r="C602" s="29"/>
      <c r="D602" s="29"/>
      <c r="E602" s="266"/>
      <c r="F602" s="29"/>
      <c r="G602" s="29"/>
      <c r="H602" s="2"/>
      <c r="I602" s="7"/>
      <c r="J602" s="7"/>
      <c r="K602" s="7"/>
      <c r="L602" s="2"/>
      <c r="M602" s="2"/>
    </row>
    <row r="603" spans="2:13" ht="15.75" customHeight="1" x14ac:dyDescent="0.2">
      <c r="B603" s="2"/>
      <c r="C603" s="29"/>
      <c r="D603" s="29"/>
      <c r="E603" s="266"/>
      <c r="F603" s="29"/>
      <c r="G603" s="29"/>
      <c r="H603" s="2"/>
      <c r="I603" s="7"/>
      <c r="J603" s="7"/>
      <c r="K603" s="7"/>
      <c r="L603" s="2"/>
      <c r="M603" s="2"/>
    </row>
    <row r="604" spans="2:13" ht="15.75" customHeight="1" x14ac:dyDescent="0.2">
      <c r="B604" s="2"/>
      <c r="C604" s="29"/>
      <c r="D604" s="29"/>
      <c r="E604" s="266"/>
      <c r="F604" s="29"/>
      <c r="G604" s="29"/>
      <c r="H604" s="2"/>
      <c r="I604" s="7"/>
      <c r="J604" s="7"/>
      <c r="K604" s="7"/>
      <c r="L604" s="2"/>
      <c r="M604" s="2"/>
    </row>
    <row r="605" spans="2:13" ht="15.75" customHeight="1" x14ac:dyDescent="0.2">
      <c r="B605" s="2"/>
      <c r="C605" s="29"/>
      <c r="D605" s="29"/>
      <c r="E605" s="266"/>
      <c r="F605" s="29"/>
      <c r="G605" s="29"/>
      <c r="H605" s="2"/>
      <c r="I605" s="7"/>
      <c r="J605" s="7"/>
      <c r="K605" s="7"/>
      <c r="L605" s="2"/>
      <c r="M605" s="2"/>
    </row>
    <row r="606" spans="2:13" ht="15.75" customHeight="1" x14ac:dyDescent="0.2">
      <c r="B606" s="2"/>
      <c r="C606" s="29"/>
      <c r="D606" s="29"/>
      <c r="E606" s="266"/>
      <c r="F606" s="29"/>
      <c r="G606" s="29"/>
      <c r="H606" s="2"/>
      <c r="I606" s="7"/>
      <c r="J606" s="7"/>
      <c r="K606" s="7"/>
      <c r="L606" s="2"/>
      <c r="M606" s="2"/>
    </row>
    <row r="607" spans="2:13" ht="15.75" customHeight="1" x14ac:dyDescent="0.2">
      <c r="B607" s="2"/>
      <c r="C607" s="29"/>
      <c r="D607" s="29"/>
      <c r="E607" s="266"/>
      <c r="F607" s="29"/>
      <c r="G607" s="29"/>
      <c r="H607" s="2"/>
      <c r="I607" s="7"/>
      <c r="J607" s="7"/>
      <c r="K607" s="7"/>
      <c r="L607" s="2"/>
      <c r="M607" s="2"/>
    </row>
    <row r="608" spans="2:13" ht="15.75" customHeight="1" x14ac:dyDescent="0.2">
      <c r="B608" s="2"/>
      <c r="C608" s="29"/>
      <c r="D608" s="29"/>
      <c r="E608" s="266"/>
      <c r="F608" s="29"/>
      <c r="G608" s="29"/>
      <c r="H608" s="2"/>
      <c r="I608" s="7"/>
      <c r="J608" s="7"/>
      <c r="K608" s="7"/>
      <c r="L608" s="2"/>
      <c r="M608" s="2"/>
    </row>
    <row r="609" spans="2:13" ht="15.75" customHeight="1" x14ac:dyDescent="0.2">
      <c r="B609" s="2"/>
      <c r="C609" s="29"/>
      <c r="D609" s="29"/>
      <c r="E609" s="266"/>
      <c r="F609" s="29"/>
      <c r="G609" s="29"/>
      <c r="H609" s="2"/>
      <c r="I609" s="7"/>
      <c r="J609" s="7"/>
      <c r="K609" s="7"/>
      <c r="L609" s="2"/>
      <c r="M609" s="2"/>
    </row>
    <row r="610" spans="2:13" ht="15.75" customHeight="1" x14ac:dyDescent="0.2">
      <c r="B610" s="2"/>
      <c r="C610" s="29"/>
      <c r="D610" s="29"/>
      <c r="E610" s="266"/>
      <c r="F610" s="29"/>
      <c r="G610" s="29"/>
      <c r="H610" s="2"/>
      <c r="I610" s="7"/>
      <c r="J610" s="7"/>
      <c r="K610" s="7"/>
      <c r="L610" s="2"/>
      <c r="M610" s="2"/>
    </row>
    <row r="611" spans="2:13" ht="15.75" customHeight="1" x14ac:dyDescent="0.2">
      <c r="B611" s="2"/>
      <c r="C611" s="29"/>
      <c r="D611" s="29"/>
      <c r="E611" s="266"/>
      <c r="F611" s="29"/>
      <c r="G611" s="29"/>
      <c r="H611" s="2"/>
      <c r="I611" s="7"/>
      <c r="J611" s="7"/>
      <c r="K611" s="7"/>
      <c r="L611" s="2"/>
      <c r="M611" s="2"/>
    </row>
    <row r="612" spans="2:13" ht="15.75" customHeight="1" x14ac:dyDescent="0.2">
      <c r="B612" s="2"/>
      <c r="C612" s="29"/>
      <c r="D612" s="29"/>
      <c r="E612" s="266"/>
      <c r="F612" s="29"/>
      <c r="G612" s="29"/>
      <c r="H612" s="2"/>
      <c r="I612" s="7"/>
      <c r="J612" s="7"/>
      <c r="K612" s="7"/>
      <c r="L612" s="2"/>
      <c r="M612" s="2"/>
    </row>
    <row r="613" spans="2:13" ht="15.75" customHeight="1" x14ac:dyDescent="0.2">
      <c r="B613" s="2"/>
      <c r="C613" s="29"/>
      <c r="D613" s="29"/>
      <c r="E613" s="266"/>
      <c r="F613" s="29"/>
      <c r="G613" s="29"/>
      <c r="H613" s="2"/>
      <c r="I613" s="7"/>
      <c r="J613" s="7"/>
      <c r="K613" s="7"/>
      <c r="L613" s="2"/>
      <c r="M613" s="2"/>
    </row>
    <row r="614" spans="2:13" ht="15.75" customHeight="1" x14ac:dyDescent="0.2">
      <c r="B614" s="2"/>
      <c r="C614" s="29"/>
      <c r="D614" s="29"/>
      <c r="E614" s="266"/>
      <c r="F614" s="29"/>
      <c r="G614" s="29"/>
      <c r="H614" s="2"/>
      <c r="I614" s="7"/>
      <c r="J614" s="7"/>
      <c r="K614" s="7"/>
      <c r="L614" s="2"/>
      <c r="M614" s="2"/>
    </row>
    <row r="615" spans="2:13" ht="15.75" customHeight="1" x14ac:dyDescent="0.2">
      <c r="B615" s="2"/>
      <c r="C615" s="29"/>
      <c r="D615" s="29"/>
      <c r="E615" s="266"/>
      <c r="F615" s="29"/>
      <c r="G615" s="29"/>
      <c r="H615" s="2"/>
      <c r="I615" s="7"/>
      <c r="J615" s="7"/>
      <c r="K615" s="7"/>
      <c r="L615" s="2"/>
      <c r="M615" s="2"/>
    </row>
    <row r="616" spans="2:13" ht="15.75" customHeight="1" x14ac:dyDescent="0.2">
      <c r="B616" s="2"/>
      <c r="C616" s="29"/>
      <c r="D616" s="29"/>
      <c r="E616" s="266"/>
      <c r="F616" s="29"/>
      <c r="G616" s="29"/>
      <c r="H616" s="2"/>
      <c r="I616" s="7"/>
      <c r="J616" s="7"/>
      <c r="K616" s="7"/>
      <c r="L616" s="2"/>
      <c r="M616" s="2"/>
    </row>
    <row r="617" spans="2:13" ht="15.75" customHeight="1" x14ac:dyDescent="0.2">
      <c r="B617" s="2"/>
      <c r="C617" s="29"/>
      <c r="D617" s="29"/>
      <c r="E617" s="266"/>
      <c r="F617" s="29"/>
      <c r="G617" s="29"/>
      <c r="H617" s="2"/>
      <c r="I617" s="7"/>
      <c r="J617" s="7"/>
      <c r="K617" s="7"/>
      <c r="L617" s="2"/>
      <c r="M617" s="2"/>
    </row>
    <row r="618" spans="2:13" ht="15.75" customHeight="1" x14ac:dyDescent="0.2">
      <c r="B618" s="2"/>
      <c r="C618" s="29"/>
      <c r="D618" s="29"/>
      <c r="E618" s="266"/>
      <c r="F618" s="29"/>
      <c r="G618" s="29"/>
      <c r="H618" s="2"/>
      <c r="I618" s="7"/>
      <c r="J618" s="7"/>
      <c r="K618" s="7"/>
      <c r="L618" s="2"/>
      <c r="M618" s="2"/>
    </row>
    <row r="619" spans="2:13" ht="15.75" customHeight="1" x14ac:dyDescent="0.2">
      <c r="B619" s="2"/>
      <c r="C619" s="29"/>
      <c r="D619" s="29"/>
      <c r="E619" s="266"/>
      <c r="F619" s="29"/>
      <c r="G619" s="29"/>
      <c r="H619" s="2"/>
      <c r="I619" s="7"/>
      <c r="J619" s="7"/>
      <c r="K619" s="7"/>
      <c r="L619" s="2"/>
      <c r="M619" s="2"/>
    </row>
    <row r="620" spans="2:13" ht="15.75" customHeight="1" x14ac:dyDescent="0.2">
      <c r="B620" s="2"/>
      <c r="C620" s="29"/>
      <c r="D620" s="29"/>
      <c r="E620" s="266"/>
      <c r="F620" s="29"/>
      <c r="G620" s="29"/>
      <c r="H620" s="2"/>
      <c r="I620" s="7"/>
      <c r="J620" s="7"/>
      <c r="K620" s="7"/>
      <c r="L620" s="2"/>
      <c r="M620" s="2"/>
    </row>
    <row r="621" spans="2:13" ht="15.75" customHeight="1" x14ac:dyDescent="0.2">
      <c r="B621" s="2"/>
      <c r="C621" s="29"/>
      <c r="D621" s="29"/>
      <c r="E621" s="266"/>
      <c r="F621" s="29"/>
      <c r="G621" s="29"/>
      <c r="H621" s="2"/>
      <c r="I621" s="7"/>
      <c r="J621" s="7"/>
      <c r="K621" s="7"/>
      <c r="L621" s="2"/>
      <c r="M621" s="2"/>
    </row>
    <row r="622" spans="2:13" ht="15.75" customHeight="1" x14ac:dyDescent="0.2">
      <c r="B622" s="2"/>
      <c r="C622" s="29"/>
      <c r="D622" s="29"/>
      <c r="E622" s="266"/>
      <c r="F622" s="29"/>
      <c r="G622" s="29"/>
      <c r="H622" s="2"/>
      <c r="I622" s="7"/>
      <c r="J622" s="7"/>
      <c r="K622" s="7"/>
      <c r="L622" s="2"/>
      <c r="M622" s="2"/>
    </row>
    <row r="623" spans="2:13" ht="15.75" customHeight="1" x14ac:dyDescent="0.2">
      <c r="B623" s="2"/>
      <c r="C623" s="29"/>
      <c r="D623" s="29"/>
      <c r="E623" s="266"/>
      <c r="F623" s="29"/>
      <c r="G623" s="29"/>
      <c r="H623" s="2"/>
      <c r="I623" s="7"/>
      <c r="J623" s="7"/>
      <c r="K623" s="7"/>
      <c r="L623" s="2"/>
      <c r="M623" s="2"/>
    </row>
    <row r="624" spans="2:13" ht="15.75" customHeight="1" x14ac:dyDescent="0.2">
      <c r="B624" s="2"/>
      <c r="C624" s="29"/>
      <c r="D624" s="29"/>
      <c r="E624" s="266"/>
      <c r="F624" s="29"/>
      <c r="G624" s="29"/>
      <c r="H624" s="2"/>
      <c r="I624" s="7"/>
      <c r="J624" s="7"/>
      <c r="K624" s="7"/>
      <c r="L624" s="2"/>
      <c r="M624" s="2"/>
    </row>
    <row r="625" spans="2:13" ht="15.75" customHeight="1" x14ac:dyDescent="0.2">
      <c r="B625" s="2"/>
      <c r="C625" s="29"/>
      <c r="D625" s="29"/>
      <c r="E625" s="266"/>
      <c r="F625" s="29"/>
      <c r="G625" s="29"/>
      <c r="H625" s="2"/>
      <c r="I625" s="7"/>
      <c r="J625" s="7"/>
      <c r="K625" s="7"/>
      <c r="L625" s="2"/>
      <c r="M625" s="2"/>
    </row>
    <row r="626" spans="2:13" ht="15.75" customHeight="1" x14ac:dyDescent="0.2">
      <c r="B626" s="2"/>
      <c r="C626" s="29"/>
      <c r="D626" s="29"/>
      <c r="E626" s="266"/>
      <c r="F626" s="29"/>
      <c r="G626" s="29"/>
      <c r="H626" s="2"/>
      <c r="I626" s="7"/>
      <c r="J626" s="7"/>
      <c r="K626" s="7"/>
      <c r="L626" s="2"/>
      <c r="M626" s="2"/>
    </row>
    <row r="627" spans="2:13" ht="15.75" customHeight="1" x14ac:dyDescent="0.2">
      <c r="B627" s="2"/>
      <c r="C627" s="29"/>
      <c r="D627" s="29"/>
      <c r="E627" s="266"/>
      <c r="F627" s="29"/>
      <c r="G627" s="29"/>
      <c r="H627" s="2"/>
      <c r="I627" s="7"/>
      <c r="J627" s="7"/>
      <c r="K627" s="7"/>
      <c r="L627" s="2"/>
      <c r="M627" s="2"/>
    </row>
    <row r="628" spans="2:13" ht="15.75" customHeight="1" x14ac:dyDescent="0.2">
      <c r="B628" s="2"/>
      <c r="C628" s="29"/>
      <c r="D628" s="29"/>
      <c r="E628" s="266"/>
      <c r="F628" s="29"/>
      <c r="G628" s="29"/>
      <c r="H628" s="2"/>
      <c r="I628" s="7"/>
      <c r="J628" s="7"/>
      <c r="K628" s="7"/>
      <c r="L628" s="2"/>
      <c r="M628" s="2"/>
    </row>
    <row r="629" spans="2:13" ht="15.75" customHeight="1" x14ac:dyDescent="0.2">
      <c r="B629" s="2"/>
      <c r="C629" s="29"/>
      <c r="D629" s="29"/>
      <c r="E629" s="266"/>
      <c r="F629" s="29"/>
      <c r="G629" s="29"/>
      <c r="H629" s="2"/>
      <c r="I629" s="7"/>
      <c r="J629" s="7"/>
      <c r="K629" s="7"/>
      <c r="L629" s="2"/>
      <c r="M629" s="2"/>
    </row>
    <row r="630" spans="2:13" ht="15.75" customHeight="1" x14ac:dyDescent="0.2">
      <c r="B630" s="2"/>
      <c r="C630" s="29"/>
      <c r="D630" s="29"/>
      <c r="E630" s="266"/>
      <c r="F630" s="29"/>
      <c r="G630" s="29"/>
      <c r="H630" s="2"/>
      <c r="I630" s="7"/>
      <c r="J630" s="7"/>
      <c r="K630" s="7"/>
      <c r="L630" s="2"/>
      <c r="M630" s="2"/>
    </row>
    <row r="631" spans="2:13" ht="15.75" customHeight="1" x14ac:dyDescent="0.2">
      <c r="B631" s="2"/>
      <c r="C631" s="29"/>
      <c r="D631" s="29"/>
      <c r="E631" s="266"/>
      <c r="F631" s="29"/>
      <c r="G631" s="29"/>
      <c r="H631" s="2"/>
      <c r="I631" s="7"/>
      <c r="J631" s="7"/>
      <c r="K631" s="7"/>
      <c r="L631" s="2"/>
      <c r="M631" s="2"/>
    </row>
    <row r="632" spans="2:13" ht="15.75" customHeight="1" x14ac:dyDescent="0.2">
      <c r="B632" s="2"/>
      <c r="C632" s="29"/>
      <c r="D632" s="29"/>
      <c r="E632" s="266"/>
      <c r="F632" s="29"/>
      <c r="G632" s="29"/>
      <c r="H632" s="2"/>
      <c r="I632" s="7"/>
      <c r="J632" s="7"/>
      <c r="K632" s="7"/>
      <c r="L632" s="2"/>
      <c r="M632" s="2"/>
    </row>
    <row r="633" spans="2:13" ht="15.75" customHeight="1" x14ac:dyDescent="0.2">
      <c r="B633" s="2"/>
      <c r="C633" s="29"/>
      <c r="D633" s="29"/>
      <c r="E633" s="266"/>
      <c r="F633" s="29"/>
      <c r="G633" s="29"/>
      <c r="H633" s="2"/>
      <c r="I633" s="7"/>
      <c r="J633" s="7"/>
      <c r="K633" s="7"/>
      <c r="L633" s="2"/>
      <c r="M633" s="2"/>
    </row>
    <row r="634" spans="2:13" ht="15.75" customHeight="1" x14ac:dyDescent="0.2">
      <c r="B634" s="2"/>
      <c r="C634" s="29"/>
      <c r="D634" s="29"/>
      <c r="E634" s="266"/>
      <c r="F634" s="29"/>
      <c r="G634" s="29"/>
      <c r="H634" s="2"/>
      <c r="I634" s="7"/>
      <c r="J634" s="7"/>
      <c r="K634" s="7"/>
      <c r="L634" s="2"/>
      <c r="M634" s="2"/>
    </row>
    <row r="635" spans="2:13" ht="15.75" customHeight="1" x14ac:dyDescent="0.2">
      <c r="B635" s="2"/>
      <c r="C635" s="29"/>
      <c r="D635" s="29"/>
      <c r="E635" s="266"/>
      <c r="F635" s="29"/>
      <c r="G635" s="29"/>
      <c r="H635" s="2"/>
      <c r="I635" s="7"/>
      <c r="J635" s="7"/>
      <c r="K635" s="7"/>
      <c r="L635" s="2"/>
      <c r="M635" s="2"/>
    </row>
    <row r="636" spans="2:13" ht="15.75" customHeight="1" x14ac:dyDescent="0.2">
      <c r="B636" s="2"/>
      <c r="C636" s="29"/>
      <c r="D636" s="29"/>
      <c r="E636" s="266"/>
      <c r="F636" s="29"/>
      <c r="G636" s="29"/>
      <c r="H636" s="2"/>
      <c r="I636" s="7"/>
      <c r="J636" s="7"/>
      <c r="K636" s="7"/>
      <c r="L636" s="2"/>
      <c r="M636" s="2"/>
    </row>
    <row r="637" spans="2:13" ht="15.75" customHeight="1" x14ac:dyDescent="0.2">
      <c r="B637" s="2"/>
      <c r="C637" s="29"/>
      <c r="D637" s="29"/>
      <c r="E637" s="266"/>
      <c r="F637" s="29"/>
      <c r="G637" s="29"/>
      <c r="H637" s="2"/>
      <c r="I637" s="7"/>
      <c r="J637" s="7"/>
      <c r="K637" s="7"/>
      <c r="L637" s="2"/>
      <c r="M637" s="2"/>
    </row>
    <row r="638" spans="2:13" ht="15.75" customHeight="1" x14ac:dyDescent="0.2">
      <c r="B638" s="2"/>
      <c r="C638" s="29"/>
      <c r="D638" s="29"/>
      <c r="E638" s="266"/>
      <c r="F638" s="29"/>
      <c r="G638" s="29"/>
      <c r="H638" s="2"/>
      <c r="I638" s="7"/>
      <c r="J638" s="7"/>
      <c r="K638" s="7"/>
      <c r="L638" s="2"/>
      <c r="M638" s="2"/>
    </row>
    <row r="639" spans="2:13" ht="15.75" customHeight="1" x14ac:dyDescent="0.2">
      <c r="B639" s="2"/>
      <c r="C639" s="29"/>
      <c r="D639" s="29"/>
      <c r="E639" s="266"/>
      <c r="F639" s="29"/>
      <c r="G639" s="29"/>
      <c r="H639" s="2"/>
      <c r="I639" s="7"/>
      <c r="J639" s="7"/>
      <c r="K639" s="7"/>
      <c r="L639" s="2"/>
      <c r="M639" s="2"/>
    </row>
    <row r="640" spans="2:13" ht="15.75" customHeight="1" x14ac:dyDescent="0.2">
      <c r="B640" s="2"/>
      <c r="C640" s="29"/>
      <c r="D640" s="29"/>
      <c r="E640" s="266"/>
      <c r="F640" s="29"/>
      <c r="G640" s="29"/>
      <c r="H640" s="2"/>
      <c r="I640" s="7"/>
      <c r="J640" s="7"/>
      <c r="K640" s="7"/>
      <c r="L640" s="2"/>
      <c r="M640" s="2"/>
    </row>
    <row r="641" spans="2:13" ht="15.75" customHeight="1" x14ac:dyDescent="0.2">
      <c r="B641" s="2"/>
      <c r="C641" s="29"/>
      <c r="D641" s="29"/>
      <c r="E641" s="266"/>
      <c r="F641" s="29"/>
      <c r="G641" s="29"/>
      <c r="H641" s="2"/>
      <c r="I641" s="7"/>
      <c r="J641" s="7"/>
      <c r="K641" s="7"/>
      <c r="L641" s="2"/>
      <c r="M641" s="2"/>
    </row>
    <row r="642" spans="2:13" ht="15.75" customHeight="1" x14ac:dyDescent="0.2">
      <c r="B642" s="2"/>
      <c r="C642" s="29"/>
      <c r="D642" s="29"/>
      <c r="E642" s="266"/>
      <c r="F642" s="29"/>
      <c r="G642" s="29"/>
      <c r="H642" s="2"/>
      <c r="I642" s="7"/>
      <c r="J642" s="7"/>
      <c r="K642" s="7"/>
      <c r="L642" s="2"/>
      <c r="M642" s="2"/>
    </row>
    <row r="643" spans="2:13" ht="15.75" customHeight="1" x14ac:dyDescent="0.2">
      <c r="B643" s="2"/>
      <c r="C643" s="29"/>
      <c r="D643" s="29"/>
      <c r="E643" s="266"/>
      <c r="F643" s="29"/>
      <c r="G643" s="29"/>
      <c r="H643" s="2"/>
      <c r="I643" s="7"/>
      <c r="J643" s="7"/>
      <c r="K643" s="7"/>
      <c r="L643" s="2"/>
      <c r="M643" s="2"/>
    </row>
    <row r="644" spans="2:13" ht="15.75" customHeight="1" x14ac:dyDescent="0.2">
      <c r="B644" s="2"/>
      <c r="C644" s="29"/>
      <c r="D644" s="29"/>
      <c r="E644" s="266"/>
      <c r="F644" s="29"/>
      <c r="G644" s="29"/>
      <c r="H644" s="2"/>
      <c r="I644" s="7"/>
      <c r="J644" s="7"/>
      <c r="K644" s="7"/>
      <c r="L644" s="2"/>
      <c r="M644" s="2"/>
    </row>
    <row r="645" spans="2:13" ht="15.75" customHeight="1" x14ac:dyDescent="0.2">
      <c r="B645" s="2"/>
      <c r="C645" s="29"/>
      <c r="D645" s="29"/>
      <c r="E645" s="266"/>
      <c r="F645" s="29"/>
      <c r="G645" s="29"/>
      <c r="H645" s="2"/>
      <c r="I645" s="7"/>
      <c r="J645" s="7"/>
      <c r="K645" s="7"/>
      <c r="L645" s="2"/>
      <c r="M645" s="2"/>
    </row>
    <row r="646" spans="2:13" ht="15.75" customHeight="1" x14ac:dyDescent="0.2">
      <c r="B646" s="2"/>
      <c r="C646" s="29"/>
      <c r="D646" s="29"/>
      <c r="E646" s="266"/>
      <c r="F646" s="29"/>
      <c r="G646" s="29"/>
      <c r="H646" s="2"/>
      <c r="I646" s="7"/>
      <c r="J646" s="7"/>
      <c r="K646" s="7"/>
      <c r="L646" s="2"/>
      <c r="M646" s="2"/>
    </row>
    <row r="647" spans="2:13" ht="15.75" customHeight="1" x14ac:dyDescent="0.2">
      <c r="B647" s="2"/>
      <c r="C647" s="29"/>
      <c r="D647" s="29"/>
      <c r="E647" s="266"/>
      <c r="F647" s="29"/>
      <c r="G647" s="29"/>
      <c r="H647" s="2"/>
      <c r="I647" s="7"/>
      <c r="J647" s="7"/>
      <c r="K647" s="7"/>
      <c r="L647" s="2"/>
      <c r="M647" s="2"/>
    </row>
    <row r="648" spans="2:13" ht="15.75" customHeight="1" x14ac:dyDescent="0.2">
      <c r="B648" s="2"/>
      <c r="C648" s="29"/>
      <c r="D648" s="29"/>
      <c r="E648" s="266"/>
      <c r="F648" s="29"/>
      <c r="G648" s="29"/>
      <c r="H648" s="2"/>
      <c r="I648" s="7"/>
      <c r="J648" s="7"/>
      <c r="K648" s="7"/>
      <c r="L648" s="2"/>
      <c r="M648" s="2"/>
    </row>
    <row r="649" spans="2:13" ht="15.75" customHeight="1" x14ac:dyDescent="0.2">
      <c r="B649" s="2"/>
      <c r="C649" s="29"/>
      <c r="D649" s="29"/>
      <c r="E649" s="266"/>
      <c r="F649" s="29"/>
      <c r="G649" s="29"/>
      <c r="H649" s="2"/>
      <c r="I649" s="7"/>
      <c r="J649" s="7"/>
      <c r="K649" s="7"/>
      <c r="L649" s="2"/>
      <c r="M649" s="2"/>
    </row>
    <row r="650" spans="2:13" ht="15.75" customHeight="1" x14ac:dyDescent="0.2">
      <c r="B650" s="2"/>
      <c r="C650" s="29"/>
      <c r="D650" s="29"/>
      <c r="E650" s="266"/>
      <c r="F650" s="29"/>
      <c r="G650" s="29"/>
      <c r="H650" s="2"/>
      <c r="I650" s="7"/>
      <c r="J650" s="7"/>
      <c r="K650" s="7"/>
      <c r="L650" s="2"/>
      <c r="M650" s="2"/>
    </row>
    <row r="651" spans="2:13" ht="15.75" customHeight="1" x14ac:dyDescent="0.2">
      <c r="B651" s="2"/>
      <c r="C651" s="29"/>
      <c r="D651" s="29"/>
      <c r="E651" s="266"/>
      <c r="F651" s="29"/>
      <c r="G651" s="29"/>
      <c r="H651" s="2"/>
      <c r="I651" s="7"/>
      <c r="J651" s="7"/>
      <c r="K651" s="7"/>
      <c r="L651" s="2"/>
      <c r="M651" s="2"/>
    </row>
    <row r="652" spans="2:13" ht="15.75" customHeight="1" x14ac:dyDescent="0.2">
      <c r="B652" s="2"/>
      <c r="C652" s="29"/>
      <c r="D652" s="29"/>
      <c r="E652" s="266"/>
      <c r="F652" s="29"/>
      <c r="G652" s="29"/>
      <c r="H652" s="2"/>
      <c r="I652" s="7"/>
      <c r="J652" s="7"/>
      <c r="K652" s="7"/>
      <c r="L652" s="2"/>
      <c r="M652" s="2"/>
    </row>
    <row r="653" spans="2:13" ht="15.75" customHeight="1" x14ac:dyDescent="0.2">
      <c r="B653" s="2"/>
      <c r="C653" s="29"/>
      <c r="D653" s="29"/>
      <c r="E653" s="266"/>
      <c r="F653" s="29"/>
      <c r="G653" s="29"/>
      <c r="H653" s="2"/>
      <c r="I653" s="7"/>
      <c r="J653" s="7"/>
      <c r="K653" s="7"/>
      <c r="L653" s="2"/>
      <c r="M653" s="2"/>
    </row>
    <row r="654" spans="2:13" ht="15.75" customHeight="1" x14ac:dyDescent="0.2">
      <c r="B654" s="2"/>
      <c r="C654" s="29"/>
      <c r="D654" s="29"/>
      <c r="E654" s="266"/>
      <c r="F654" s="29"/>
      <c r="G654" s="29"/>
      <c r="H654" s="2"/>
      <c r="I654" s="7"/>
      <c r="J654" s="7"/>
      <c r="K654" s="7"/>
      <c r="L654" s="2"/>
      <c r="M654" s="2"/>
    </row>
    <row r="655" spans="2:13" ht="15.75" customHeight="1" x14ac:dyDescent="0.2">
      <c r="B655" s="2"/>
      <c r="C655" s="29"/>
      <c r="D655" s="29"/>
      <c r="E655" s="266"/>
      <c r="F655" s="29"/>
      <c r="G655" s="29"/>
      <c r="H655" s="2"/>
      <c r="I655" s="7"/>
      <c r="J655" s="7"/>
      <c r="K655" s="7"/>
      <c r="L655" s="2"/>
      <c r="M655" s="2"/>
    </row>
    <row r="656" spans="2:13" ht="15.75" customHeight="1" x14ac:dyDescent="0.2">
      <c r="B656" s="2"/>
      <c r="C656" s="29"/>
      <c r="D656" s="29"/>
      <c r="E656" s="266"/>
      <c r="F656" s="29"/>
      <c r="G656" s="29"/>
      <c r="H656" s="2"/>
      <c r="I656" s="7"/>
      <c r="J656" s="7"/>
      <c r="K656" s="7"/>
      <c r="L656" s="2"/>
      <c r="M656" s="2"/>
    </row>
    <row r="657" spans="2:13" ht="15.75" customHeight="1" x14ac:dyDescent="0.2">
      <c r="B657" s="2"/>
      <c r="C657" s="29"/>
      <c r="D657" s="29"/>
      <c r="E657" s="266"/>
      <c r="F657" s="29"/>
      <c r="G657" s="29"/>
      <c r="H657" s="2"/>
      <c r="I657" s="7"/>
      <c r="J657" s="7"/>
      <c r="K657" s="7"/>
      <c r="L657" s="2"/>
      <c r="M657" s="2"/>
    </row>
    <row r="658" spans="2:13" ht="15.75" customHeight="1" x14ac:dyDescent="0.2">
      <c r="B658" s="2"/>
      <c r="C658" s="29"/>
      <c r="D658" s="29"/>
      <c r="E658" s="266"/>
      <c r="F658" s="29"/>
      <c r="G658" s="29"/>
      <c r="H658" s="2"/>
      <c r="I658" s="7"/>
      <c r="J658" s="7"/>
      <c r="K658" s="7"/>
      <c r="L658" s="2"/>
      <c r="M658" s="2"/>
    </row>
    <row r="659" spans="2:13" ht="15.75" customHeight="1" x14ac:dyDescent="0.2">
      <c r="B659" s="2"/>
      <c r="C659" s="29"/>
      <c r="D659" s="29"/>
      <c r="E659" s="266"/>
      <c r="F659" s="29"/>
      <c r="G659" s="29"/>
      <c r="H659" s="2"/>
      <c r="I659" s="7"/>
      <c r="J659" s="7"/>
      <c r="K659" s="7"/>
      <c r="L659" s="2"/>
      <c r="M659" s="2"/>
    </row>
    <row r="660" spans="2:13" ht="15.75" customHeight="1" x14ac:dyDescent="0.2">
      <c r="B660" s="2"/>
      <c r="C660" s="29"/>
      <c r="D660" s="29"/>
      <c r="E660" s="266"/>
      <c r="F660" s="29"/>
      <c r="G660" s="29"/>
      <c r="H660" s="2"/>
      <c r="I660" s="7"/>
      <c r="J660" s="7"/>
      <c r="K660" s="7"/>
      <c r="L660" s="2"/>
      <c r="M660" s="2"/>
    </row>
    <row r="661" spans="2:13" ht="15.75" customHeight="1" x14ac:dyDescent="0.2">
      <c r="B661" s="2"/>
      <c r="C661" s="29"/>
      <c r="D661" s="29"/>
      <c r="E661" s="266"/>
      <c r="F661" s="29"/>
      <c r="G661" s="29"/>
      <c r="H661" s="2"/>
      <c r="I661" s="7"/>
      <c r="J661" s="7"/>
      <c r="K661" s="7"/>
      <c r="L661" s="2"/>
      <c r="M661" s="2"/>
    </row>
    <row r="662" spans="2:13" ht="15.75" customHeight="1" x14ac:dyDescent="0.2">
      <c r="B662" s="2"/>
      <c r="C662" s="29"/>
      <c r="D662" s="29"/>
      <c r="E662" s="266"/>
      <c r="F662" s="29"/>
      <c r="G662" s="29"/>
      <c r="H662" s="2"/>
      <c r="I662" s="7"/>
      <c r="J662" s="7"/>
      <c r="K662" s="7"/>
      <c r="L662" s="2"/>
      <c r="M662" s="2"/>
    </row>
    <row r="663" spans="2:13" ht="15.75" customHeight="1" x14ac:dyDescent="0.2">
      <c r="B663" s="2"/>
      <c r="C663" s="29"/>
      <c r="D663" s="29"/>
      <c r="E663" s="266"/>
      <c r="F663" s="29"/>
      <c r="G663" s="29"/>
      <c r="H663" s="2"/>
      <c r="I663" s="7"/>
      <c r="J663" s="7"/>
      <c r="K663" s="7"/>
      <c r="L663" s="2"/>
      <c r="M663" s="2"/>
    </row>
    <row r="664" spans="2:13" ht="15.75" customHeight="1" x14ac:dyDescent="0.2">
      <c r="B664" s="2"/>
      <c r="C664" s="29"/>
      <c r="D664" s="29"/>
      <c r="E664" s="266"/>
      <c r="F664" s="29"/>
      <c r="G664" s="29"/>
      <c r="H664" s="2"/>
      <c r="I664" s="7"/>
      <c r="J664" s="7"/>
      <c r="K664" s="7"/>
      <c r="L664" s="2"/>
      <c r="M664" s="2"/>
    </row>
    <row r="665" spans="2:13" ht="15.75" customHeight="1" x14ac:dyDescent="0.2">
      <c r="B665" s="2"/>
      <c r="C665" s="29"/>
      <c r="D665" s="29"/>
      <c r="E665" s="266"/>
      <c r="F665" s="29"/>
      <c r="G665" s="29"/>
      <c r="H665" s="2"/>
      <c r="I665" s="7"/>
      <c r="J665" s="7"/>
      <c r="K665" s="7"/>
      <c r="L665" s="2"/>
      <c r="M665" s="2"/>
    </row>
    <row r="666" spans="2:13" ht="15.75" customHeight="1" x14ac:dyDescent="0.2">
      <c r="B666" s="2"/>
      <c r="C666" s="29"/>
      <c r="D666" s="29"/>
      <c r="E666" s="266"/>
      <c r="F666" s="29"/>
      <c r="G666" s="29"/>
      <c r="H666" s="2"/>
      <c r="I666" s="7"/>
      <c r="J666" s="7"/>
      <c r="K666" s="7"/>
      <c r="L666" s="2"/>
      <c r="M666" s="2"/>
    </row>
    <row r="667" spans="2:13" ht="15.75" customHeight="1" x14ac:dyDescent="0.2">
      <c r="B667" s="2"/>
      <c r="C667" s="29"/>
      <c r="D667" s="29"/>
      <c r="E667" s="266"/>
      <c r="F667" s="29"/>
      <c r="G667" s="29"/>
      <c r="H667" s="2"/>
      <c r="I667" s="7"/>
      <c r="J667" s="7"/>
      <c r="K667" s="7"/>
      <c r="L667" s="2"/>
      <c r="M667" s="2"/>
    </row>
    <row r="668" spans="2:13" ht="15.75" customHeight="1" x14ac:dyDescent="0.2">
      <c r="B668" s="2"/>
      <c r="C668" s="29"/>
      <c r="D668" s="29"/>
      <c r="E668" s="266"/>
      <c r="F668" s="29"/>
      <c r="G668" s="29"/>
      <c r="H668" s="2"/>
      <c r="I668" s="7"/>
      <c r="J668" s="7"/>
      <c r="K668" s="7"/>
      <c r="L668" s="2"/>
      <c r="M668" s="2"/>
    </row>
    <row r="669" spans="2:13" ht="15.75" customHeight="1" x14ac:dyDescent="0.2">
      <c r="B669" s="2"/>
      <c r="C669" s="29"/>
      <c r="D669" s="29"/>
      <c r="E669" s="266"/>
      <c r="F669" s="29"/>
      <c r="G669" s="29"/>
      <c r="H669" s="2"/>
      <c r="I669" s="7"/>
      <c r="J669" s="7"/>
      <c r="K669" s="7"/>
      <c r="L669" s="2"/>
      <c r="M669" s="2"/>
    </row>
    <row r="670" spans="2:13" ht="15.75" customHeight="1" x14ac:dyDescent="0.2">
      <c r="B670" s="2"/>
      <c r="C670" s="29"/>
      <c r="D670" s="29"/>
      <c r="E670" s="266"/>
      <c r="F670" s="29"/>
      <c r="G670" s="29"/>
      <c r="H670" s="2"/>
      <c r="I670" s="7"/>
      <c r="J670" s="7"/>
      <c r="K670" s="7"/>
      <c r="L670" s="2"/>
      <c r="M670" s="2"/>
    </row>
    <row r="671" spans="2:13" ht="15.75" customHeight="1" x14ac:dyDescent="0.2">
      <c r="B671" s="2"/>
      <c r="C671" s="29"/>
      <c r="D671" s="29"/>
      <c r="E671" s="266"/>
      <c r="F671" s="29"/>
      <c r="G671" s="29"/>
      <c r="H671" s="2"/>
      <c r="I671" s="7"/>
      <c r="J671" s="7"/>
      <c r="K671" s="7"/>
      <c r="L671" s="2"/>
      <c r="M671" s="2"/>
    </row>
    <row r="672" spans="2:13" ht="15.75" customHeight="1" x14ac:dyDescent="0.2">
      <c r="B672" s="2"/>
      <c r="C672" s="29"/>
      <c r="D672" s="29"/>
      <c r="E672" s="266"/>
      <c r="F672" s="29"/>
      <c r="G672" s="29"/>
      <c r="H672" s="2"/>
      <c r="I672" s="7"/>
      <c r="J672" s="7"/>
      <c r="K672" s="7"/>
      <c r="L672" s="2"/>
      <c r="M672" s="2"/>
    </row>
    <row r="673" spans="2:13" ht="15.75" customHeight="1" x14ac:dyDescent="0.2">
      <c r="B673" s="2"/>
      <c r="C673" s="29"/>
      <c r="D673" s="29"/>
      <c r="E673" s="266"/>
      <c r="F673" s="29"/>
      <c r="G673" s="29"/>
      <c r="H673" s="2"/>
      <c r="I673" s="7"/>
      <c r="J673" s="7"/>
      <c r="K673" s="7"/>
      <c r="L673" s="2"/>
      <c r="M673" s="2"/>
    </row>
    <row r="674" spans="2:13" ht="15.75" customHeight="1" x14ac:dyDescent="0.2">
      <c r="B674" s="2"/>
      <c r="C674" s="29"/>
      <c r="D674" s="29"/>
      <c r="E674" s="266"/>
      <c r="F674" s="29"/>
      <c r="G674" s="29"/>
      <c r="H674" s="2"/>
      <c r="I674" s="7"/>
      <c r="J674" s="7"/>
      <c r="K674" s="7"/>
      <c r="L674" s="2"/>
      <c r="M674" s="2"/>
    </row>
    <row r="675" spans="2:13" ht="15.75" customHeight="1" x14ac:dyDescent="0.2">
      <c r="B675" s="2"/>
      <c r="C675" s="29"/>
      <c r="D675" s="29"/>
      <c r="E675" s="266"/>
      <c r="F675" s="29"/>
      <c r="G675" s="29"/>
      <c r="H675" s="2"/>
      <c r="I675" s="7"/>
      <c r="J675" s="7"/>
      <c r="K675" s="7"/>
      <c r="L675" s="2"/>
      <c r="M675" s="2"/>
    </row>
    <row r="676" spans="2:13" ht="15.75" customHeight="1" x14ac:dyDescent="0.2">
      <c r="B676" s="2"/>
      <c r="C676" s="29"/>
      <c r="D676" s="29"/>
      <c r="E676" s="266"/>
      <c r="F676" s="29"/>
      <c r="G676" s="29"/>
      <c r="H676" s="2"/>
      <c r="I676" s="7"/>
      <c r="J676" s="7"/>
      <c r="K676" s="7"/>
      <c r="L676" s="2"/>
      <c r="M676" s="2"/>
    </row>
    <row r="677" spans="2:13" ht="15.75" customHeight="1" x14ac:dyDescent="0.2">
      <c r="B677" s="2"/>
      <c r="C677" s="29"/>
      <c r="D677" s="29"/>
      <c r="E677" s="266"/>
      <c r="F677" s="29"/>
      <c r="G677" s="29"/>
      <c r="H677" s="2"/>
      <c r="I677" s="7"/>
      <c r="J677" s="7"/>
      <c r="K677" s="7"/>
      <c r="L677" s="2"/>
      <c r="M677" s="2"/>
    </row>
    <row r="678" spans="2:13" ht="15.75" customHeight="1" x14ac:dyDescent="0.2">
      <c r="B678" s="2"/>
      <c r="C678" s="29"/>
      <c r="D678" s="29"/>
      <c r="E678" s="266"/>
      <c r="F678" s="29"/>
      <c r="G678" s="29"/>
      <c r="H678" s="2"/>
      <c r="I678" s="7"/>
      <c r="J678" s="7"/>
      <c r="K678" s="7"/>
      <c r="L678" s="2"/>
      <c r="M678" s="2"/>
    </row>
    <row r="679" spans="2:13" ht="15.75" customHeight="1" x14ac:dyDescent="0.2">
      <c r="B679" s="2"/>
      <c r="C679" s="29"/>
      <c r="D679" s="29"/>
      <c r="E679" s="266"/>
      <c r="F679" s="29"/>
      <c r="G679" s="29"/>
      <c r="H679" s="2"/>
      <c r="I679" s="7"/>
      <c r="J679" s="7"/>
      <c r="K679" s="7"/>
      <c r="L679" s="2"/>
      <c r="M679" s="2"/>
    </row>
    <row r="680" spans="2:13" ht="15.75" customHeight="1" x14ac:dyDescent="0.2">
      <c r="B680" s="2"/>
      <c r="C680" s="29"/>
      <c r="D680" s="29"/>
      <c r="E680" s="266"/>
      <c r="F680" s="29"/>
      <c r="G680" s="29"/>
      <c r="H680" s="2"/>
      <c r="I680" s="7"/>
      <c r="J680" s="7"/>
      <c r="K680" s="7"/>
      <c r="L680" s="2"/>
      <c r="M680" s="2"/>
    </row>
    <row r="681" spans="2:13" ht="15.75" customHeight="1" x14ac:dyDescent="0.2">
      <c r="B681" s="2"/>
      <c r="C681" s="29"/>
      <c r="D681" s="29"/>
      <c r="E681" s="266"/>
      <c r="F681" s="29"/>
      <c r="G681" s="29"/>
      <c r="H681" s="2"/>
      <c r="I681" s="7"/>
      <c r="J681" s="7"/>
      <c r="K681" s="7"/>
    </row>
    <row r="682" spans="2:13" ht="15.75" customHeight="1" x14ac:dyDescent="0.2">
      <c r="B682" s="2"/>
      <c r="C682" s="29"/>
      <c r="D682" s="29"/>
      <c r="E682" s="266"/>
      <c r="F682" s="29"/>
      <c r="G682" s="29"/>
      <c r="H682" s="2"/>
      <c r="I682" s="7"/>
      <c r="J682" s="7"/>
      <c r="K682" s="7"/>
    </row>
    <row r="683" spans="2:13" ht="15.75" customHeight="1" x14ac:dyDescent="0.2">
      <c r="B683" s="2"/>
      <c r="C683" s="29"/>
      <c r="D683" s="29"/>
      <c r="E683" s="266"/>
      <c r="F683" s="29"/>
      <c r="G683" s="29"/>
      <c r="H683" s="2"/>
      <c r="I683" s="7"/>
      <c r="J683" s="7"/>
      <c r="K683" s="7"/>
    </row>
    <row r="684" spans="2:13" ht="15.75" customHeight="1" x14ac:dyDescent="0.2">
      <c r="B684" s="2"/>
      <c r="C684" s="29"/>
      <c r="D684" s="29"/>
      <c r="E684" s="266"/>
      <c r="F684" s="29"/>
      <c r="G684" s="29"/>
      <c r="H684" s="2"/>
      <c r="I684" s="7"/>
      <c r="J684" s="7"/>
      <c r="K684" s="7"/>
    </row>
    <row r="685" spans="2:13" ht="15.75" customHeight="1" x14ac:dyDescent="0.2">
      <c r="B685" s="2"/>
      <c r="C685" s="29"/>
      <c r="D685" s="29"/>
      <c r="E685" s="266"/>
      <c r="F685" s="29"/>
      <c r="G685" s="29"/>
      <c r="H685" s="2"/>
      <c r="I685" s="7"/>
      <c r="J685" s="7"/>
      <c r="K685" s="7"/>
    </row>
    <row r="686" spans="2:13" ht="15.75" customHeight="1" x14ac:dyDescent="0.2">
      <c r="B686" s="2"/>
      <c r="C686" s="29"/>
      <c r="D686" s="29"/>
      <c r="E686" s="266"/>
      <c r="F686" s="29"/>
      <c r="G686" s="29"/>
      <c r="H686" s="2"/>
      <c r="I686" s="7"/>
      <c r="J686" s="7"/>
      <c r="K686" s="7"/>
    </row>
    <row r="687" spans="2:13" ht="15.75" customHeight="1" x14ac:dyDescent="0.2">
      <c r="B687" s="2"/>
      <c r="C687" s="29"/>
      <c r="D687" s="29"/>
      <c r="E687" s="266"/>
      <c r="F687" s="29"/>
      <c r="G687" s="29"/>
      <c r="H687" s="2"/>
      <c r="I687" s="7"/>
      <c r="J687" s="7"/>
      <c r="K687" s="7"/>
    </row>
    <row r="688" spans="2:13" ht="15.75" customHeight="1" x14ac:dyDescent="0.2">
      <c r="B688" s="2"/>
      <c r="C688" s="29"/>
      <c r="D688" s="29"/>
      <c r="E688" s="266"/>
      <c r="F688" s="29"/>
      <c r="G688" s="29"/>
      <c r="H688" s="2"/>
      <c r="I688" s="7"/>
      <c r="J688" s="7"/>
      <c r="K688" s="7"/>
    </row>
    <row r="689" spans="2:13" ht="15.75" customHeight="1" x14ac:dyDescent="0.2">
      <c r="B689" s="2"/>
      <c r="C689" s="29"/>
      <c r="D689" s="29"/>
      <c r="E689" s="266"/>
      <c r="F689" s="29"/>
      <c r="G689" s="29"/>
      <c r="H689" s="2"/>
      <c r="I689" s="7"/>
      <c r="J689" s="7"/>
      <c r="K689" s="7"/>
    </row>
    <row r="690" spans="2:13" ht="15.75" customHeight="1" x14ac:dyDescent="0.2">
      <c r="B690" s="2"/>
      <c r="C690" s="29"/>
      <c r="D690" s="29"/>
      <c r="E690" s="266"/>
      <c r="F690" s="29"/>
      <c r="G690" s="29"/>
      <c r="H690" s="2"/>
      <c r="I690" s="7"/>
      <c r="J690" s="7"/>
      <c r="K690" s="7"/>
    </row>
    <row r="691" spans="2:13" ht="15.75" customHeight="1" x14ac:dyDescent="0.2">
      <c r="B691" s="2"/>
      <c r="C691" s="29"/>
      <c r="D691" s="29"/>
      <c r="E691" s="266"/>
      <c r="F691" s="29"/>
      <c r="G691" s="29"/>
      <c r="H691" s="2"/>
      <c r="I691" s="7"/>
      <c r="J691" s="7"/>
      <c r="K691" s="7"/>
    </row>
    <row r="692" spans="2:13" ht="15.75" customHeight="1" x14ac:dyDescent="0.2">
      <c r="B692" s="2"/>
      <c r="C692" s="29"/>
      <c r="D692" s="29"/>
      <c r="E692" s="266"/>
      <c r="F692" s="29"/>
      <c r="G692" s="29"/>
      <c r="H692" s="2"/>
      <c r="I692" s="7"/>
      <c r="J692" s="7"/>
      <c r="K692" s="7"/>
    </row>
    <row r="693" spans="2:13" ht="15.75" customHeight="1" x14ac:dyDescent="0.2"/>
    <row r="694" spans="2:13" ht="15.75" customHeight="1" x14ac:dyDescent="0.2"/>
    <row r="695" spans="2:13" ht="15.75" customHeight="1" x14ac:dyDescent="0.2"/>
    <row r="696" spans="2:13" ht="15.75" customHeight="1" x14ac:dyDescent="0.2"/>
    <row r="697" spans="2:13" ht="15.75" customHeight="1" x14ac:dyDescent="0.2"/>
    <row r="698" spans="2:13" ht="15.75" customHeight="1" x14ac:dyDescent="0.2"/>
    <row r="699" spans="2:13" ht="15.75" customHeight="1" x14ac:dyDescent="0.2"/>
    <row r="700" spans="2:13" ht="15.75" customHeight="1" x14ac:dyDescent="0.2"/>
    <row r="701" spans="2:13" ht="15.75" customHeight="1" x14ac:dyDescent="0.2"/>
    <row r="702" spans="2:13" ht="15.75" customHeight="1" x14ac:dyDescent="0.2"/>
    <row r="703" spans="2:13" s="2" customFormat="1" ht="15.75" customHeight="1" x14ac:dyDescent="0.2">
      <c r="B703"/>
      <c r="C703" s="37"/>
      <c r="D703" s="37"/>
      <c r="E703" s="170"/>
      <c r="F703" s="37"/>
      <c r="G703" s="37"/>
      <c r="H703"/>
      <c r="I703" s="76"/>
      <c r="J703" s="76"/>
      <c r="K703" s="76"/>
      <c r="L703"/>
      <c r="M703"/>
    </row>
    <row r="704" spans="2:13" s="2" customFormat="1" ht="15.75" customHeight="1" x14ac:dyDescent="0.2">
      <c r="B704"/>
      <c r="C704" s="37"/>
      <c r="D704" s="37"/>
      <c r="E704" s="170"/>
      <c r="F704" s="37"/>
      <c r="G704" s="37"/>
      <c r="H704"/>
      <c r="I704" s="76"/>
      <c r="J704" s="76"/>
      <c r="K704" s="76"/>
      <c r="L704"/>
      <c r="M704"/>
    </row>
    <row r="705" spans="2:13" s="2" customFormat="1" ht="15.75" customHeight="1" x14ac:dyDescent="0.2">
      <c r="B705"/>
      <c r="C705" s="37"/>
      <c r="D705" s="37"/>
      <c r="E705" s="170"/>
      <c r="F705" s="37"/>
      <c r="G705" s="37"/>
      <c r="H705"/>
      <c r="I705" s="76"/>
      <c r="J705" s="76"/>
      <c r="K705" s="76"/>
      <c r="L705"/>
      <c r="M705"/>
    </row>
    <row r="706" spans="2:13" s="2" customFormat="1" ht="15.75" customHeight="1" x14ac:dyDescent="0.2">
      <c r="B706"/>
      <c r="C706" s="37"/>
      <c r="D706" s="37"/>
      <c r="E706" s="170"/>
      <c r="F706" s="37"/>
      <c r="G706" s="37"/>
      <c r="H706"/>
      <c r="I706" s="76"/>
      <c r="J706" s="76"/>
      <c r="K706" s="76"/>
      <c r="L706"/>
      <c r="M706"/>
    </row>
    <row r="707" spans="2:13" s="2" customFormat="1" ht="15.75" customHeight="1" x14ac:dyDescent="0.2">
      <c r="B707"/>
      <c r="C707" s="37"/>
      <c r="D707" s="37"/>
      <c r="E707" s="170"/>
      <c r="F707" s="37"/>
      <c r="G707" s="37"/>
      <c r="H707"/>
      <c r="I707" s="76"/>
      <c r="J707" s="76"/>
      <c r="K707" s="76"/>
      <c r="L707"/>
      <c r="M707"/>
    </row>
    <row r="708" spans="2:13" s="2" customFormat="1" ht="15.75" customHeight="1" x14ac:dyDescent="0.2">
      <c r="B708"/>
      <c r="C708" s="37"/>
      <c r="D708" s="37"/>
      <c r="E708" s="170"/>
      <c r="F708" s="37"/>
      <c r="G708" s="37"/>
      <c r="H708"/>
      <c r="I708" s="76"/>
      <c r="J708" s="76"/>
      <c r="K708" s="76"/>
      <c r="L708"/>
      <c r="M708"/>
    </row>
    <row r="709" spans="2:13" s="2" customFormat="1" ht="15.75" customHeight="1" x14ac:dyDescent="0.2">
      <c r="B709"/>
      <c r="C709" s="37"/>
      <c r="D709" s="37"/>
      <c r="E709" s="170"/>
      <c r="F709" s="37"/>
      <c r="G709" s="37"/>
      <c r="H709"/>
      <c r="I709" s="76"/>
      <c r="J709" s="76"/>
      <c r="K709" s="76"/>
      <c r="L709"/>
      <c r="M709"/>
    </row>
    <row r="710" spans="2:13" s="2" customFormat="1" ht="15.75" customHeight="1" x14ac:dyDescent="0.2">
      <c r="B710"/>
      <c r="C710" s="37"/>
      <c r="D710" s="37"/>
      <c r="E710" s="170"/>
      <c r="F710" s="37"/>
      <c r="G710" s="37"/>
      <c r="H710"/>
      <c r="I710" s="76"/>
      <c r="J710" s="76"/>
      <c r="K710" s="76"/>
      <c r="L710"/>
      <c r="M710"/>
    </row>
    <row r="711" spans="2:13" s="2" customFormat="1" ht="15.75" customHeight="1" x14ac:dyDescent="0.2">
      <c r="B711"/>
      <c r="C711" s="37"/>
      <c r="D711" s="37"/>
      <c r="E711" s="170"/>
      <c r="F711" s="37"/>
      <c r="G711" s="37"/>
      <c r="H711"/>
      <c r="I711" s="76"/>
      <c r="J711" s="76"/>
      <c r="K711" s="76"/>
      <c r="L711"/>
      <c r="M711"/>
    </row>
    <row r="712" spans="2:13" s="2" customFormat="1" ht="15.75" customHeight="1" x14ac:dyDescent="0.2">
      <c r="B712"/>
      <c r="C712" s="37"/>
      <c r="D712" s="37"/>
      <c r="E712" s="170"/>
      <c r="F712" s="37"/>
      <c r="G712" s="37"/>
      <c r="H712"/>
      <c r="I712" s="76"/>
      <c r="J712" s="76"/>
      <c r="K712" s="76"/>
      <c r="L712"/>
      <c r="M712"/>
    </row>
    <row r="713" spans="2:13" s="2" customFormat="1" ht="15.75" customHeight="1" x14ac:dyDescent="0.2">
      <c r="B713"/>
      <c r="C713" s="37"/>
      <c r="D713" s="37"/>
      <c r="E713" s="170"/>
      <c r="F713" s="37"/>
      <c r="G713" s="37"/>
      <c r="H713"/>
      <c r="I713" s="76"/>
      <c r="J713" s="76"/>
      <c r="K713" s="76"/>
      <c r="L713"/>
      <c r="M713"/>
    </row>
    <row r="714" spans="2:13" s="2" customFormat="1" ht="15.75" customHeight="1" x14ac:dyDescent="0.2">
      <c r="B714"/>
      <c r="C714" s="37"/>
      <c r="D714" s="37"/>
      <c r="E714" s="170"/>
      <c r="F714" s="37"/>
      <c r="G714" s="37"/>
      <c r="H714"/>
      <c r="I714" s="76"/>
      <c r="J714" s="76"/>
      <c r="K714" s="76"/>
      <c r="L714"/>
      <c r="M714"/>
    </row>
    <row r="715" spans="2:13" s="2" customFormat="1" ht="15.75" customHeight="1" x14ac:dyDescent="0.2">
      <c r="B715"/>
      <c r="C715" s="37"/>
      <c r="D715" s="37"/>
      <c r="E715" s="170"/>
      <c r="F715" s="37"/>
      <c r="G715" s="37"/>
      <c r="H715"/>
      <c r="I715" s="76"/>
      <c r="J715" s="76"/>
      <c r="K715" s="76"/>
      <c r="L715"/>
      <c r="M715"/>
    </row>
    <row r="716" spans="2:13" s="2" customFormat="1" ht="15.75" customHeight="1" x14ac:dyDescent="0.2">
      <c r="B716"/>
      <c r="C716" s="37"/>
      <c r="D716" s="37"/>
      <c r="E716" s="170"/>
      <c r="F716" s="37"/>
      <c r="G716" s="37"/>
      <c r="H716"/>
      <c r="I716" s="76"/>
      <c r="J716" s="76"/>
      <c r="K716" s="76"/>
      <c r="L716"/>
      <c r="M716"/>
    </row>
    <row r="717" spans="2:13" s="2" customFormat="1" ht="15.75" customHeight="1" x14ac:dyDescent="0.2">
      <c r="B717"/>
      <c r="C717" s="37"/>
      <c r="D717" s="37"/>
      <c r="E717" s="170"/>
      <c r="F717" s="37"/>
      <c r="G717" s="37"/>
      <c r="H717"/>
      <c r="I717" s="76"/>
      <c r="J717" s="76"/>
      <c r="K717" s="76"/>
      <c r="L717"/>
      <c r="M717"/>
    </row>
    <row r="718" spans="2:13" s="2" customFormat="1" ht="15.75" customHeight="1" x14ac:dyDescent="0.2">
      <c r="B718"/>
      <c r="C718" s="37"/>
      <c r="D718" s="37"/>
      <c r="E718" s="170"/>
      <c r="F718" s="37"/>
      <c r="G718" s="37"/>
      <c r="H718"/>
      <c r="I718" s="76"/>
      <c r="J718" s="76"/>
      <c r="K718" s="76"/>
      <c r="L718"/>
      <c r="M718"/>
    </row>
    <row r="719" spans="2:13" s="2" customFormat="1" ht="15.75" customHeight="1" x14ac:dyDescent="0.2">
      <c r="B719"/>
      <c r="C719" s="37"/>
      <c r="D719" s="37"/>
      <c r="E719" s="170"/>
      <c r="F719" s="37"/>
      <c r="G719" s="37"/>
      <c r="H719"/>
      <c r="I719" s="76"/>
      <c r="J719" s="76"/>
      <c r="K719" s="76"/>
      <c r="L719"/>
      <c r="M719"/>
    </row>
    <row r="720" spans="2:13" s="2" customFormat="1" ht="15.75" customHeight="1" x14ac:dyDescent="0.2">
      <c r="B720"/>
      <c r="C720" s="37"/>
      <c r="D720" s="37"/>
      <c r="E720" s="170"/>
      <c r="F720" s="37"/>
      <c r="G720" s="37"/>
      <c r="H720"/>
      <c r="I720" s="76"/>
      <c r="J720" s="76"/>
      <c r="K720" s="76"/>
      <c r="L720"/>
      <c r="M720"/>
    </row>
    <row r="721" spans="2:13" s="2" customFormat="1" ht="15.75" customHeight="1" x14ac:dyDescent="0.2">
      <c r="B721"/>
      <c r="C721" s="37"/>
      <c r="D721" s="37"/>
      <c r="E721" s="170"/>
      <c r="F721" s="37"/>
      <c r="G721" s="37"/>
      <c r="H721"/>
      <c r="I721" s="76"/>
      <c r="J721" s="76"/>
      <c r="K721" s="76"/>
      <c r="L721"/>
      <c r="M721"/>
    </row>
    <row r="722" spans="2:13" s="2" customFormat="1" ht="15.75" customHeight="1" x14ac:dyDescent="0.2">
      <c r="B722"/>
      <c r="C722" s="37"/>
      <c r="D722" s="37"/>
      <c r="E722" s="170"/>
      <c r="F722" s="37"/>
      <c r="G722" s="37"/>
      <c r="H722"/>
      <c r="I722" s="76"/>
      <c r="J722" s="76"/>
      <c r="K722" s="76"/>
      <c r="L722"/>
      <c r="M722"/>
    </row>
    <row r="723" spans="2:13" s="2" customFormat="1" ht="15.75" customHeight="1" x14ac:dyDescent="0.2">
      <c r="B723"/>
      <c r="C723" s="37"/>
      <c r="D723" s="37"/>
      <c r="E723" s="170"/>
      <c r="F723" s="37"/>
      <c r="G723" s="37"/>
      <c r="H723"/>
      <c r="I723" s="76"/>
      <c r="J723" s="76"/>
      <c r="K723" s="76"/>
      <c r="L723"/>
      <c r="M723"/>
    </row>
    <row r="724" spans="2:13" s="2" customFormat="1" ht="15.75" customHeight="1" x14ac:dyDescent="0.2">
      <c r="B724"/>
      <c r="C724" s="37"/>
      <c r="D724" s="37"/>
      <c r="E724" s="170"/>
      <c r="F724" s="37"/>
      <c r="G724" s="37"/>
      <c r="H724"/>
      <c r="I724" s="76"/>
      <c r="J724" s="76"/>
      <c r="K724" s="76"/>
      <c r="L724"/>
      <c r="M724"/>
    </row>
    <row r="725" spans="2:13" s="2" customFormat="1" ht="15.75" customHeight="1" x14ac:dyDescent="0.2">
      <c r="B725"/>
      <c r="C725" s="37"/>
      <c r="D725" s="37"/>
      <c r="E725" s="170"/>
      <c r="F725" s="37"/>
      <c r="G725" s="37"/>
      <c r="H725"/>
      <c r="I725" s="76"/>
      <c r="J725" s="76"/>
      <c r="K725" s="76"/>
      <c r="L725"/>
      <c r="M725"/>
    </row>
    <row r="726" spans="2:13" s="2" customFormat="1" ht="15.75" customHeight="1" x14ac:dyDescent="0.2">
      <c r="B726"/>
      <c r="C726" s="37"/>
      <c r="D726" s="37"/>
      <c r="E726" s="170"/>
      <c r="F726" s="37"/>
      <c r="G726" s="37"/>
      <c r="H726"/>
      <c r="I726" s="76"/>
      <c r="J726" s="76"/>
      <c r="K726" s="76"/>
      <c r="L726"/>
      <c r="M726"/>
    </row>
    <row r="727" spans="2:13" s="2" customFormat="1" ht="15.75" customHeight="1" x14ac:dyDescent="0.2">
      <c r="B727"/>
      <c r="C727" s="37"/>
      <c r="D727" s="37"/>
      <c r="E727" s="170"/>
      <c r="F727" s="37"/>
      <c r="G727" s="37"/>
      <c r="H727"/>
      <c r="I727" s="76"/>
      <c r="J727" s="76"/>
      <c r="K727" s="76"/>
      <c r="L727"/>
      <c r="M727"/>
    </row>
    <row r="728" spans="2:13" s="2" customFormat="1" ht="15.75" customHeight="1" x14ac:dyDescent="0.2">
      <c r="B728"/>
      <c r="C728" s="37"/>
      <c r="D728" s="37"/>
      <c r="E728" s="170"/>
      <c r="F728" s="37"/>
      <c r="G728" s="37"/>
      <c r="H728"/>
      <c r="I728" s="76"/>
      <c r="J728" s="76"/>
      <c r="K728" s="76"/>
      <c r="L728"/>
      <c r="M728"/>
    </row>
    <row r="729" spans="2:13" s="2" customFormat="1" ht="15.75" customHeight="1" x14ac:dyDescent="0.2">
      <c r="B729"/>
      <c r="C729" s="37"/>
      <c r="D729" s="37"/>
      <c r="E729" s="170"/>
      <c r="F729" s="37"/>
      <c r="G729" s="37"/>
      <c r="H729"/>
      <c r="I729" s="76"/>
      <c r="J729" s="76"/>
      <c r="K729" s="76"/>
      <c r="L729"/>
      <c r="M729"/>
    </row>
    <row r="730" spans="2:13" s="2" customFormat="1" ht="15.75" customHeight="1" x14ac:dyDescent="0.2">
      <c r="B730"/>
      <c r="C730" s="37"/>
      <c r="D730" s="37"/>
      <c r="E730" s="170"/>
      <c r="F730" s="37"/>
      <c r="G730" s="37"/>
      <c r="H730"/>
      <c r="I730" s="76"/>
      <c r="J730" s="76"/>
      <c r="K730" s="76"/>
      <c r="L730"/>
      <c r="M730"/>
    </row>
    <row r="731" spans="2:13" s="2" customFormat="1" ht="15.75" customHeight="1" x14ac:dyDescent="0.2">
      <c r="B731"/>
      <c r="C731" s="37"/>
      <c r="D731" s="37"/>
      <c r="E731" s="170"/>
      <c r="F731" s="37"/>
      <c r="G731" s="37"/>
      <c r="H731"/>
      <c r="I731" s="76"/>
      <c r="J731" s="76"/>
      <c r="K731" s="76"/>
      <c r="L731"/>
      <c r="M731"/>
    </row>
    <row r="732" spans="2:13" s="2" customFormat="1" ht="15.75" customHeight="1" x14ac:dyDescent="0.2">
      <c r="B732"/>
      <c r="C732" s="37"/>
      <c r="D732" s="37"/>
      <c r="E732" s="170"/>
      <c r="F732" s="37"/>
      <c r="G732" s="37"/>
      <c r="H732"/>
      <c r="I732" s="76"/>
      <c r="J732" s="76"/>
      <c r="K732" s="76"/>
      <c r="L732"/>
      <c r="M732"/>
    </row>
    <row r="733" spans="2:13" s="2" customFormat="1" ht="15.75" customHeight="1" x14ac:dyDescent="0.2">
      <c r="B733"/>
      <c r="C733" s="37"/>
      <c r="D733" s="37"/>
      <c r="E733" s="170"/>
      <c r="F733" s="37"/>
      <c r="G733" s="37"/>
      <c r="H733"/>
      <c r="I733" s="76"/>
      <c r="J733" s="76"/>
      <c r="K733" s="76"/>
      <c r="L733"/>
      <c r="M733"/>
    </row>
    <row r="734" spans="2:13" s="2" customFormat="1" ht="15.75" customHeight="1" x14ac:dyDescent="0.2">
      <c r="B734"/>
      <c r="C734" s="37"/>
      <c r="D734" s="37"/>
      <c r="E734" s="170"/>
      <c r="F734" s="37"/>
      <c r="G734" s="37"/>
      <c r="H734"/>
      <c r="I734" s="76"/>
      <c r="J734" s="76"/>
      <c r="K734" s="76"/>
      <c r="L734"/>
      <c r="M734"/>
    </row>
    <row r="735" spans="2:13" s="2" customFormat="1" ht="15.75" customHeight="1" x14ac:dyDescent="0.2">
      <c r="B735"/>
      <c r="C735" s="37"/>
      <c r="D735" s="37"/>
      <c r="E735" s="170"/>
      <c r="F735" s="37"/>
      <c r="G735" s="37"/>
      <c r="H735"/>
      <c r="I735" s="76"/>
      <c r="J735" s="76"/>
      <c r="K735" s="76"/>
      <c r="L735"/>
      <c r="M735"/>
    </row>
    <row r="736" spans="2:13" s="2" customFormat="1" ht="15.75" customHeight="1" x14ac:dyDescent="0.2">
      <c r="B736"/>
      <c r="C736" s="37"/>
      <c r="D736" s="37"/>
      <c r="E736" s="170"/>
      <c r="F736" s="37"/>
      <c r="G736" s="37"/>
      <c r="H736"/>
      <c r="I736" s="76"/>
      <c r="J736" s="76"/>
      <c r="K736" s="76"/>
      <c r="L736"/>
      <c r="M736"/>
    </row>
    <row r="737" spans="2:13" s="2" customFormat="1" ht="15.75" customHeight="1" x14ac:dyDescent="0.2">
      <c r="B737"/>
      <c r="C737" s="37"/>
      <c r="D737" s="37"/>
      <c r="E737" s="170"/>
      <c r="F737" s="37"/>
      <c r="G737" s="37"/>
      <c r="H737"/>
      <c r="I737" s="76"/>
      <c r="J737" s="76"/>
      <c r="K737" s="76"/>
      <c r="L737"/>
      <c r="M737"/>
    </row>
    <row r="738" spans="2:13" s="2" customFormat="1" ht="15.75" customHeight="1" x14ac:dyDescent="0.2">
      <c r="B738"/>
      <c r="C738" s="37"/>
      <c r="D738" s="37"/>
      <c r="E738" s="170"/>
      <c r="F738" s="37"/>
      <c r="G738" s="37"/>
      <c r="H738"/>
      <c r="I738" s="76"/>
      <c r="J738" s="76"/>
      <c r="K738" s="76"/>
      <c r="L738"/>
      <c r="M738"/>
    </row>
    <row r="739" spans="2:13" s="2" customFormat="1" ht="15.75" customHeight="1" x14ac:dyDescent="0.2">
      <c r="B739"/>
      <c r="C739" s="37"/>
      <c r="D739" s="37"/>
      <c r="E739" s="170"/>
      <c r="F739" s="37"/>
      <c r="G739" s="37"/>
      <c r="H739"/>
      <c r="I739" s="76"/>
      <c r="J739" s="76"/>
      <c r="K739" s="76"/>
      <c r="L739"/>
      <c r="M739"/>
    </row>
    <row r="740" spans="2:13" s="2" customFormat="1" ht="15.75" customHeight="1" x14ac:dyDescent="0.2">
      <c r="B740"/>
      <c r="C740" s="37"/>
      <c r="D740" s="37"/>
      <c r="E740" s="170"/>
      <c r="F740" s="37"/>
      <c r="G740" s="37"/>
      <c r="H740"/>
      <c r="I740" s="76"/>
      <c r="J740" s="76"/>
      <c r="K740" s="76"/>
      <c r="L740"/>
      <c r="M740"/>
    </row>
    <row r="741" spans="2:13" s="2" customFormat="1" ht="15.75" customHeight="1" x14ac:dyDescent="0.2">
      <c r="B741"/>
      <c r="C741" s="37"/>
      <c r="D741" s="37"/>
      <c r="E741" s="170"/>
      <c r="F741" s="37"/>
      <c r="G741" s="37"/>
      <c r="H741"/>
      <c r="I741" s="76"/>
      <c r="J741" s="76"/>
      <c r="K741" s="76"/>
      <c r="L741"/>
      <c r="M741"/>
    </row>
    <row r="742" spans="2:13" s="2" customFormat="1" ht="15.75" customHeight="1" x14ac:dyDescent="0.2">
      <c r="B742"/>
      <c r="C742" s="37"/>
      <c r="D742" s="37"/>
      <c r="E742" s="170"/>
      <c r="F742" s="37"/>
      <c r="G742" s="37"/>
      <c r="H742"/>
      <c r="I742" s="76"/>
      <c r="J742" s="76"/>
      <c r="K742" s="76"/>
      <c r="L742"/>
      <c r="M742"/>
    </row>
    <row r="743" spans="2:13" s="2" customFormat="1" ht="15.75" customHeight="1" x14ac:dyDescent="0.2">
      <c r="B743"/>
      <c r="C743" s="37"/>
      <c r="D743" s="37"/>
      <c r="E743" s="170"/>
      <c r="F743" s="37"/>
      <c r="G743" s="37"/>
      <c r="H743"/>
      <c r="I743" s="76"/>
      <c r="J743" s="76"/>
      <c r="K743" s="76"/>
      <c r="L743"/>
      <c r="M743"/>
    </row>
    <row r="744" spans="2:13" s="2" customFormat="1" ht="15.75" customHeight="1" x14ac:dyDescent="0.2">
      <c r="B744"/>
      <c r="C744" s="37"/>
      <c r="D744" s="37"/>
      <c r="E744" s="170"/>
      <c r="F744" s="37"/>
      <c r="G744" s="37"/>
      <c r="H744"/>
      <c r="I744" s="76"/>
      <c r="J744" s="76"/>
      <c r="K744" s="76"/>
      <c r="L744"/>
      <c r="M744"/>
    </row>
    <row r="745" spans="2:13" s="2" customFormat="1" ht="15.75" customHeight="1" x14ac:dyDescent="0.2">
      <c r="B745"/>
      <c r="C745" s="37"/>
      <c r="D745" s="37"/>
      <c r="E745" s="170"/>
      <c r="F745" s="37"/>
      <c r="G745" s="37"/>
      <c r="H745"/>
      <c r="I745" s="76"/>
      <c r="J745" s="76"/>
      <c r="K745" s="76"/>
      <c r="L745"/>
      <c r="M745"/>
    </row>
    <row r="746" spans="2:13" s="2" customFormat="1" ht="15.75" customHeight="1" x14ac:dyDescent="0.2">
      <c r="B746"/>
      <c r="C746" s="37"/>
      <c r="D746" s="37"/>
      <c r="E746" s="170"/>
      <c r="F746" s="37"/>
      <c r="G746" s="37"/>
      <c r="H746"/>
      <c r="I746" s="76"/>
      <c r="J746" s="76"/>
      <c r="K746" s="76"/>
      <c r="L746"/>
      <c r="M746"/>
    </row>
    <row r="747" spans="2:13" s="2" customFormat="1" ht="15.75" customHeight="1" x14ac:dyDescent="0.2">
      <c r="B747"/>
      <c r="C747" s="37"/>
      <c r="D747" s="37"/>
      <c r="E747" s="170"/>
      <c r="F747" s="37"/>
      <c r="G747" s="37"/>
      <c r="H747"/>
      <c r="I747" s="76"/>
      <c r="J747" s="76"/>
      <c r="K747" s="76"/>
      <c r="L747"/>
      <c r="M747"/>
    </row>
    <row r="748" spans="2:13" s="2" customFormat="1" ht="15.75" customHeight="1" x14ac:dyDescent="0.2">
      <c r="B748"/>
      <c r="C748" s="37"/>
      <c r="D748" s="37"/>
      <c r="E748" s="170"/>
      <c r="F748" s="37"/>
      <c r="G748" s="37"/>
      <c r="H748"/>
      <c r="I748" s="76"/>
      <c r="J748" s="76"/>
      <c r="K748" s="76"/>
      <c r="L748"/>
      <c r="M748"/>
    </row>
    <row r="749" spans="2:13" s="2" customFormat="1" ht="15.75" customHeight="1" x14ac:dyDescent="0.2">
      <c r="B749"/>
      <c r="C749" s="37"/>
      <c r="D749" s="37"/>
      <c r="E749" s="170"/>
      <c r="F749" s="37"/>
      <c r="G749" s="37"/>
      <c r="H749"/>
      <c r="I749" s="76"/>
      <c r="J749" s="76"/>
      <c r="K749" s="76"/>
      <c r="L749"/>
      <c r="M749"/>
    </row>
    <row r="750" spans="2:13" s="2" customFormat="1" ht="15.75" customHeight="1" x14ac:dyDescent="0.2">
      <c r="B750"/>
      <c r="C750" s="37"/>
      <c r="D750" s="37"/>
      <c r="E750" s="170"/>
      <c r="F750" s="37"/>
      <c r="G750" s="37"/>
      <c r="H750"/>
      <c r="I750" s="76"/>
      <c r="J750" s="76"/>
      <c r="K750" s="76"/>
      <c r="L750"/>
      <c r="M750"/>
    </row>
    <row r="751" spans="2:13" s="2" customFormat="1" ht="15.75" customHeight="1" x14ac:dyDescent="0.2">
      <c r="B751"/>
      <c r="C751" s="37"/>
      <c r="D751" s="37"/>
      <c r="E751" s="170"/>
      <c r="F751" s="37"/>
      <c r="G751" s="37"/>
      <c r="H751"/>
      <c r="I751" s="76"/>
      <c r="J751" s="76"/>
      <c r="K751" s="76"/>
      <c r="L751"/>
      <c r="M751"/>
    </row>
    <row r="752" spans="2:13" s="2" customFormat="1" ht="15.75" customHeight="1" x14ac:dyDescent="0.2">
      <c r="B752"/>
      <c r="C752" s="37"/>
      <c r="D752" s="37"/>
      <c r="E752" s="170"/>
      <c r="F752" s="37"/>
      <c r="G752" s="37"/>
      <c r="H752"/>
      <c r="I752" s="76"/>
      <c r="J752" s="76"/>
      <c r="K752" s="76"/>
      <c r="L752"/>
      <c r="M752"/>
    </row>
    <row r="753" spans="2:13" s="2" customFormat="1" ht="15.75" customHeight="1" x14ac:dyDescent="0.2">
      <c r="B753"/>
      <c r="C753" s="37"/>
      <c r="D753" s="37"/>
      <c r="E753" s="170"/>
      <c r="F753" s="37"/>
      <c r="G753" s="37"/>
      <c r="H753"/>
      <c r="I753" s="76"/>
      <c r="J753" s="76"/>
      <c r="K753" s="76"/>
      <c r="L753"/>
      <c r="M753"/>
    </row>
    <row r="754" spans="2:13" s="2" customFormat="1" ht="15.75" customHeight="1" x14ac:dyDescent="0.2">
      <c r="B754"/>
      <c r="C754" s="37"/>
      <c r="D754" s="37"/>
      <c r="E754" s="170"/>
      <c r="F754" s="37"/>
      <c r="G754" s="37"/>
      <c r="H754"/>
      <c r="I754" s="76"/>
      <c r="J754" s="76"/>
      <c r="K754" s="76"/>
      <c r="L754"/>
      <c r="M754"/>
    </row>
    <row r="755" spans="2:13" s="2" customFormat="1" ht="15.75" customHeight="1" x14ac:dyDescent="0.2">
      <c r="B755"/>
      <c r="C755" s="37"/>
      <c r="D755" s="37"/>
      <c r="E755" s="170"/>
      <c r="F755" s="37"/>
      <c r="G755" s="37"/>
      <c r="H755"/>
      <c r="I755" s="76"/>
      <c r="J755" s="76"/>
      <c r="K755" s="76"/>
      <c r="L755"/>
      <c r="M755"/>
    </row>
    <row r="756" spans="2:13" s="2" customFormat="1" ht="15.75" customHeight="1" x14ac:dyDescent="0.2">
      <c r="B756"/>
      <c r="C756" s="37"/>
      <c r="D756" s="37"/>
      <c r="E756" s="170"/>
      <c r="F756" s="37"/>
      <c r="G756" s="37"/>
      <c r="H756"/>
      <c r="I756" s="76"/>
      <c r="J756" s="76"/>
      <c r="K756" s="76"/>
      <c r="L756"/>
      <c r="M756"/>
    </row>
    <row r="757" spans="2:13" s="2" customFormat="1" ht="15.75" customHeight="1" x14ac:dyDescent="0.2">
      <c r="B757"/>
      <c r="C757" s="37"/>
      <c r="D757" s="37"/>
      <c r="E757" s="170"/>
      <c r="F757" s="37"/>
      <c r="G757" s="37"/>
      <c r="H757"/>
      <c r="I757" s="76"/>
      <c r="J757" s="76"/>
      <c r="K757" s="76"/>
      <c r="L757"/>
      <c r="M757"/>
    </row>
    <row r="758" spans="2:13" s="2" customFormat="1" ht="15.75" customHeight="1" x14ac:dyDescent="0.2">
      <c r="B758"/>
      <c r="C758" s="37"/>
      <c r="D758" s="37"/>
      <c r="E758" s="170"/>
      <c r="F758" s="37"/>
      <c r="G758" s="37"/>
      <c r="H758"/>
      <c r="I758" s="76"/>
      <c r="J758" s="76"/>
      <c r="K758" s="76"/>
      <c r="L758"/>
      <c r="M758"/>
    </row>
    <row r="759" spans="2:13" s="2" customFormat="1" ht="15.75" customHeight="1" x14ac:dyDescent="0.2">
      <c r="B759"/>
      <c r="C759" s="37"/>
      <c r="D759" s="37"/>
      <c r="E759" s="170"/>
      <c r="F759" s="37"/>
      <c r="G759" s="37"/>
      <c r="H759"/>
      <c r="I759" s="76"/>
      <c r="J759" s="76"/>
      <c r="K759" s="76"/>
      <c r="L759"/>
      <c r="M759"/>
    </row>
    <row r="760" spans="2:13" s="2" customFormat="1" ht="15.75" customHeight="1" x14ac:dyDescent="0.2">
      <c r="B760"/>
      <c r="C760" s="37"/>
      <c r="D760" s="37"/>
      <c r="E760" s="170"/>
      <c r="F760" s="37"/>
      <c r="G760" s="37"/>
      <c r="H760"/>
      <c r="I760" s="76"/>
      <c r="J760" s="76"/>
      <c r="K760" s="76"/>
      <c r="L760"/>
      <c r="M760"/>
    </row>
    <row r="761" spans="2:13" s="2" customFormat="1" ht="15.75" customHeight="1" x14ac:dyDescent="0.2">
      <c r="B761"/>
      <c r="C761" s="37"/>
      <c r="D761" s="37"/>
      <c r="E761" s="170"/>
      <c r="F761" s="37"/>
      <c r="G761" s="37"/>
      <c r="H761"/>
      <c r="I761" s="76"/>
      <c r="J761" s="76"/>
      <c r="K761" s="76"/>
      <c r="L761"/>
      <c r="M761"/>
    </row>
    <row r="762" spans="2:13" s="2" customFormat="1" ht="15.75" customHeight="1" x14ac:dyDescent="0.2">
      <c r="B762"/>
      <c r="C762" s="37"/>
      <c r="D762" s="37"/>
      <c r="E762" s="170"/>
      <c r="F762" s="37"/>
      <c r="G762" s="37"/>
      <c r="H762"/>
      <c r="I762" s="76"/>
      <c r="J762" s="76"/>
      <c r="K762" s="76"/>
      <c r="L762"/>
      <c r="M762"/>
    </row>
    <row r="763" spans="2:13" s="2" customFormat="1" ht="15.75" customHeight="1" x14ac:dyDescent="0.2">
      <c r="B763"/>
      <c r="C763" s="37"/>
      <c r="D763" s="37"/>
      <c r="E763" s="170"/>
      <c r="F763" s="37"/>
      <c r="G763" s="37"/>
      <c r="H763"/>
      <c r="I763" s="76"/>
      <c r="J763" s="76"/>
      <c r="K763" s="76"/>
      <c r="L763"/>
      <c r="M763"/>
    </row>
    <row r="764" spans="2:13" s="2" customFormat="1" ht="15.75" customHeight="1" x14ac:dyDescent="0.2">
      <c r="B764"/>
      <c r="C764" s="37"/>
      <c r="D764" s="37"/>
      <c r="E764" s="170"/>
      <c r="F764" s="37"/>
      <c r="G764" s="37"/>
      <c r="H764"/>
      <c r="I764" s="76"/>
      <c r="J764" s="76"/>
      <c r="K764" s="76"/>
      <c r="L764"/>
      <c r="M764"/>
    </row>
    <row r="765" spans="2:13" s="2" customFormat="1" ht="15.75" customHeight="1" x14ac:dyDescent="0.2">
      <c r="B765"/>
      <c r="C765" s="37"/>
      <c r="D765" s="37"/>
      <c r="E765" s="170"/>
      <c r="F765" s="37"/>
      <c r="G765" s="37"/>
      <c r="H765"/>
      <c r="I765" s="76"/>
      <c r="J765" s="76"/>
      <c r="K765" s="76"/>
      <c r="L765"/>
      <c r="M765"/>
    </row>
    <row r="766" spans="2:13" s="2" customFormat="1" ht="15.75" customHeight="1" x14ac:dyDescent="0.2">
      <c r="B766"/>
      <c r="C766" s="37"/>
      <c r="D766" s="37"/>
      <c r="E766" s="170"/>
      <c r="F766" s="37"/>
      <c r="G766" s="37"/>
      <c r="H766"/>
      <c r="I766" s="76"/>
      <c r="J766" s="76"/>
      <c r="K766" s="76"/>
      <c r="L766"/>
      <c r="M766"/>
    </row>
    <row r="767" spans="2:13" s="2" customFormat="1" ht="15.75" customHeight="1" x14ac:dyDescent="0.2">
      <c r="B767"/>
      <c r="C767" s="37"/>
      <c r="D767" s="37"/>
      <c r="E767" s="170"/>
      <c r="F767" s="37"/>
      <c r="G767" s="37"/>
      <c r="H767"/>
      <c r="I767" s="76"/>
      <c r="J767" s="76"/>
      <c r="K767" s="76"/>
      <c r="L767"/>
      <c r="M767"/>
    </row>
    <row r="768" spans="2:13" s="2" customFormat="1" ht="15.75" customHeight="1" x14ac:dyDescent="0.2">
      <c r="B768"/>
      <c r="C768" s="37"/>
      <c r="D768" s="37"/>
      <c r="E768" s="170"/>
      <c r="F768" s="37"/>
      <c r="G768" s="37"/>
      <c r="H768"/>
      <c r="I768" s="76"/>
      <c r="J768" s="76"/>
      <c r="K768" s="76"/>
      <c r="L768"/>
      <c r="M768"/>
    </row>
    <row r="769" spans="2:13" s="2" customFormat="1" ht="15.75" customHeight="1" x14ac:dyDescent="0.2">
      <c r="B769"/>
      <c r="C769" s="37"/>
      <c r="D769" s="37"/>
      <c r="E769" s="170"/>
      <c r="F769" s="37"/>
      <c r="G769" s="37"/>
      <c r="H769"/>
      <c r="I769" s="76"/>
      <c r="J769" s="76"/>
      <c r="K769" s="76"/>
      <c r="L769"/>
      <c r="M769"/>
    </row>
    <row r="770" spans="2:13" s="2" customFormat="1" ht="15.75" customHeight="1" x14ac:dyDescent="0.2">
      <c r="B770"/>
      <c r="C770" s="37"/>
      <c r="D770" s="37"/>
      <c r="E770" s="170"/>
      <c r="F770" s="37"/>
      <c r="G770" s="37"/>
      <c r="H770"/>
      <c r="I770" s="76"/>
      <c r="J770" s="76"/>
      <c r="K770" s="76"/>
      <c r="L770"/>
      <c r="M770"/>
    </row>
    <row r="771" spans="2:13" s="2" customFormat="1" ht="15.75" customHeight="1" x14ac:dyDescent="0.2">
      <c r="B771"/>
      <c r="C771" s="37"/>
      <c r="D771" s="37"/>
      <c r="E771" s="170"/>
      <c r="F771" s="37"/>
      <c r="G771" s="37"/>
      <c r="H771"/>
      <c r="I771" s="76"/>
      <c r="J771" s="76"/>
      <c r="K771" s="76"/>
      <c r="L771"/>
      <c r="M771"/>
    </row>
    <row r="772" spans="2:13" s="2" customFormat="1" ht="15.75" customHeight="1" x14ac:dyDescent="0.2">
      <c r="B772"/>
      <c r="C772" s="37"/>
      <c r="D772" s="37"/>
      <c r="E772" s="170"/>
      <c r="F772" s="37"/>
      <c r="G772" s="37"/>
      <c r="H772"/>
      <c r="I772" s="76"/>
      <c r="J772" s="76"/>
      <c r="K772" s="76"/>
      <c r="L772"/>
      <c r="M772"/>
    </row>
    <row r="773" spans="2:13" s="2" customFormat="1" ht="15.75" customHeight="1" x14ac:dyDescent="0.2">
      <c r="B773"/>
      <c r="C773" s="37"/>
      <c r="D773" s="37"/>
      <c r="E773" s="170"/>
      <c r="F773" s="37"/>
      <c r="G773" s="37"/>
      <c r="H773"/>
      <c r="I773" s="76"/>
      <c r="J773" s="76"/>
      <c r="K773" s="76"/>
      <c r="L773"/>
      <c r="M773"/>
    </row>
    <row r="774" spans="2:13" s="2" customFormat="1" ht="15.75" customHeight="1" x14ac:dyDescent="0.2">
      <c r="B774"/>
      <c r="C774" s="37"/>
      <c r="D774" s="37"/>
      <c r="E774" s="170"/>
      <c r="F774" s="37"/>
      <c r="G774" s="37"/>
      <c r="H774"/>
      <c r="I774" s="76"/>
      <c r="J774" s="76"/>
      <c r="K774" s="76"/>
      <c r="L774"/>
      <c r="M774"/>
    </row>
    <row r="775" spans="2:13" s="2" customFormat="1" ht="15.75" customHeight="1" x14ac:dyDescent="0.2">
      <c r="B775"/>
      <c r="C775" s="37"/>
      <c r="D775" s="37"/>
      <c r="E775" s="170"/>
      <c r="F775" s="37"/>
      <c r="G775" s="37"/>
      <c r="H775"/>
      <c r="I775" s="76"/>
      <c r="J775" s="76"/>
      <c r="K775" s="76"/>
      <c r="L775"/>
      <c r="M775"/>
    </row>
    <row r="776" spans="2:13" s="2" customFormat="1" ht="15.75" customHeight="1" x14ac:dyDescent="0.2">
      <c r="B776"/>
      <c r="C776" s="37"/>
      <c r="D776" s="37"/>
      <c r="E776" s="170"/>
      <c r="F776" s="37"/>
      <c r="G776" s="37"/>
      <c r="H776"/>
      <c r="I776" s="76"/>
      <c r="J776" s="76"/>
      <c r="K776" s="76"/>
      <c r="L776"/>
      <c r="M776"/>
    </row>
    <row r="777" spans="2:13" s="2" customFormat="1" ht="15.75" customHeight="1" x14ac:dyDescent="0.2">
      <c r="B777"/>
      <c r="C777" s="37"/>
      <c r="D777" s="37"/>
      <c r="E777" s="170"/>
      <c r="F777" s="37"/>
      <c r="G777" s="37"/>
      <c r="H777"/>
      <c r="I777" s="76"/>
      <c r="J777" s="76"/>
      <c r="K777" s="76"/>
      <c r="L777"/>
      <c r="M777"/>
    </row>
    <row r="778" spans="2:13" s="2" customFormat="1" ht="15.75" customHeight="1" x14ac:dyDescent="0.2">
      <c r="B778"/>
      <c r="C778" s="37"/>
      <c r="D778" s="37"/>
      <c r="E778" s="170"/>
      <c r="F778" s="37"/>
      <c r="G778" s="37"/>
      <c r="H778"/>
      <c r="I778" s="76"/>
      <c r="J778" s="76"/>
      <c r="K778" s="76"/>
      <c r="L778"/>
      <c r="M778"/>
    </row>
    <row r="779" spans="2:13" s="2" customFormat="1" ht="15.75" customHeight="1" x14ac:dyDescent="0.2">
      <c r="B779"/>
      <c r="C779" s="37"/>
      <c r="D779" s="37"/>
      <c r="E779" s="170"/>
      <c r="F779" s="37"/>
      <c r="G779" s="37"/>
      <c r="H779"/>
      <c r="I779" s="76"/>
      <c r="J779" s="76"/>
      <c r="K779" s="76"/>
      <c r="L779"/>
      <c r="M779"/>
    </row>
    <row r="780" spans="2:13" s="2" customFormat="1" ht="15.75" customHeight="1" x14ac:dyDescent="0.2">
      <c r="B780"/>
      <c r="C780" s="37"/>
      <c r="D780" s="37"/>
      <c r="E780" s="170"/>
      <c r="F780" s="37"/>
      <c r="G780" s="37"/>
      <c r="H780"/>
      <c r="I780" s="76"/>
      <c r="J780" s="76"/>
      <c r="K780" s="76"/>
      <c r="L780"/>
      <c r="M780"/>
    </row>
    <row r="781" spans="2:13" s="2" customFormat="1" ht="15.75" customHeight="1" x14ac:dyDescent="0.2">
      <c r="B781"/>
      <c r="C781" s="37"/>
      <c r="D781" s="37"/>
      <c r="E781" s="170"/>
      <c r="F781" s="37"/>
      <c r="G781" s="37"/>
      <c r="H781"/>
      <c r="I781" s="76"/>
      <c r="J781" s="76"/>
      <c r="K781" s="76"/>
      <c r="L781"/>
      <c r="M781"/>
    </row>
    <row r="782" spans="2:13" s="2" customFormat="1" ht="15.75" customHeight="1" x14ac:dyDescent="0.2">
      <c r="B782"/>
      <c r="C782" s="37"/>
      <c r="D782" s="37"/>
      <c r="E782" s="170"/>
      <c r="F782" s="37"/>
      <c r="G782" s="37"/>
      <c r="H782"/>
      <c r="I782" s="76"/>
      <c r="J782" s="76"/>
      <c r="K782" s="76"/>
      <c r="L782"/>
      <c r="M782"/>
    </row>
    <row r="783" spans="2:13" s="2" customFormat="1" ht="15.75" customHeight="1" x14ac:dyDescent="0.2">
      <c r="B783"/>
      <c r="C783" s="37"/>
      <c r="D783" s="37"/>
      <c r="E783" s="170"/>
      <c r="F783" s="37"/>
      <c r="G783" s="37"/>
      <c r="H783"/>
      <c r="I783" s="76"/>
      <c r="J783" s="76"/>
      <c r="K783" s="76"/>
      <c r="L783"/>
      <c r="M783"/>
    </row>
    <row r="784" spans="2:13" s="2" customFormat="1" ht="15.75" customHeight="1" x14ac:dyDescent="0.2">
      <c r="B784"/>
      <c r="C784" s="37"/>
      <c r="D784" s="37"/>
      <c r="E784" s="170"/>
      <c r="F784" s="37"/>
      <c r="G784" s="37"/>
      <c r="H784"/>
      <c r="I784" s="76"/>
      <c r="J784" s="76"/>
      <c r="K784" s="76"/>
      <c r="L784"/>
      <c r="M784"/>
    </row>
    <row r="785" spans="2:13" s="2" customFormat="1" ht="15.75" customHeight="1" x14ac:dyDescent="0.2">
      <c r="B785"/>
      <c r="C785" s="37"/>
      <c r="D785" s="37"/>
      <c r="E785" s="170"/>
      <c r="F785" s="37"/>
      <c r="G785" s="37"/>
      <c r="H785"/>
      <c r="I785" s="76"/>
      <c r="J785" s="76"/>
      <c r="K785" s="76"/>
      <c r="L785"/>
      <c r="M785"/>
    </row>
    <row r="786" spans="2:13" s="2" customFormat="1" ht="15.75" customHeight="1" x14ac:dyDescent="0.2">
      <c r="B786"/>
      <c r="C786" s="37"/>
      <c r="D786" s="37"/>
      <c r="E786" s="170"/>
      <c r="F786" s="37"/>
      <c r="G786" s="37"/>
      <c r="H786"/>
      <c r="I786" s="76"/>
      <c r="J786" s="76"/>
      <c r="K786" s="76"/>
      <c r="L786"/>
      <c r="M786"/>
    </row>
    <row r="787" spans="2:13" s="2" customFormat="1" ht="15.75" customHeight="1" x14ac:dyDescent="0.2">
      <c r="B787"/>
      <c r="C787" s="37"/>
      <c r="D787" s="37"/>
      <c r="E787" s="170"/>
      <c r="F787" s="37"/>
      <c r="G787" s="37"/>
      <c r="H787"/>
      <c r="I787" s="76"/>
      <c r="J787" s="76"/>
      <c r="K787" s="76"/>
      <c r="L787"/>
      <c r="M787"/>
    </row>
    <row r="788" spans="2:13" s="2" customFormat="1" ht="15.75" customHeight="1" x14ac:dyDescent="0.2">
      <c r="B788"/>
      <c r="C788" s="37"/>
      <c r="D788" s="37"/>
      <c r="E788" s="170"/>
      <c r="F788" s="37"/>
      <c r="G788" s="37"/>
      <c r="H788"/>
      <c r="I788" s="76"/>
      <c r="J788" s="76"/>
      <c r="K788" s="76"/>
      <c r="L788"/>
      <c r="M788"/>
    </row>
    <row r="789" spans="2:13" s="2" customFormat="1" ht="15.75" customHeight="1" x14ac:dyDescent="0.2">
      <c r="B789"/>
      <c r="C789" s="37"/>
      <c r="D789" s="37"/>
      <c r="E789" s="170"/>
      <c r="F789" s="37"/>
      <c r="G789" s="37"/>
      <c r="H789"/>
      <c r="I789" s="76"/>
      <c r="J789" s="76"/>
      <c r="K789" s="76"/>
      <c r="L789"/>
      <c r="M789"/>
    </row>
    <row r="790" spans="2:13" s="2" customFormat="1" ht="15.75" customHeight="1" x14ac:dyDescent="0.2">
      <c r="B790"/>
      <c r="C790" s="37"/>
      <c r="D790" s="37"/>
      <c r="E790" s="170"/>
      <c r="F790" s="37"/>
      <c r="G790" s="37"/>
      <c r="H790"/>
      <c r="I790" s="76"/>
      <c r="J790" s="76"/>
      <c r="K790" s="76"/>
      <c r="L790"/>
      <c r="M790"/>
    </row>
    <row r="791" spans="2:13" s="2" customFormat="1" ht="15.75" customHeight="1" x14ac:dyDescent="0.2">
      <c r="B791"/>
      <c r="C791" s="37"/>
      <c r="D791" s="37"/>
      <c r="E791" s="170"/>
      <c r="F791" s="37"/>
      <c r="G791" s="37"/>
      <c r="H791"/>
      <c r="I791" s="76"/>
      <c r="J791" s="76"/>
      <c r="K791" s="76"/>
      <c r="L791"/>
      <c r="M791"/>
    </row>
    <row r="792" spans="2:13" s="2" customFormat="1" ht="15.75" customHeight="1" x14ac:dyDescent="0.2">
      <c r="B792"/>
      <c r="C792" s="37"/>
      <c r="D792" s="37"/>
      <c r="E792" s="170"/>
      <c r="F792" s="37"/>
      <c r="G792" s="37"/>
      <c r="H792"/>
      <c r="I792" s="76"/>
      <c r="J792" s="76"/>
      <c r="K792" s="76"/>
      <c r="L792"/>
      <c r="M792"/>
    </row>
    <row r="793" spans="2:13" s="2" customFormat="1" ht="15.75" customHeight="1" x14ac:dyDescent="0.2">
      <c r="B793"/>
      <c r="C793" s="37"/>
      <c r="D793" s="37"/>
      <c r="E793" s="170"/>
      <c r="F793" s="37"/>
      <c r="G793" s="37"/>
      <c r="H793"/>
      <c r="I793" s="76"/>
      <c r="J793" s="76"/>
      <c r="K793" s="76"/>
      <c r="L793"/>
      <c r="M793"/>
    </row>
    <row r="794" spans="2:13" s="2" customFormat="1" ht="15.75" customHeight="1" x14ac:dyDescent="0.2">
      <c r="B794"/>
      <c r="C794" s="37"/>
      <c r="D794" s="37"/>
      <c r="E794" s="170"/>
      <c r="F794" s="37"/>
      <c r="G794" s="37"/>
      <c r="H794"/>
      <c r="I794" s="76"/>
      <c r="J794" s="76"/>
      <c r="K794" s="76"/>
      <c r="L794"/>
      <c r="M794"/>
    </row>
    <row r="795" spans="2:13" s="2" customFormat="1" ht="15.75" customHeight="1" x14ac:dyDescent="0.2">
      <c r="B795"/>
      <c r="C795" s="37"/>
      <c r="D795" s="37"/>
      <c r="E795" s="170"/>
      <c r="F795" s="37"/>
      <c r="G795" s="37"/>
      <c r="H795"/>
      <c r="I795" s="76"/>
      <c r="J795" s="76"/>
      <c r="K795" s="76"/>
      <c r="L795"/>
      <c r="M795"/>
    </row>
    <row r="796" spans="2:13" s="2" customFormat="1" ht="15.75" customHeight="1" x14ac:dyDescent="0.2">
      <c r="B796"/>
      <c r="C796" s="37"/>
      <c r="D796" s="37"/>
      <c r="E796" s="170"/>
      <c r="F796" s="37"/>
      <c r="G796" s="37"/>
      <c r="H796"/>
      <c r="I796" s="76"/>
      <c r="J796" s="76"/>
      <c r="K796" s="76"/>
      <c r="L796"/>
      <c r="M796"/>
    </row>
  </sheetData>
  <mergeCells count="2">
    <mergeCell ref="A4:G4"/>
    <mergeCell ref="A5:G5"/>
  </mergeCells>
  <phoneticPr fontId="12" type="noConversion"/>
  <pageMargins left="0.74803149606299213" right="0.15748031496062992" top="0.55118110236220474" bottom="0.15748031496062992" header="0.15748031496062992" footer="0.15748031496062992"/>
  <pageSetup paperSize="9" scale="69" orientation="portrait" r:id="rId1"/>
  <headerFooter alignWithMargins="0"/>
  <rowBreaks count="1" manualBreakCount="1">
    <brk id="81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727"/>
  <sheetViews>
    <sheetView topLeftCell="A56" zoomScaleNormal="100" zoomScaleSheetLayoutView="80" workbookViewId="0">
      <selection activeCell="F81" sqref="F81"/>
    </sheetView>
  </sheetViews>
  <sheetFormatPr defaultRowHeight="12.75" x14ac:dyDescent="0.2"/>
  <cols>
    <col min="1" max="1" width="6.28515625" style="2" customWidth="1"/>
    <col min="2" max="2" width="82.85546875" customWidth="1"/>
    <col min="3" max="3" width="16.140625" style="37" customWidth="1"/>
    <col min="4" max="4" width="14.85546875" style="37" hidden="1" customWidth="1"/>
    <col min="5" max="5" width="15.7109375" style="37" customWidth="1"/>
    <col min="6" max="6" width="15.28515625" style="37" customWidth="1"/>
    <col min="7" max="7" width="13.5703125" style="37" hidden="1" customWidth="1"/>
    <col min="8" max="8" width="7.140625" style="37" bestFit="1" customWidth="1"/>
    <col min="9" max="9" width="10.5703125" customWidth="1"/>
    <col min="10" max="10" width="9.140625" customWidth="1"/>
    <col min="11" max="11" width="13.28515625" customWidth="1"/>
    <col min="12" max="12" width="12.7109375" customWidth="1"/>
    <col min="13" max="13" width="13" customWidth="1"/>
    <col min="14" max="22" width="9.140625" customWidth="1"/>
    <col min="23" max="23" width="6.5703125" bestFit="1" customWidth="1"/>
  </cols>
  <sheetData>
    <row r="1" spans="1:42" ht="15" customHeight="1" x14ac:dyDescent="0.3">
      <c r="A1" s="56"/>
      <c r="B1" s="34"/>
      <c r="F1" s="183" t="s">
        <v>950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8.75" x14ac:dyDescent="0.3">
      <c r="A2" s="56"/>
      <c r="B2" s="34"/>
      <c r="F2" s="183" t="str">
        <f>'1.Bev-kiad.'!F2</f>
        <v>a 11/2023.(V.26.) önkormányzati rendelethez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customHeight="1" x14ac:dyDescent="0.3">
      <c r="A3" s="56"/>
      <c r="B3" s="34"/>
      <c r="F3" s="183" t="s">
        <v>1297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35">
      <c r="A4" s="779" t="s">
        <v>27</v>
      </c>
      <c r="B4" s="779"/>
      <c r="C4" s="779"/>
      <c r="D4" s="779"/>
      <c r="E4"/>
      <c r="F4"/>
      <c r="G4"/>
      <c r="H4" s="50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9.5" x14ac:dyDescent="0.35">
      <c r="A5" s="779" t="s">
        <v>1137</v>
      </c>
      <c r="B5" s="779"/>
      <c r="C5" s="779"/>
      <c r="D5" s="779"/>
      <c r="E5"/>
      <c r="F5"/>
      <c r="G5"/>
      <c r="H5" s="50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3.5" thickBot="1" x14ac:dyDescent="0.25">
      <c r="A6" s="56"/>
      <c r="B6" s="1"/>
      <c r="F6" s="57" t="s"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54.75" customHeight="1" thickBot="1" x14ac:dyDescent="0.25">
      <c r="A7" s="219" t="s">
        <v>120</v>
      </c>
      <c r="B7" s="45" t="s">
        <v>211</v>
      </c>
      <c r="C7" s="45" t="str">
        <f>'1.Bev-kiad.'!C7</f>
        <v>2022. évi eredeti előirányzat</v>
      </c>
      <c r="D7" s="45" t="str">
        <f>'1.Bev-kiad.'!D7</f>
        <v>Módosított előirányzat 2022.06.havi</v>
      </c>
      <c r="E7" s="45" t="str">
        <f>'1.Bev-kiad.'!E7</f>
        <v>Módosított előirányzat 2022.10.havi</v>
      </c>
      <c r="F7" s="45" t="str">
        <f>'1.Bev-kiad.'!F7</f>
        <v>Módosított előirányzat 2022.12.31.</v>
      </c>
      <c r="G7" s="46" t="str">
        <f>'1.Bev-kiad.'!G7</f>
        <v>Teljesítés 2022.12.31.</v>
      </c>
      <c r="H7" s="509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20.25" customHeight="1" x14ac:dyDescent="0.2">
      <c r="A8" s="148" t="s">
        <v>121</v>
      </c>
      <c r="B8" s="228" t="s">
        <v>353</v>
      </c>
      <c r="C8" s="175">
        <f>SUM(C13+C25+C31)</f>
        <v>342476</v>
      </c>
      <c r="D8" s="175">
        <f>SUM(D13+D25+D31)</f>
        <v>648548</v>
      </c>
      <c r="E8" s="175">
        <f>SUM(E13+E25+E31)</f>
        <v>682792</v>
      </c>
      <c r="F8" s="175">
        <f>SUM(F13+F25+F31)</f>
        <v>682792</v>
      </c>
      <c r="G8" s="175">
        <f>SUM(G13+G25+G31)</f>
        <v>682792</v>
      </c>
      <c r="H8" s="55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2.75" hidden="1" customHeight="1" x14ac:dyDescent="0.2">
      <c r="A9" s="8" t="s">
        <v>124</v>
      </c>
      <c r="B9" s="8" t="s">
        <v>128</v>
      </c>
      <c r="C9" s="6"/>
      <c r="D9" s="6"/>
      <c r="E9" s="6"/>
      <c r="F9" s="6"/>
      <c r="G9" s="6"/>
      <c r="H9" s="19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2.75" hidden="1" customHeight="1" x14ac:dyDescent="0.2">
      <c r="A10" s="8" t="s">
        <v>125</v>
      </c>
      <c r="B10" s="8" t="s">
        <v>129</v>
      </c>
      <c r="C10" s="11"/>
      <c r="D10" s="11"/>
      <c r="E10" s="11"/>
      <c r="F10" s="11"/>
      <c r="G10" s="11"/>
      <c r="H10" s="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2.75" hidden="1" customHeight="1" x14ac:dyDescent="0.2">
      <c r="A11" s="8" t="s">
        <v>126</v>
      </c>
      <c r="B11" s="8" t="s">
        <v>130</v>
      </c>
      <c r="C11" s="11"/>
      <c r="D11" s="11"/>
      <c r="E11" s="11"/>
      <c r="F11" s="11"/>
      <c r="G11" s="11"/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2.75" hidden="1" customHeight="1" x14ac:dyDescent="0.2">
      <c r="A12" s="8" t="s">
        <v>127</v>
      </c>
      <c r="B12" s="8" t="s">
        <v>132</v>
      </c>
      <c r="C12" s="11"/>
      <c r="D12" s="11"/>
      <c r="E12" s="11"/>
      <c r="F12" s="11"/>
      <c r="G12" s="11"/>
      <c r="H12" s="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8" customHeight="1" x14ac:dyDescent="0.25">
      <c r="A13" s="14" t="s">
        <v>133</v>
      </c>
      <c r="B13" s="23" t="s">
        <v>252</v>
      </c>
      <c r="C13" s="38">
        <f>C14+C22</f>
        <v>305226</v>
      </c>
      <c r="D13" s="38">
        <f>D14+D22</f>
        <v>611298</v>
      </c>
      <c r="E13" s="38">
        <f>E14+E22</f>
        <v>642531</v>
      </c>
      <c r="F13" s="38">
        <f>F14+F22</f>
        <v>642531</v>
      </c>
      <c r="G13" s="38">
        <f>G14+G22</f>
        <v>642531</v>
      </c>
      <c r="H13" s="55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ht="13.5" customHeight="1" x14ac:dyDescent="0.2">
      <c r="A14" s="8"/>
      <c r="B14" s="8" t="s">
        <v>334</v>
      </c>
      <c r="C14" s="6">
        <f>SUM(C15:C21)</f>
        <v>34531</v>
      </c>
      <c r="D14" s="6">
        <f>SUM(D15:D21)</f>
        <v>113014</v>
      </c>
      <c r="E14" s="6">
        <f>SUM(E15:E21)</f>
        <v>113014</v>
      </c>
      <c r="F14" s="6">
        <f>SUM(F15:F21)</f>
        <v>113014</v>
      </c>
      <c r="G14" s="6">
        <f>SUM(G15:G21)</f>
        <v>113014</v>
      </c>
      <c r="H14" s="7"/>
      <c r="I14" s="2"/>
      <c r="P14" s="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x14ac:dyDescent="0.2">
      <c r="A15" s="8"/>
      <c r="B15" s="8" t="s">
        <v>1180</v>
      </c>
      <c r="C15" s="13">
        <v>34531</v>
      </c>
      <c r="D15" s="13">
        <v>34531</v>
      </c>
      <c r="E15" s="13">
        <v>34531</v>
      </c>
      <c r="F15" s="13">
        <v>34531</v>
      </c>
      <c r="G15" s="13">
        <v>34531</v>
      </c>
      <c r="H15" s="57"/>
      <c r="I15" s="2"/>
      <c r="J15" s="2"/>
      <c r="K15" s="507"/>
      <c r="L15" s="318"/>
      <c r="M15" s="508"/>
      <c r="N15" s="318"/>
      <c r="O15" s="318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x14ac:dyDescent="0.2">
      <c r="A16" s="8"/>
      <c r="B16" s="8" t="s">
        <v>1229</v>
      </c>
      <c r="C16" s="13">
        <v>0</v>
      </c>
      <c r="D16" s="13">
        <v>5858</v>
      </c>
      <c r="E16" s="13">
        <v>5858</v>
      </c>
      <c r="F16" s="13">
        <v>5858</v>
      </c>
      <c r="G16" s="13">
        <v>5858</v>
      </c>
      <c r="H16" s="57"/>
      <c r="I16" s="2"/>
      <c r="J16" s="2"/>
      <c r="K16" s="507"/>
      <c r="L16" s="318"/>
      <c r="M16" s="508"/>
      <c r="N16" s="318"/>
      <c r="O16" s="318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x14ac:dyDescent="0.2">
      <c r="A17" s="8"/>
      <c r="B17" s="8" t="s">
        <v>1233</v>
      </c>
      <c r="C17" s="13">
        <v>0</v>
      </c>
      <c r="D17" s="13">
        <v>14343</v>
      </c>
      <c r="E17" s="13">
        <v>14343</v>
      </c>
      <c r="F17" s="13">
        <v>14343</v>
      </c>
      <c r="G17" s="13">
        <v>14343</v>
      </c>
      <c r="H17" s="57"/>
      <c r="I17" s="2"/>
      <c r="J17" s="2"/>
      <c r="K17" s="507"/>
      <c r="L17" s="318"/>
      <c r="M17" s="508"/>
      <c r="N17" s="318"/>
      <c r="O17" s="31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x14ac:dyDescent="0.2">
      <c r="A18" s="8"/>
      <c r="B18" s="8" t="s">
        <v>1238</v>
      </c>
      <c r="C18" s="13">
        <v>0</v>
      </c>
      <c r="D18" s="13">
        <v>28341</v>
      </c>
      <c r="E18" s="13">
        <v>28341</v>
      </c>
      <c r="F18" s="13">
        <v>28341</v>
      </c>
      <c r="G18" s="13">
        <v>28341</v>
      </c>
      <c r="H18" s="57"/>
      <c r="I18" s="2"/>
      <c r="J18" s="2"/>
      <c r="K18" s="507"/>
      <c r="L18" s="318"/>
      <c r="M18" s="508"/>
      <c r="N18" s="318"/>
      <c r="O18" s="31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x14ac:dyDescent="0.2">
      <c r="A19" s="8"/>
      <c r="B19" s="8" t="s">
        <v>1239</v>
      </c>
      <c r="C19" s="13">
        <v>0</v>
      </c>
      <c r="D19" s="13">
        <v>29941</v>
      </c>
      <c r="E19" s="13">
        <v>29941</v>
      </c>
      <c r="F19" s="13">
        <v>29941</v>
      </c>
      <c r="G19" s="13">
        <v>29941</v>
      </c>
      <c r="H19" s="57"/>
      <c r="I19" s="2"/>
      <c r="J19" s="2"/>
      <c r="K19" s="507"/>
      <c r="L19" s="318"/>
      <c r="M19" s="508"/>
      <c r="N19" s="318"/>
      <c r="O19" s="318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idden="1" x14ac:dyDescent="0.2">
      <c r="A20" s="8"/>
      <c r="B20" s="8"/>
      <c r="C20" s="13"/>
      <c r="D20" s="13"/>
      <c r="E20" s="13"/>
      <c r="F20" s="13"/>
      <c r="G20" s="13"/>
      <c r="H20" s="57"/>
      <c r="I20" s="2"/>
      <c r="J20" s="2"/>
      <c r="K20" s="507"/>
      <c r="L20" s="318"/>
      <c r="M20" s="508"/>
      <c r="N20" s="318"/>
      <c r="O20" s="318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idden="1" x14ac:dyDescent="0.2">
      <c r="A21" s="8"/>
      <c r="B21" s="8"/>
      <c r="C21" s="13"/>
      <c r="D21" s="13"/>
      <c r="E21" s="13"/>
      <c r="F21" s="13"/>
      <c r="G21" s="13"/>
      <c r="H21" s="57"/>
      <c r="I21" s="2"/>
      <c r="J21" s="2"/>
      <c r="K21" s="507"/>
      <c r="L21" s="318"/>
      <c r="M21" s="508"/>
      <c r="N21" s="318"/>
      <c r="O21" s="318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x14ac:dyDescent="0.2">
      <c r="A22" s="8"/>
      <c r="B22" s="8" t="s">
        <v>335</v>
      </c>
      <c r="C22" s="6">
        <f>SUM(C24)+C23</f>
        <v>270695</v>
      </c>
      <c r="D22" s="6">
        <f>SUM(D24)+D23</f>
        <v>498284</v>
      </c>
      <c r="E22" s="6">
        <f>SUM(E24)+E23</f>
        <v>529517</v>
      </c>
      <c r="F22" s="6">
        <f>SUM(F24)+F23</f>
        <v>529517</v>
      </c>
      <c r="G22" s="6">
        <f>SUM(G24)+G23</f>
        <v>529517</v>
      </c>
      <c r="H22" s="7"/>
      <c r="I22" s="2"/>
      <c r="J22" s="2"/>
      <c r="K22" s="507"/>
      <c r="L22" s="7"/>
      <c r="M22" s="7"/>
      <c r="N22" s="7"/>
      <c r="O22" s="19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x14ac:dyDescent="0.2">
      <c r="A23" s="8"/>
      <c r="B23" s="20" t="s">
        <v>1161</v>
      </c>
      <c r="C23" s="13">
        <f>(120704+149991)</f>
        <v>270695</v>
      </c>
      <c r="D23" s="13">
        <f>(120704+149991)</f>
        <v>270695</v>
      </c>
      <c r="E23" s="13">
        <f>(120704+149991)+31233</f>
        <v>301928</v>
      </c>
      <c r="F23" s="13">
        <f>(120704+149991)+31233</f>
        <v>301928</v>
      </c>
      <c r="G23" s="13">
        <f>(120704+149991)+31233</f>
        <v>301928</v>
      </c>
      <c r="H23" s="7"/>
      <c r="I23" s="2"/>
      <c r="J23" s="2"/>
      <c r="K23" s="507"/>
      <c r="L23" s="7"/>
      <c r="M23" s="7"/>
      <c r="N23" s="7"/>
      <c r="O23" s="19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x14ac:dyDescent="0.2">
      <c r="A24" s="8"/>
      <c r="B24" s="8" t="s">
        <v>1257</v>
      </c>
      <c r="C24" s="13">
        <v>0</v>
      </c>
      <c r="D24" s="13">
        <v>227589</v>
      </c>
      <c r="E24" s="13">
        <v>227589</v>
      </c>
      <c r="F24" s="13">
        <v>227589</v>
      </c>
      <c r="G24" s="13">
        <v>227589</v>
      </c>
      <c r="H24" s="636"/>
      <c r="I24" s="2"/>
      <c r="J24" s="2"/>
      <c r="K24" s="507"/>
      <c r="L24" s="7"/>
      <c r="M24" s="7"/>
      <c r="N24" s="7"/>
      <c r="O24" s="7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7.25" customHeight="1" x14ac:dyDescent="0.25">
      <c r="A25" s="14" t="s">
        <v>180</v>
      </c>
      <c r="B25" s="23" t="s">
        <v>253</v>
      </c>
      <c r="C25" s="38">
        <f>SUM(C26:C30)</f>
        <v>26950</v>
      </c>
      <c r="D25" s="38">
        <f>SUM(D26:D30)</f>
        <v>26950</v>
      </c>
      <c r="E25" s="38">
        <f>SUM(E26:E30)</f>
        <v>29961</v>
      </c>
      <c r="F25" s="38">
        <f>SUM(F26:F30)</f>
        <v>29961</v>
      </c>
      <c r="G25" s="38">
        <f>SUM(G26:G30)</f>
        <v>29961</v>
      </c>
      <c r="H25" s="559"/>
      <c r="I25" s="2"/>
      <c r="J25" s="2"/>
      <c r="K25" s="507"/>
      <c r="L25" s="7"/>
      <c r="M25" s="7"/>
      <c r="N25" s="7"/>
      <c r="O25" s="7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3.5" customHeight="1" x14ac:dyDescent="0.2">
      <c r="A26" s="8" t="s">
        <v>181</v>
      </c>
      <c r="B26" s="20" t="s">
        <v>419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13.5" customHeight="1" x14ac:dyDescent="0.2">
      <c r="A27" s="8" t="s">
        <v>182</v>
      </c>
      <c r="B27" s="20" t="s">
        <v>1158</v>
      </c>
      <c r="C27" s="13">
        <f>(25400+550)</f>
        <v>25950</v>
      </c>
      <c r="D27" s="13">
        <f>(25400+550)</f>
        <v>25950</v>
      </c>
      <c r="E27" s="13">
        <f>(25400+550)</f>
        <v>25950</v>
      </c>
      <c r="F27" s="13">
        <f>(25400+550)</f>
        <v>25950</v>
      </c>
      <c r="G27" s="13">
        <f>(25400+550)</f>
        <v>25950</v>
      </c>
      <c r="H27" s="57"/>
      <c r="I27" s="2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ht="13.5" customHeight="1" x14ac:dyDescent="0.2">
      <c r="A28" s="8" t="s">
        <v>183</v>
      </c>
      <c r="B28" s="20" t="s">
        <v>471</v>
      </c>
      <c r="C28" s="11">
        <v>1000</v>
      </c>
      <c r="D28" s="11">
        <v>1000</v>
      </c>
      <c r="E28" s="11">
        <f>1000+3011</f>
        <v>4011</v>
      </c>
      <c r="F28" s="11">
        <f>1000+3011</f>
        <v>4011</v>
      </c>
      <c r="G28" s="11">
        <f>1000+3011</f>
        <v>4011</v>
      </c>
      <c r="H28" s="7"/>
      <c r="I28" s="2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13.5" customHeight="1" x14ac:dyDescent="0.2">
      <c r="A29" s="8" t="s">
        <v>184</v>
      </c>
      <c r="B29" s="20" t="s">
        <v>254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3.5" customHeight="1" x14ac:dyDescent="0.2">
      <c r="A30" s="8" t="s">
        <v>185</v>
      </c>
      <c r="B30" s="20" t="s">
        <v>255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ht="18" customHeight="1" x14ac:dyDescent="0.25">
      <c r="A31" s="14" t="s">
        <v>192</v>
      </c>
      <c r="B31" s="23" t="s">
        <v>404</v>
      </c>
      <c r="C31" s="38">
        <f>C33</f>
        <v>10300</v>
      </c>
      <c r="D31" s="38">
        <f>D33</f>
        <v>10300</v>
      </c>
      <c r="E31" s="38">
        <f>E33</f>
        <v>10300</v>
      </c>
      <c r="F31" s="38">
        <f>F33</f>
        <v>10300</v>
      </c>
      <c r="G31" s="38">
        <f>G33</f>
        <v>10300</v>
      </c>
      <c r="H31" s="559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ht="13.5" hidden="1" customHeight="1" x14ac:dyDescent="0.2">
      <c r="A32" s="8" t="s">
        <v>192</v>
      </c>
      <c r="B32" s="20" t="s">
        <v>410</v>
      </c>
      <c r="C32" s="49"/>
      <c r="D32" s="49"/>
      <c r="E32" s="49"/>
      <c r="F32" s="49"/>
      <c r="G32" s="49"/>
      <c r="H32" s="560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3.5" customHeight="1" x14ac:dyDescent="0.2">
      <c r="A33" s="8" t="s">
        <v>512</v>
      </c>
      <c r="B33" s="20" t="s">
        <v>878</v>
      </c>
      <c r="C33" s="167">
        <v>10300</v>
      </c>
      <c r="D33" s="167">
        <v>10300</v>
      </c>
      <c r="E33" s="167">
        <v>10300</v>
      </c>
      <c r="F33" s="167">
        <v>10300</v>
      </c>
      <c r="G33" s="167">
        <v>10300</v>
      </c>
      <c r="H33" s="56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3.5" hidden="1" customHeight="1" x14ac:dyDescent="0.2">
      <c r="A34" s="8"/>
      <c r="B34" s="20"/>
      <c r="C34" s="167"/>
      <c r="D34" s="167"/>
      <c r="E34" s="167"/>
      <c r="F34" s="167"/>
      <c r="G34" s="167"/>
      <c r="H34" s="56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20.25" customHeight="1" x14ac:dyDescent="0.25">
      <c r="A35" s="8"/>
      <c r="B35" s="174" t="s">
        <v>354</v>
      </c>
      <c r="C35" s="160">
        <f>SUM(C36+C40)</f>
        <v>916708</v>
      </c>
      <c r="D35" s="160">
        <f>SUM(D36+D40)</f>
        <v>916708</v>
      </c>
      <c r="E35" s="160">
        <f>SUM(E36+E40)</f>
        <v>916708</v>
      </c>
      <c r="F35" s="160">
        <f>SUM(F36+F40)</f>
        <v>916708</v>
      </c>
      <c r="G35" s="160">
        <f>SUM(G36+G40)</f>
        <v>916708</v>
      </c>
      <c r="H35" s="56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6.5" customHeight="1" x14ac:dyDescent="0.25">
      <c r="A36" s="8"/>
      <c r="B36" s="18" t="s">
        <v>257</v>
      </c>
      <c r="C36" s="193">
        <f>C37</f>
        <v>574708</v>
      </c>
      <c r="D36" s="193">
        <f>D37</f>
        <v>574708</v>
      </c>
      <c r="E36" s="193">
        <f>E37</f>
        <v>574708</v>
      </c>
      <c r="F36" s="193">
        <f>F37</f>
        <v>574708</v>
      </c>
      <c r="G36" s="193">
        <f>G37</f>
        <v>574708</v>
      </c>
      <c r="H36" s="631"/>
      <c r="I36" s="63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3.5" customHeight="1" x14ac:dyDescent="0.2">
      <c r="A37" s="8"/>
      <c r="B37" s="31" t="s">
        <v>444</v>
      </c>
      <c r="C37" s="11">
        <f>(420128+134732+17652+1266+930)</f>
        <v>574708</v>
      </c>
      <c r="D37" s="11">
        <f>(420128+134732+17652+1266+930)</f>
        <v>574708</v>
      </c>
      <c r="E37" s="11">
        <f>(420128+134732+17652+1266+930)</f>
        <v>574708</v>
      </c>
      <c r="F37" s="11">
        <f>(420128+134732+17652+1266+930)</f>
        <v>574708</v>
      </c>
      <c r="G37" s="11">
        <f>(420128+134732+17652+1266+930)</f>
        <v>574708</v>
      </c>
      <c r="H37" s="165"/>
      <c r="I37" s="165"/>
      <c r="J37" s="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idden="1" x14ac:dyDescent="0.2">
      <c r="A38" s="8"/>
      <c r="B38" s="31" t="s">
        <v>888</v>
      </c>
      <c r="C38" s="13">
        <f>(632574-19378-10058-5652)</f>
        <v>597486</v>
      </c>
      <c r="D38" s="13">
        <f>(632574-19378-10058-5652)</f>
        <v>597486</v>
      </c>
      <c r="E38" s="13">
        <f>(632574-19378-10058-5652)</f>
        <v>597486</v>
      </c>
      <c r="F38" s="13">
        <f>(632574-19378-10058-5652)</f>
        <v>597486</v>
      </c>
      <c r="G38" s="13">
        <f>(632574-19378-10058-5652)</f>
        <v>597486</v>
      </c>
      <c r="H38" s="165"/>
      <c r="I38" s="165"/>
      <c r="J38" s="7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idden="1" x14ac:dyDescent="0.2">
      <c r="A39" s="8"/>
      <c r="B39" s="31" t="s">
        <v>889</v>
      </c>
      <c r="C39" s="13">
        <f>(226930-68956-3881-1049-246-686)</f>
        <v>152112</v>
      </c>
      <c r="D39" s="13">
        <f>(226930-68956-3881-1049-246-686)</f>
        <v>152112</v>
      </c>
      <c r="E39" s="13">
        <f>(226930-68956-3881-1049-246-686)</f>
        <v>152112</v>
      </c>
      <c r="F39" s="13">
        <f>(226930-68956-3881-1049-246-686)</f>
        <v>152112</v>
      </c>
      <c r="G39" s="13">
        <f>(226930-68956-3881-1049-246-686)</f>
        <v>152112</v>
      </c>
      <c r="H39" s="165"/>
      <c r="I39" s="165"/>
      <c r="J39" s="7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6.5" customHeight="1" x14ac:dyDescent="0.25">
      <c r="A40" s="8"/>
      <c r="B40" s="18" t="s">
        <v>258</v>
      </c>
      <c r="C40" s="38">
        <f>SUM(C41:C41)</f>
        <v>342000</v>
      </c>
      <c r="D40" s="38">
        <f>SUM(D41:D41)</f>
        <v>342000</v>
      </c>
      <c r="E40" s="38">
        <f>SUM(E41:E41)</f>
        <v>342000</v>
      </c>
      <c r="F40" s="38">
        <f>SUM(F41:F41)</f>
        <v>342000</v>
      </c>
      <c r="G40" s="38">
        <f>SUM(G41:G41)</f>
        <v>342000</v>
      </c>
      <c r="H40" s="165"/>
      <c r="I40" s="165"/>
      <c r="J40" s="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3.5" customHeight="1" thickBot="1" x14ac:dyDescent="0.25">
      <c r="A41" s="12"/>
      <c r="B41" s="8" t="s">
        <v>1125</v>
      </c>
      <c r="C41" s="11">
        <v>342000</v>
      </c>
      <c r="D41" s="11">
        <v>342000</v>
      </c>
      <c r="E41" s="11">
        <v>342000</v>
      </c>
      <c r="F41" s="11">
        <v>342000</v>
      </c>
      <c r="G41" s="11">
        <v>342000</v>
      </c>
      <c r="H41" s="165"/>
      <c r="I41" s="165"/>
      <c r="J41" s="7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20.25" thickBot="1" x14ac:dyDescent="0.4">
      <c r="A42" s="219"/>
      <c r="B42" s="218" t="s">
        <v>391</v>
      </c>
      <c r="C42" s="229">
        <f>SUM(C8+C35)</f>
        <v>1259184</v>
      </c>
      <c r="D42" s="229">
        <f>SUM(D8+D35)</f>
        <v>1565256</v>
      </c>
      <c r="E42" s="229">
        <f>SUM(E8+E35)</f>
        <v>1599500</v>
      </c>
      <c r="F42" s="229">
        <f>SUM(F8+F35)</f>
        <v>1599500</v>
      </c>
      <c r="G42" s="229">
        <f>SUM(G8+G35)</f>
        <v>1599500</v>
      </c>
      <c r="H42" s="165"/>
      <c r="I42" s="165"/>
      <c r="J42" s="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5.75" x14ac:dyDescent="0.25">
      <c r="A43" s="148" t="s">
        <v>367</v>
      </c>
      <c r="B43" s="227" t="s">
        <v>355</v>
      </c>
      <c r="C43" s="176">
        <f>SUM(C44+C66+C78)</f>
        <v>1242226</v>
      </c>
      <c r="D43" s="176">
        <f>SUM(D44+D66+D78)</f>
        <v>1547390</v>
      </c>
      <c r="E43" s="176">
        <f>SUM(E44+E66+E78)</f>
        <v>1576927</v>
      </c>
      <c r="F43" s="176">
        <f>SUM(F44+F66+F78)</f>
        <v>1576927</v>
      </c>
      <c r="G43" s="176">
        <f>SUM(G44+G66+G78)</f>
        <v>1576927</v>
      </c>
      <c r="H43" s="165"/>
      <c r="I43" s="165"/>
      <c r="J43" s="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5.75" x14ac:dyDescent="0.25">
      <c r="A44" s="14" t="s">
        <v>256</v>
      </c>
      <c r="B44" s="570" t="s">
        <v>5</v>
      </c>
      <c r="C44" s="571">
        <f>SUM(C45+C63)</f>
        <v>456818</v>
      </c>
      <c r="D44" s="571">
        <f>SUM(D45+D63)</f>
        <v>447741</v>
      </c>
      <c r="E44" s="571">
        <f>SUM(E45+E63)</f>
        <v>446808</v>
      </c>
      <c r="F44" s="571">
        <f>SUM(F45+F63)</f>
        <v>447485</v>
      </c>
      <c r="G44" s="571">
        <f>SUM(G45+G63)</f>
        <v>446808</v>
      </c>
      <c r="H44" s="165"/>
      <c r="I44" s="165"/>
      <c r="J44" s="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4.25" x14ac:dyDescent="0.2">
      <c r="A45" s="14"/>
      <c r="B45" s="24" t="s">
        <v>356</v>
      </c>
      <c r="C45" s="149">
        <f>SUM(C46+C50+C62)</f>
        <v>455818</v>
      </c>
      <c r="D45" s="149">
        <f>SUM(D46+D50+D62)</f>
        <v>446741</v>
      </c>
      <c r="E45" s="149">
        <f>SUM(E46+E50+E62)</f>
        <v>445808</v>
      </c>
      <c r="F45" s="149">
        <f>SUM(F46+F50+F62)</f>
        <v>446485</v>
      </c>
      <c r="G45" s="149">
        <f>SUM(G46+G50+G62)</f>
        <v>445808</v>
      </c>
      <c r="H45" s="563"/>
      <c r="I45" s="633"/>
      <c r="J45" s="7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4.25" x14ac:dyDescent="0.2">
      <c r="A46" s="14"/>
      <c r="B46" s="24" t="s">
        <v>360</v>
      </c>
      <c r="C46" s="149">
        <f>SUM(C47:C49)</f>
        <v>91918</v>
      </c>
      <c r="D46" s="149">
        <f>SUM(D47:D49)</f>
        <v>91918</v>
      </c>
      <c r="E46" s="149">
        <f>SUM(E47:E49)</f>
        <v>91918</v>
      </c>
      <c r="F46" s="149">
        <f>SUM(F47:F49)</f>
        <v>91918</v>
      </c>
      <c r="G46" s="149">
        <f>SUM(G47:G49)</f>
        <v>91918</v>
      </c>
      <c r="H46" s="563"/>
      <c r="I46" s="7"/>
      <c r="J46" s="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x14ac:dyDescent="0.2">
      <c r="A47" s="14"/>
      <c r="B47" s="8" t="s">
        <v>1318</v>
      </c>
      <c r="C47" s="11">
        <v>72868</v>
      </c>
      <c r="D47" s="11">
        <v>72868</v>
      </c>
      <c r="E47" s="11">
        <v>72868</v>
      </c>
      <c r="F47" s="11">
        <v>72868</v>
      </c>
      <c r="G47" s="11">
        <v>72868</v>
      </c>
      <c r="H47" s="57"/>
      <c r="I47" s="7"/>
      <c r="J47" s="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x14ac:dyDescent="0.2">
      <c r="A48" s="14"/>
      <c r="B48" s="8" t="s">
        <v>966</v>
      </c>
      <c r="C48" s="11">
        <v>19050</v>
      </c>
      <c r="D48" s="11">
        <v>19050</v>
      </c>
      <c r="E48" s="11">
        <v>19050</v>
      </c>
      <c r="F48" s="11">
        <v>19050</v>
      </c>
      <c r="G48" s="11">
        <v>19050</v>
      </c>
      <c r="H48" s="57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idden="1" x14ac:dyDescent="0.2">
      <c r="A49" s="14"/>
      <c r="B49" s="8"/>
      <c r="C49" s="11"/>
      <c r="D49" s="11"/>
      <c r="E49" s="11"/>
      <c r="F49" s="11"/>
      <c r="G49" s="11"/>
      <c r="H49" s="57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x14ac:dyDescent="0.2">
      <c r="A50" s="14"/>
      <c r="B50" s="14" t="s">
        <v>359</v>
      </c>
      <c r="C50" s="5">
        <f>SUM(C51:C61)</f>
        <v>363900</v>
      </c>
      <c r="D50" s="5">
        <f>SUM(D51:D61)</f>
        <v>354823</v>
      </c>
      <c r="E50" s="5">
        <f>SUM(E51:E61)</f>
        <v>353890</v>
      </c>
      <c r="F50" s="5">
        <f>SUM(F51:F61)</f>
        <v>354567</v>
      </c>
      <c r="G50" s="5">
        <f>SUM(G51:G61)</f>
        <v>353890</v>
      </c>
      <c r="H50" s="57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x14ac:dyDescent="0.2">
      <c r="A51" s="14"/>
      <c r="B51" s="8" t="s">
        <v>1124</v>
      </c>
      <c r="C51" s="13">
        <v>342000</v>
      </c>
      <c r="D51" s="13">
        <v>342000</v>
      </c>
      <c r="E51" s="13">
        <v>342000</v>
      </c>
      <c r="F51" s="13">
        <v>342000</v>
      </c>
      <c r="G51" s="13">
        <v>342000</v>
      </c>
      <c r="H51" s="57"/>
      <c r="I51" s="7"/>
      <c r="J51" s="2"/>
      <c r="K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x14ac:dyDescent="0.2">
      <c r="A52" s="14"/>
      <c r="B52" s="8" t="s">
        <v>1162</v>
      </c>
      <c r="C52" s="13">
        <v>19000</v>
      </c>
      <c r="D52" s="13">
        <f>19000-9541-9459</f>
        <v>0</v>
      </c>
      <c r="E52" s="13">
        <f>19000-9541-9459</f>
        <v>0</v>
      </c>
      <c r="F52" s="13">
        <f>19000-9541-9459</f>
        <v>0</v>
      </c>
      <c r="G52" s="13">
        <f>19000-9541-9459</f>
        <v>0</v>
      </c>
      <c r="H52" s="57"/>
      <c r="I52" s="7"/>
      <c r="J52" s="2"/>
      <c r="K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x14ac:dyDescent="0.2">
      <c r="A53" s="14"/>
      <c r="B53" s="8" t="s">
        <v>1425</v>
      </c>
      <c r="C53" s="13">
        <v>2000</v>
      </c>
      <c r="D53" s="13">
        <v>2000</v>
      </c>
      <c r="E53" s="13">
        <v>2000</v>
      </c>
      <c r="F53" s="13">
        <f>2000+223</f>
        <v>2223</v>
      </c>
      <c r="G53" s="13">
        <v>2000</v>
      </c>
      <c r="H53" s="57"/>
      <c r="I53" s="7"/>
      <c r="J53" s="2"/>
      <c r="K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x14ac:dyDescent="0.2">
      <c r="A54" s="14"/>
      <c r="B54" s="8" t="s">
        <v>1171</v>
      </c>
      <c r="C54" s="13">
        <v>900</v>
      </c>
      <c r="D54" s="13">
        <v>900</v>
      </c>
      <c r="E54" s="13">
        <v>900</v>
      </c>
      <c r="F54" s="13">
        <v>900</v>
      </c>
      <c r="G54" s="13">
        <v>900</v>
      </c>
      <c r="H54" s="57"/>
      <c r="I54" s="7"/>
      <c r="J54" s="2"/>
      <c r="K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x14ac:dyDescent="0.2">
      <c r="A55" s="14"/>
      <c r="B55" s="8" t="s">
        <v>1232</v>
      </c>
      <c r="C55" s="13">
        <v>0</v>
      </c>
      <c r="D55" s="13">
        <v>5800</v>
      </c>
      <c r="E55" s="13">
        <v>5800</v>
      </c>
      <c r="F55" s="13">
        <v>5800</v>
      </c>
      <c r="G55" s="13">
        <v>5800</v>
      </c>
      <c r="H55" s="57"/>
      <c r="I55" s="7"/>
      <c r="J55" s="2"/>
      <c r="K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x14ac:dyDescent="0.2">
      <c r="A56" s="14"/>
      <c r="B56" s="8" t="s">
        <v>1244</v>
      </c>
      <c r="C56" s="13">
        <v>0</v>
      </c>
      <c r="D56" s="13">
        <v>695</v>
      </c>
      <c r="E56" s="13">
        <v>695</v>
      </c>
      <c r="F56" s="13">
        <v>695</v>
      </c>
      <c r="G56" s="13">
        <v>695</v>
      </c>
      <c r="H56" s="57"/>
      <c r="I56" s="7"/>
      <c r="J56" s="2"/>
      <c r="K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ht="25.5" x14ac:dyDescent="0.2">
      <c r="A57" s="14"/>
      <c r="B57" s="20" t="s">
        <v>1246</v>
      </c>
      <c r="C57" s="13">
        <v>0</v>
      </c>
      <c r="D57" s="13">
        <v>3209</v>
      </c>
      <c r="E57" s="13">
        <f>3209-933</f>
        <v>2276</v>
      </c>
      <c r="F57" s="13">
        <f>3209-933</f>
        <v>2276</v>
      </c>
      <c r="G57" s="13">
        <f>3209-933</f>
        <v>2276</v>
      </c>
      <c r="H57" s="57"/>
      <c r="I57" s="7"/>
      <c r="J57" s="2"/>
      <c r="K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x14ac:dyDescent="0.2">
      <c r="A58" s="14"/>
      <c r="B58" s="8" t="s">
        <v>1275</v>
      </c>
      <c r="C58" s="13">
        <v>0</v>
      </c>
      <c r="D58" s="13">
        <v>163</v>
      </c>
      <c r="E58" s="13">
        <v>163</v>
      </c>
      <c r="F58" s="13">
        <v>163</v>
      </c>
      <c r="G58" s="13">
        <v>163</v>
      </c>
      <c r="H58" s="57"/>
      <c r="I58" s="7"/>
      <c r="J58" s="2"/>
      <c r="K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x14ac:dyDescent="0.2">
      <c r="A59" s="14"/>
      <c r="B59" s="8" t="s">
        <v>1276</v>
      </c>
      <c r="C59" s="13">
        <v>0</v>
      </c>
      <c r="D59" s="13">
        <v>56</v>
      </c>
      <c r="E59" s="13">
        <v>56</v>
      </c>
      <c r="F59" s="13">
        <v>56</v>
      </c>
      <c r="G59" s="13">
        <v>56</v>
      </c>
      <c r="H59" s="57"/>
      <c r="I59" s="7"/>
      <c r="J59" s="2"/>
      <c r="K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x14ac:dyDescent="0.2">
      <c r="A60" s="14"/>
      <c r="B60" s="8" t="s">
        <v>1426</v>
      </c>
      <c r="C60" s="13">
        <v>0</v>
      </c>
      <c r="D60" s="13">
        <v>0</v>
      </c>
      <c r="E60" s="13">
        <v>0</v>
      </c>
      <c r="F60" s="13">
        <v>454</v>
      </c>
      <c r="G60" s="13"/>
      <c r="H60" s="57"/>
      <c r="I60" s="7"/>
      <c r="J60" s="2"/>
      <c r="K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hidden="1" x14ac:dyDescent="0.2">
      <c r="A61" s="14"/>
      <c r="B61" s="8"/>
      <c r="C61" s="13"/>
      <c r="D61" s="13"/>
      <c r="E61" s="13"/>
      <c r="F61" s="13"/>
      <c r="G61" s="13"/>
      <c r="H61" s="57"/>
      <c r="I61" s="7"/>
      <c r="J61" s="2"/>
      <c r="K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x14ac:dyDescent="0.2">
      <c r="A62" s="14"/>
      <c r="B62" s="14" t="s">
        <v>909</v>
      </c>
      <c r="C62" s="5"/>
      <c r="D62" s="5"/>
      <c r="E62" s="5"/>
      <c r="F62" s="5"/>
      <c r="G62" s="5"/>
      <c r="H62" s="57"/>
      <c r="I62" s="2"/>
      <c r="J62" s="2"/>
      <c r="K62" s="2"/>
      <c r="L62" s="2"/>
      <c r="M62" s="2"/>
      <c r="N62" s="2"/>
      <c r="O62" s="2"/>
      <c r="P62" s="7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ht="13.5" customHeight="1" x14ac:dyDescent="0.2">
      <c r="A63" s="14"/>
      <c r="B63" s="14" t="s">
        <v>399</v>
      </c>
      <c r="C63" s="5">
        <f>SUM(C64)</f>
        <v>1000</v>
      </c>
      <c r="D63" s="5">
        <f>SUM(D64)</f>
        <v>1000</v>
      </c>
      <c r="E63" s="5">
        <f>SUM(E64)</f>
        <v>1000</v>
      </c>
      <c r="F63" s="5">
        <f>SUM(F64)</f>
        <v>1000</v>
      </c>
      <c r="G63" s="5">
        <f>SUM(G64)</f>
        <v>1000</v>
      </c>
      <c r="H63" s="57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ht="13.5" customHeight="1" x14ac:dyDescent="0.2">
      <c r="A64" s="14"/>
      <c r="B64" s="8" t="s">
        <v>911</v>
      </c>
      <c r="C64" s="13">
        <v>1000</v>
      </c>
      <c r="D64" s="13">
        <v>1000</v>
      </c>
      <c r="E64" s="13">
        <v>1000</v>
      </c>
      <c r="F64" s="13">
        <v>1000</v>
      </c>
      <c r="G64" s="13">
        <v>1000</v>
      </c>
      <c r="H64" s="57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hidden="1" x14ac:dyDescent="0.2">
      <c r="A65" s="14"/>
      <c r="B65" s="8"/>
      <c r="C65" s="13"/>
      <c r="D65" s="13"/>
      <c r="E65" s="13"/>
      <c r="F65" s="13"/>
      <c r="G65" s="13"/>
      <c r="H65" s="57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ht="18" customHeight="1" x14ac:dyDescent="0.25">
      <c r="A66" s="14" t="s">
        <v>370</v>
      </c>
      <c r="B66" s="23" t="s">
        <v>1</v>
      </c>
      <c r="C66" s="160">
        <f>SUM(C67+C69)</f>
        <v>641826</v>
      </c>
      <c r="D66" s="160">
        <f>SUM(D67+D69)</f>
        <v>729866</v>
      </c>
      <c r="E66" s="160">
        <f>SUM(E67+E69)</f>
        <v>870811</v>
      </c>
      <c r="F66" s="160">
        <f>SUM(F67+F69)</f>
        <v>870811</v>
      </c>
      <c r="G66" s="160">
        <f>SUM(G67+G69)</f>
        <v>870811</v>
      </c>
      <c r="H66" s="57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ht="13.5" customHeight="1" x14ac:dyDescent="0.2">
      <c r="A67" s="14"/>
      <c r="B67" s="14" t="s">
        <v>2</v>
      </c>
      <c r="C67" s="149">
        <f>SUM(C68:C68)</f>
        <v>536201</v>
      </c>
      <c r="D67" s="149">
        <f>SUM(D68:D68)</f>
        <v>536201</v>
      </c>
      <c r="E67" s="149">
        <f>SUM(E68:E68)</f>
        <v>536201</v>
      </c>
      <c r="F67" s="149">
        <f>SUM(F68:F68)</f>
        <v>536201</v>
      </c>
      <c r="G67" s="149">
        <f>SUM(G68:G68)</f>
        <v>536201</v>
      </c>
      <c r="H67" s="57"/>
      <c r="I67" s="2"/>
      <c r="J67" s="2"/>
      <c r="K67" s="7"/>
      <c r="L67" s="7"/>
      <c r="M67" s="7"/>
      <c r="N67" s="7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13.5" customHeight="1" x14ac:dyDescent="0.2">
      <c r="A68" s="14"/>
      <c r="B68" s="8" t="s">
        <v>1319</v>
      </c>
      <c r="C68" s="11">
        <v>536201</v>
      </c>
      <c r="D68" s="11">
        <v>536201</v>
      </c>
      <c r="E68" s="11">
        <v>536201</v>
      </c>
      <c r="F68" s="11">
        <v>536201</v>
      </c>
      <c r="G68" s="11">
        <v>536201</v>
      </c>
      <c r="H68" s="57"/>
      <c r="J68" s="2"/>
      <c r="K68" s="7"/>
      <c r="L68" s="7"/>
      <c r="M68" s="7"/>
      <c r="N68" s="7"/>
      <c r="O68" s="2"/>
      <c r="P68" s="2"/>
      <c r="Q68" s="7"/>
      <c r="R68" s="7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3.5" customHeight="1" x14ac:dyDescent="0.2">
      <c r="A69" s="14"/>
      <c r="B69" s="14" t="s">
        <v>357</v>
      </c>
      <c r="C69" s="149">
        <f>SUM(C70:C77)</f>
        <v>105625</v>
      </c>
      <c r="D69" s="149">
        <f>SUM(D70:D77)</f>
        <v>193665</v>
      </c>
      <c r="E69" s="149">
        <f>SUM(E70:E77)</f>
        <v>334610</v>
      </c>
      <c r="F69" s="149">
        <f>SUM(F70:F77)</f>
        <v>334610</v>
      </c>
      <c r="G69" s="149">
        <f>SUM(G70:G77)</f>
        <v>334610</v>
      </c>
      <c r="H69" s="57"/>
      <c r="I69" s="7"/>
      <c r="J69" s="2"/>
      <c r="K69" s="7"/>
      <c r="L69" s="7"/>
      <c r="M69" s="7"/>
      <c r="N69" s="7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t="13.5" customHeight="1" x14ac:dyDescent="0.2">
      <c r="A70" s="14"/>
      <c r="B70" s="8" t="s">
        <v>1163</v>
      </c>
      <c r="C70" s="11">
        <v>12500</v>
      </c>
      <c r="D70" s="11">
        <f>12500+9459</f>
        <v>21959</v>
      </c>
      <c r="E70" s="11">
        <f>12500+9459</f>
        <v>21959</v>
      </c>
      <c r="F70" s="11">
        <f>12500+9459</f>
        <v>21959</v>
      </c>
      <c r="G70" s="11">
        <f>12500+9459</f>
        <v>21959</v>
      </c>
      <c r="H70" s="57"/>
      <c r="I70" s="7"/>
      <c r="J70" s="2"/>
      <c r="K70" s="7"/>
      <c r="L70" s="7"/>
      <c r="M70" s="7"/>
      <c r="N70" s="7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t="13.5" customHeight="1" x14ac:dyDescent="0.2">
      <c r="A71" s="14"/>
      <c r="B71" s="8" t="s">
        <v>1182</v>
      </c>
      <c r="C71" s="11">
        <v>53125</v>
      </c>
      <c r="D71" s="11">
        <v>53125</v>
      </c>
      <c r="E71" s="11">
        <v>53125</v>
      </c>
      <c r="F71" s="11">
        <v>53125</v>
      </c>
      <c r="G71" s="11">
        <v>53125</v>
      </c>
      <c r="H71" s="57"/>
      <c r="I71" s="7"/>
      <c r="J71" s="2"/>
      <c r="K71" s="7"/>
      <c r="L71" s="7"/>
      <c r="M71" s="7"/>
      <c r="N71" s="7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t="13.5" customHeight="1" x14ac:dyDescent="0.2">
      <c r="A72" s="14"/>
      <c r="B72" s="8" t="s">
        <v>1164</v>
      </c>
      <c r="C72" s="11">
        <v>40000</v>
      </c>
      <c r="D72" s="11">
        <f>40000+10390</f>
        <v>50390</v>
      </c>
      <c r="E72" s="11">
        <f>40000+10390</f>
        <v>50390</v>
      </c>
      <c r="F72" s="11">
        <f>40000+10390</f>
        <v>50390</v>
      </c>
      <c r="G72" s="11">
        <f>40000+10390</f>
        <v>50390</v>
      </c>
      <c r="H72" s="57"/>
      <c r="I72" s="7"/>
      <c r="J72" s="2"/>
      <c r="K72" s="7"/>
      <c r="L72" s="7"/>
      <c r="M72" s="7"/>
      <c r="N72" s="7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t="13.5" customHeight="1" x14ac:dyDescent="0.2">
      <c r="A73" s="14"/>
      <c r="B73" s="8" t="s">
        <v>1234</v>
      </c>
      <c r="C73" s="11">
        <v>0</v>
      </c>
      <c r="D73" s="11">
        <v>14062</v>
      </c>
      <c r="E73" s="11">
        <v>14062</v>
      </c>
      <c r="F73" s="11">
        <v>14062</v>
      </c>
      <c r="G73" s="11">
        <v>14062</v>
      </c>
      <c r="H73" s="57"/>
      <c r="I73" s="7"/>
      <c r="J73" s="2"/>
      <c r="K73" s="7"/>
      <c r="L73" s="7"/>
      <c r="M73" s="7"/>
      <c r="N73" s="7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t="13.5" customHeight="1" x14ac:dyDescent="0.2">
      <c r="A74" s="14"/>
      <c r="B74" s="8" t="s">
        <v>1243</v>
      </c>
      <c r="C74" s="11">
        <v>0</v>
      </c>
      <c r="D74" s="11">
        <v>27323</v>
      </c>
      <c r="E74" s="11">
        <v>27323</v>
      </c>
      <c r="F74" s="11">
        <v>27323</v>
      </c>
      <c r="G74" s="11">
        <v>27323</v>
      </c>
      <c r="H74" s="57"/>
      <c r="I74" s="7"/>
      <c r="J74" s="7"/>
      <c r="K74" s="7"/>
      <c r="L74" s="7"/>
      <c r="M74" s="7"/>
      <c r="N74" s="7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t="13.5" customHeight="1" x14ac:dyDescent="0.2">
      <c r="A75" s="14"/>
      <c r="B75" s="8" t="s">
        <v>1245</v>
      </c>
      <c r="C75" s="11">
        <v>0</v>
      </c>
      <c r="D75" s="11">
        <v>26806</v>
      </c>
      <c r="E75" s="11">
        <f>26806+933</f>
        <v>27739</v>
      </c>
      <c r="F75" s="11">
        <f>26806+933</f>
        <v>27739</v>
      </c>
      <c r="G75" s="11">
        <f>26806+933</f>
        <v>27739</v>
      </c>
      <c r="H75" s="57"/>
      <c r="I75" s="7"/>
      <c r="J75" s="2"/>
      <c r="K75" s="7"/>
      <c r="L75" s="7"/>
      <c r="M75" s="7"/>
      <c r="N75" s="7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ht="13.5" customHeight="1" x14ac:dyDescent="0.2">
      <c r="A76" s="14"/>
      <c r="B76" s="8" t="s">
        <v>1338</v>
      </c>
      <c r="C76" s="11">
        <v>0</v>
      </c>
      <c r="D76" s="11">
        <v>0</v>
      </c>
      <c r="E76" s="11">
        <v>140012</v>
      </c>
      <c r="F76" s="11">
        <v>140012</v>
      </c>
      <c r="G76" s="11">
        <v>140012</v>
      </c>
      <c r="H76" s="57"/>
      <c r="I76" s="7"/>
      <c r="J76" s="2"/>
      <c r="K76" s="7"/>
      <c r="L76" s="7"/>
      <c r="M76" s="7"/>
      <c r="N76" s="7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ht="13.5" customHeight="1" x14ac:dyDescent="0.2">
      <c r="A77" s="14"/>
      <c r="B77" s="8"/>
      <c r="C77" s="11"/>
      <c r="D77" s="11"/>
      <c r="E77" s="11"/>
      <c r="F77" s="11"/>
      <c r="G77" s="11"/>
      <c r="H77" s="57"/>
      <c r="I77" s="7"/>
      <c r="J77" s="2"/>
      <c r="K77" s="7"/>
      <c r="L77" s="7"/>
      <c r="M77" s="7"/>
      <c r="N77" s="7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ht="15" x14ac:dyDescent="0.25">
      <c r="A78" s="14" t="s">
        <v>369</v>
      </c>
      <c r="B78" s="570" t="s">
        <v>13</v>
      </c>
      <c r="C78" s="572">
        <f>SUM(C79:C81)</f>
        <v>143582</v>
      </c>
      <c r="D78" s="572">
        <f>SUM(D79:D81)</f>
        <v>369783</v>
      </c>
      <c r="E78" s="572">
        <f>SUM(E79:E81)</f>
        <v>259308</v>
      </c>
      <c r="F78" s="572">
        <f>SUM(F79:F81)</f>
        <v>258631</v>
      </c>
      <c r="G78" s="572">
        <f>SUM(G79:G81)</f>
        <v>259308</v>
      </c>
      <c r="H78" s="57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ht="13.5" customHeight="1" x14ac:dyDescent="0.2">
      <c r="A79" s="8" t="s">
        <v>1106</v>
      </c>
      <c r="B79" s="20" t="s">
        <v>1190</v>
      </c>
      <c r="C79" s="13">
        <v>0</v>
      </c>
      <c r="D79" s="13">
        <v>0</v>
      </c>
      <c r="E79" s="13">
        <v>362</v>
      </c>
      <c r="F79" s="13">
        <v>362</v>
      </c>
      <c r="G79" s="13">
        <v>362</v>
      </c>
      <c r="H79" s="57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ht="13.5" customHeight="1" x14ac:dyDescent="0.2">
      <c r="A80" s="8" t="s">
        <v>1118</v>
      </c>
      <c r="B80" s="20" t="s">
        <v>1191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57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x14ac:dyDescent="0.2">
      <c r="A81" s="14"/>
      <c r="B81" s="8" t="s">
        <v>1390</v>
      </c>
      <c r="C81" s="13">
        <f>(50000+144410+874-52097-2000-5+3945-45-1500)</f>
        <v>143582</v>
      </c>
      <c r="D81" s="13">
        <f>(50000+144410+874-52097-2000-5+3945-45-1500)-69-27-224-849-219+227589</f>
        <v>369783</v>
      </c>
      <c r="E81" s="13">
        <f>((50000+144410+874-52097-2000-5+3945-45-1500)-69-27-224-849-219+227589)-140012+29537-362</f>
        <v>258946</v>
      </c>
      <c r="F81" s="13">
        <f>(((50000+144410+874-52097-2000-5+3945-45-1500)-69-27-224-849-219+227589)-140012+29537-362)-223-454</f>
        <v>258269</v>
      </c>
      <c r="G81" s="13">
        <f>((50000+144410+874-52097-2000-5+3945-45-1500)-69-27-224-849-219+227589)-140012+29537-362</f>
        <v>258946</v>
      </c>
      <c r="H81" s="57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hidden="1" x14ac:dyDescent="0.2">
      <c r="A82" s="14"/>
      <c r="B82" s="8" t="s">
        <v>1038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57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ht="15.75" x14ac:dyDescent="0.2">
      <c r="A83" s="14" t="s">
        <v>208</v>
      </c>
      <c r="B83" s="189" t="s">
        <v>358</v>
      </c>
      <c r="C83" s="537">
        <f>SUM(C84+C87+C88)</f>
        <v>58156</v>
      </c>
      <c r="D83" s="537">
        <f>SUM(D84+D87+D88)</f>
        <v>58156</v>
      </c>
      <c r="E83" s="537">
        <f>SUM(E84+E87+E88)</f>
        <v>58156</v>
      </c>
      <c r="F83" s="537">
        <f>SUM(F84+F87+F88)</f>
        <v>58156</v>
      </c>
      <c r="G83" s="537">
        <f>SUM(G84+G87+G88)</f>
        <v>58156</v>
      </c>
      <c r="H83" s="56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5" customHeight="1" x14ac:dyDescent="0.2">
      <c r="A84" s="14"/>
      <c r="B84" s="191" t="s">
        <v>394</v>
      </c>
      <c r="C84" s="538">
        <f>SUM(C86)</f>
        <v>58156</v>
      </c>
      <c r="D84" s="538">
        <f>SUM(D86)</f>
        <v>58156</v>
      </c>
      <c r="E84" s="538">
        <f>SUM(E86)</f>
        <v>58156</v>
      </c>
      <c r="F84" s="538">
        <f>SUM(F86)</f>
        <v>58156</v>
      </c>
      <c r="G84" s="538">
        <f>SUM(G86)</f>
        <v>58156</v>
      </c>
      <c r="H84" s="56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3.5" hidden="1" customHeight="1" x14ac:dyDescent="0.2">
      <c r="A85" s="14"/>
      <c r="B85" s="226" t="s">
        <v>395</v>
      </c>
      <c r="C85" s="190"/>
      <c r="D85" s="190"/>
      <c r="E85" s="190"/>
      <c r="F85" s="190"/>
      <c r="G85" s="190"/>
      <c r="H85" s="56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3.5" customHeight="1" x14ac:dyDescent="0.2">
      <c r="A86" s="14"/>
      <c r="B86" s="226" t="s">
        <v>1165</v>
      </c>
      <c r="C86" s="83">
        <v>58156</v>
      </c>
      <c r="D86" s="83">
        <v>58156</v>
      </c>
      <c r="E86" s="83">
        <v>58156</v>
      </c>
      <c r="F86" s="83">
        <v>58156</v>
      </c>
      <c r="G86" s="83">
        <v>58156</v>
      </c>
      <c r="H86" s="56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5" customHeight="1" x14ac:dyDescent="0.2">
      <c r="A87" s="14"/>
      <c r="B87" s="191" t="s">
        <v>396</v>
      </c>
      <c r="C87" s="190">
        <v>0</v>
      </c>
      <c r="D87" s="190">
        <v>0</v>
      </c>
      <c r="E87" s="190">
        <v>0</v>
      </c>
      <c r="F87" s="190">
        <v>0</v>
      </c>
      <c r="G87" s="190">
        <v>0</v>
      </c>
      <c r="H87" s="56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15" customHeight="1" thickBot="1" x14ac:dyDescent="0.25">
      <c r="A88" s="22"/>
      <c r="B88" s="188" t="s">
        <v>397</v>
      </c>
      <c r="C88" s="177">
        <v>0</v>
      </c>
      <c r="D88" s="177">
        <v>0</v>
      </c>
      <c r="E88" s="177">
        <v>0</v>
      </c>
      <c r="F88" s="177">
        <v>0</v>
      </c>
      <c r="G88" s="177">
        <v>0</v>
      </c>
      <c r="H88" s="56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24" customHeight="1" thickBot="1" x14ac:dyDescent="0.4">
      <c r="A89" s="219"/>
      <c r="B89" s="254" t="s">
        <v>393</v>
      </c>
      <c r="C89" s="229">
        <f>SUM(C43+C83)</f>
        <v>1300382</v>
      </c>
      <c r="D89" s="229">
        <f>SUM(D43+D83)</f>
        <v>1605546</v>
      </c>
      <c r="E89" s="229">
        <f>SUM(E43+E83)</f>
        <v>1635083</v>
      </c>
      <c r="F89" s="229">
        <f>SUM(F43+F83)</f>
        <v>1635083</v>
      </c>
      <c r="G89" s="229">
        <f>SUM(G43+G83)</f>
        <v>1635083</v>
      </c>
      <c r="H89" s="60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5.75" hidden="1" customHeight="1" x14ac:dyDescent="0.2">
      <c r="B90" s="2"/>
      <c r="C90" s="7">
        <f>SUM(C42-C89)</f>
        <v>-41198</v>
      </c>
      <c r="D90" s="7">
        <f>SUM(D42-D89)</f>
        <v>-40290</v>
      </c>
      <c r="E90" s="7">
        <f>SUM(E42-E89)</f>
        <v>-35583</v>
      </c>
      <c r="F90" s="7">
        <f>SUM(F42-F89)</f>
        <v>-35583</v>
      </c>
      <c r="G90" s="7">
        <f>SUM(G42-G89)</f>
        <v>-35583</v>
      </c>
      <c r="H90" s="7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s="172" customFormat="1" ht="13.5" hidden="1" customHeight="1" x14ac:dyDescent="0.2">
      <c r="A91" s="90"/>
      <c r="B91" s="172" t="s">
        <v>346</v>
      </c>
      <c r="C91" s="37">
        <f>SUM(C42-C89)</f>
        <v>-41198</v>
      </c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</row>
    <row r="92" spans="1:42" s="172" customFormat="1" ht="13.5" hidden="1" customHeight="1" x14ac:dyDescent="0.2">
      <c r="A92" s="90"/>
      <c r="B92" s="267" t="s">
        <v>1166</v>
      </c>
      <c r="C92" s="37">
        <f>-SUM('8.Önk.'!AQ115)</f>
        <v>-174848</v>
      </c>
      <c r="D92" s="37"/>
      <c r="E92" s="37"/>
      <c r="F92" s="37"/>
      <c r="G92" s="37"/>
      <c r="H92" s="37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</row>
    <row r="93" spans="1:42" s="172" customFormat="1" ht="13.5" hidden="1" customHeight="1" x14ac:dyDescent="0.2">
      <c r="A93" s="90"/>
      <c r="B93" s="172" t="s">
        <v>1167</v>
      </c>
      <c r="C93" s="37">
        <f>-SUM('8.Önk.'!M141)</f>
        <v>-42467.24</v>
      </c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</row>
    <row r="94" spans="1:42" s="172" customFormat="1" ht="13.5" customHeight="1" x14ac:dyDescent="0.2">
      <c r="A94" s="90"/>
      <c r="C94" s="170"/>
      <c r="D94" s="17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</row>
    <row r="95" spans="1:42" s="172" customFormat="1" ht="13.5" customHeight="1" x14ac:dyDescent="0.2">
      <c r="A95" s="90"/>
      <c r="C95" s="17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</row>
    <row r="96" spans="1:42" s="172" customFormat="1" ht="13.5" customHeight="1" x14ac:dyDescent="0.2">
      <c r="A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</row>
    <row r="97" spans="1:42" s="172" customFormat="1" ht="13.5" customHeight="1" x14ac:dyDescent="0.2">
      <c r="A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</row>
    <row r="98" spans="1:42" s="172" customFormat="1" ht="13.5" customHeight="1" x14ac:dyDescent="0.2">
      <c r="A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</row>
    <row r="99" spans="1:42" s="172" customFormat="1" ht="13.5" customHeight="1" x14ac:dyDescent="0.2">
      <c r="A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</row>
    <row r="100" spans="1:42" s="172" customFormat="1" ht="13.5" customHeight="1" x14ac:dyDescent="0.2">
      <c r="A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</row>
    <row r="101" spans="1:42" s="172" customFormat="1" ht="13.5" customHeight="1" x14ac:dyDescent="0.2">
      <c r="A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</row>
    <row r="102" spans="1:42" s="172" customFormat="1" ht="13.5" customHeight="1" x14ac:dyDescent="0.2">
      <c r="A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</row>
    <row r="103" spans="1:42" s="172" customFormat="1" ht="13.5" customHeight="1" x14ac:dyDescent="0.2">
      <c r="A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0"/>
      <c r="AP103" s="90"/>
    </row>
    <row r="104" spans="1:42" s="172" customFormat="1" ht="13.5" customHeight="1" x14ac:dyDescent="0.2">
      <c r="A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</row>
    <row r="105" spans="1:42" s="172" customFormat="1" ht="13.5" customHeight="1" x14ac:dyDescent="0.2">
      <c r="A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</row>
    <row r="106" spans="1:42" s="172" customFormat="1" ht="13.5" customHeight="1" x14ac:dyDescent="0.2">
      <c r="A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</row>
    <row r="107" spans="1:42" ht="15.75" customHeight="1" x14ac:dyDescent="0.2">
      <c r="B107" s="2"/>
      <c r="C107" s="194"/>
      <c r="D107" s="194"/>
      <c r="E107" s="194"/>
      <c r="F107" s="194"/>
      <c r="G107" s="194"/>
      <c r="H107" s="19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15.75" customHeight="1" x14ac:dyDescent="0.2">
      <c r="B108" s="2"/>
      <c r="C108" s="7"/>
      <c r="D108" s="7"/>
      <c r="E108" s="7"/>
      <c r="F108" s="7"/>
      <c r="G108" s="7"/>
      <c r="H108" s="7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customHeight="1" x14ac:dyDescent="0.2">
      <c r="B109" s="2"/>
      <c r="C109" s="7"/>
      <c r="D109" s="7"/>
      <c r="E109" s="7"/>
      <c r="F109" s="7"/>
      <c r="G109" s="7"/>
      <c r="H109" s="7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ht="15.7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ht="15.7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ht="15.7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ht="15.7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ht="15.7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ht="15.7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ht="15.75" customHeight="1" x14ac:dyDescent="0.2">
      <c r="A116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ht="15.75" customHeight="1" x14ac:dyDescent="0.2">
      <c r="A11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ht="15.75" customHeight="1" x14ac:dyDescent="0.2">
      <c r="A11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ht="15.75" customHeight="1" x14ac:dyDescent="0.2">
      <c r="A119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ht="15.75" customHeight="1" x14ac:dyDescent="0.2">
      <c r="A12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ht="15.75" customHeight="1" x14ac:dyDescent="0.2">
      <c r="A12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ht="15.75" customHeight="1" x14ac:dyDescent="0.2">
      <c r="A12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ht="15.75" customHeight="1" x14ac:dyDescent="0.2">
      <c r="A12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ht="15.75" customHeight="1" x14ac:dyDescent="0.2">
      <c r="A12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ht="15.75" customHeight="1" x14ac:dyDescent="0.2">
      <c r="A12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ht="15.75" customHeight="1" x14ac:dyDescent="0.2">
      <c r="A126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 x14ac:dyDescent="0.2">
      <c r="A12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 x14ac:dyDescent="0.2">
      <c r="A12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 x14ac:dyDescent="0.2">
      <c r="A129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 x14ac:dyDescent="0.2">
      <c r="A13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 x14ac:dyDescent="0.2">
      <c r="A13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 x14ac:dyDescent="0.2">
      <c r="A13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 x14ac:dyDescent="0.2">
      <c r="A13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 x14ac:dyDescent="0.2">
      <c r="A13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 x14ac:dyDescent="0.2">
      <c r="A13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 x14ac:dyDescent="0.2">
      <c r="A136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 x14ac:dyDescent="0.2">
      <c r="A13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 x14ac:dyDescent="0.2">
      <c r="A138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 x14ac:dyDescent="0.2">
      <c r="A139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 x14ac:dyDescent="0.2">
      <c r="A14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 x14ac:dyDescent="0.2">
      <c r="A14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 x14ac:dyDescent="0.2">
      <c r="A14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 x14ac:dyDescent="0.2">
      <c r="A14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 x14ac:dyDescent="0.2">
      <c r="A14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 x14ac:dyDescent="0.2">
      <c r="A14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 x14ac:dyDescent="0.2">
      <c r="A146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 x14ac:dyDescent="0.2">
      <c r="A14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 x14ac:dyDescent="0.2">
      <c r="A148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 x14ac:dyDescent="0.2">
      <c r="A149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 x14ac:dyDescent="0.2">
      <c r="A15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 x14ac:dyDescent="0.2">
      <c r="A151"/>
      <c r="B151" s="2"/>
      <c r="C151" s="29"/>
      <c r="D151" s="29"/>
      <c r="E151" s="29"/>
      <c r="F151" s="29"/>
      <c r="G151" s="29"/>
      <c r="H151" s="29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 x14ac:dyDescent="0.2">
      <c r="A152"/>
      <c r="B152" s="2"/>
      <c r="C152" s="29"/>
      <c r="D152" s="29"/>
      <c r="E152" s="29"/>
      <c r="F152" s="29"/>
      <c r="G152" s="29"/>
      <c r="H152" s="29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 x14ac:dyDescent="0.2">
      <c r="A153"/>
      <c r="B153" s="2"/>
      <c r="C153" s="29"/>
      <c r="D153" s="29"/>
      <c r="E153" s="29"/>
      <c r="F153" s="29"/>
      <c r="G153" s="29"/>
      <c r="H153" s="29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 x14ac:dyDescent="0.2">
      <c r="A154"/>
      <c r="B154" s="2"/>
      <c r="C154" s="29"/>
      <c r="D154" s="29"/>
      <c r="E154" s="29"/>
      <c r="F154" s="29"/>
      <c r="G154" s="29"/>
      <c r="H154" s="29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 x14ac:dyDescent="0.2">
      <c r="A155"/>
      <c r="B155" s="2"/>
      <c r="C155" s="29"/>
      <c r="D155" s="29"/>
      <c r="E155" s="29"/>
      <c r="F155" s="29"/>
      <c r="G155" s="29"/>
      <c r="H155" s="29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 x14ac:dyDescent="0.2">
      <c r="A156"/>
      <c r="B156" s="2"/>
      <c r="C156" s="29"/>
      <c r="D156" s="29"/>
      <c r="E156" s="29"/>
      <c r="F156" s="29"/>
      <c r="G156" s="29"/>
      <c r="H156" s="29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 x14ac:dyDescent="0.2">
      <c r="A157"/>
      <c r="B157" s="2"/>
      <c r="C157" s="29"/>
      <c r="D157" s="29"/>
      <c r="E157" s="29"/>
      <c r="F157" s="29"/>
      <c r="G157" s="29"/>
      <c r="H157" s="29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 x14ac:dyDescent="0.2">
      <c r="A158"/>
      <c r="B158" s="2"/>
      <c r="C158" s="29"/>
      <c r="D158" s="29"/>
      <c r="E158" s="29"/>
      <c r="F158" s="29"/>
      <c r="G158" s="29"/>
      <c r="H158" s="29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 x14ac:dyDescent="0.2">
      <c r="A159"/>
      <c r="B159" s="2"/>
      <c r="C159" s="29"/>
      <c r="D159" s="29"/>
      <c r="E159" s="29"/>
      <c r="F159" s="29"/>
      <c r="G159" s="29"/>
      <c r="H159" s="29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 x14ac:dyDescent="0.2">
      <c r="A160"/>
      <c r="B160" s="2"/>
      <c r="C160" s="29"/>
      <c r="D160" s="29"/>
      <c r="E160" s="29"/>
      <c r="F160" s="29"/>
      <c r="G160" s="29"/>
      <c r="H160" s="29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 x14ac:dyDescent="0.2">
      <c r="A161"/>
      <c r="B161" s="2"/>
      <c r="C161" s="29"/>
      <c r="D161" s="29"/>
      <c r="E161" s="29"/>
      <c r="F161" s="29"/>
      <c r="G161" s="29"/>
      <c r="H161" s="29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 x14ac:dyDescent="0.2">
      <c r="A162"/>
      <c r="B162" s="2"/>
      <c r="C162" s="29"/>
      <c r="D162" s="29"/>
      <c r="E162" s="29"/>
      <c r="F162" s="29"/>
      <c r="G162" s="29"/>
      <c r="H162" s="29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 x14ac:dyDescent="0.2">
      <c r="A163"/>
      <c r="B163" s="2"/>
      <c r="C163" s="29"/>
      <c r="D163" s="29"/>
      <c r="E163" s="29"/>
      <c r="F163" s="29"/>
      <c r="G163" s="29"/>
      <c r="H163" s="29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 x14ac:dyDescent="0.2">
      <c r="A164"/>
      <c r="B164" s="2"/>
      <c r="C164" s="29"/>
      <c r="D164" s="29"/>
      <c r="E164" s="29"/>
      <c r="F164" s="29"/>
      <c r="G164" s="29"/>
      <c r="H164" s="29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 x14ac:dyDescent="0.2">
      <c r="A165"/>
      <c r="B165" s="2"/>
      <c r="C165" s="29"/>
      <c r="D165" s="29"/>
      <c r="E165" s="29"/>
      <c r="F165" s="29"/>
      <c r="G165" s="29"/>
      <c r="H165" s="29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 x14ac:dyDescent="0.2">
      <c r="A166"/>
      <c r="B166" s="2"/>
      <c r="C166" s="29"/>
      <c r="D166" s="29"/>
      <c r="E166" s="29"/>
      <c r="F166" s="29"/>
      <c r="G166" s="29"/>
      <c r="H166" s="29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 x14ac:dyDescent="0.2">
      <c r="A167"/>
      <c r="B167" s="2"/>
      <c r="C167" s="29"/>
      <c r="D167" s="29"/>
      <c r="E167" s="29"/>
      <c r="F167" s="29"/>
      <c r="G167" s="29"/>
      <c r="H167" s="29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 x14ac:dyDescent="0.2">
      <c r="A168"/>
      <c r="B168" s="2"/>
      <c r="C168" s="29"/>
      <c r="D168" s="29"/>
      <c r="E168" s="29"/>
      <c r="F168" s="29"/>
      <c r="G168" s="29"/>
      <c r="H168" s="29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 x14ac:dyDescent="0.2">
      <c r="A169"/>
      <c r="B169" s="2"/>
      <c r="C169" s="29"/>
      <c r="D169" s="29"/>
      <c r="E169" s="29"/>
      <c r="F169" s="29"/>
      <c r="G169" s="29"/>
      <c r="H169" s="29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 x14ac:dyDescent="0.2">
      <c r="A170"/>
      <c r="B170" s="2"/>
      <c r="C170" s="29"/>
      <c r="D170" s="29"/>
      <c r="E170" s="29"/>
      <c r="F170" s="29"/>
      <c r="G170" s="29"/>
      <c r="H170" s="29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 x14ac:dyDescent="0.2">
      <c r="A171"/>
      <c r="B171" s="2"/>
      <c r="C171" s="29"/>
      <c r="D171" s="29"/>
      <c r="E171" s="29"/>
      <c r="F171" s="29"/>
      <c r="G171" s="29"/>
      <c r="H171" s="29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 x14ac:dyDescent="0.2">
      <c r="A172"/>
      <c r="B172" s="2"/>
      <c r="C172" s="29"/>
      <c r="D172" s="29"/>
      <c r="E172" s="29"/>
      <c r="F172" s="29"/>
      <c r="G172" s="29"/>
      <c r="H172" s="29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 x14ac:dyDescent="0.2">
      <c r="A173"/>
      <c r="B173" s="2"/>
      <c r="C173" s="29"/>
      <c r="D173" s="29"/>
      <c r="E173" s="29"/>
      <c r="F173" s="29"/>
      <c r="G173" s="29"/>
      <c r="H173" s="29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 x14ac:dyDescent="0.2">
      <c r="A174"/>
      <c r="B174" s="2"/>
      <c r="C174" s="29"/>
      <c r="D174" s="29"/>
      <c r="E174" s="29"/>
      <c r="F174" s="29"/>
      <c r="G174" s="29"/>
      <c r="H174" s="29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 x14ac:dyDescent="0.2">
      <c r="A175"/>
      <c r="B175" s="2"/>
      <c r="C175" s="29"/>
      <c r="D175" s="29"/>
      <c r="E175" s="29"/>
      <c r="F175" s="29"/>
      <c r="G175" s="29"/>
      <c r="H175" s="29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 x14ac:dyDescent="0.2">
      <c r="A176"/>
      <c r="B176" s="2"/>
      <c r="C176" s="29"/>
      <c r="D176" s="29"/>
      <c r="E176" s="29"/>
      <c r="F176" s="29"/>
      <c r="G176" s="29"/>
      <c r="H176" s="29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 x14ac:dyDescent="0.2">
      <c r="A177"/>
      <c r="B177" s="2"/>
      <c r="C177" s="29"/>
      <c r="D177" s="29"/>
      <c r="E177" s="29"/>
      <c r="F177" s="29"/>
      <c r="G177" s="29"/>
      <c r="H177" s="29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 x14ac:dyDescent="0.2">
      <c r="A178"/>
      <c r="B178" s="2"/>
      <c r="C178" s="29"/>
      <c r="D178" s="29"/>
      <c r="E178" s="29"/>
      <c r="F178" s="29"/>
      <c r="G178" s="29"/>
      <c r="H178" s="29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 x14ac:dyDescent="0.2">
      <c r="A179"/>
      <c r="B179" s="2"/>
      <c r="C179" s="29"/>
      <c r="D179" s="29"/>
      <c r="E179" s="29"/>
      <c r="F179" s="29"/>
      <c r="G179" s="29"/>
      <c r="H179" s="29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 x14ac:dyDescent="0.2">
      <c r="A180"/>
      <c r="B180" s="2"/>
      <c r="C180" s="29"/>
      <c r="D180" s="29"/>
      <c r="E180" s="29"/>
      <c r="F180" s="29"/>
      <c r="G180" s="29"/>
      <c r="H180" s="29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 x14ac:dyDescent="0.2">
      <c r="A181"/>
      <c r="B181" s="2"/>
      <c r="C181" s="29"/>
      <c r="D181" s="29"/>
      <c r="E181" s="29"/>
      <c r="F181" s="29"/>
      <c r="G181" s="29"/>
      <c r="H181" s="29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 x14ac:dyDescent="0.2">
      <c r="A182"/>
      <c r="B182" s="2"/>
      <c r="C182" s="29"/>
      <c r="D182" s="29"/>
      <c r="E182" s="29"/>
      <c r="F182" s="29"/>
      <c r="G182" s="29"/>
      <c r="H182" s="29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 x14ac:dyDescent="0.2">
      <c r="A183"/>
      <c r="B183" s="2"/>
      <c r="C183" s="29"/>
      <c r="D183" s="29"/>
      <c r="E183" s="29"/>
      <c r="F183" s="29"/>
      <c r="G183" s="29"/>
      <c r="H183" s="29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 x14ac:dyDescent="0.2">
      <c r="A184"/>
      <c r="B184" s="2"/>
      <c r="C184" s="29"/>
      <c r="D184" s="29"/>
      <c r="E184" s="29"/>
      <c r="F184" s="29"/>
      <c r="G184" s="29"/>
      <c r="H184" s="29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 x14ac:dyDescent="0.2">
      <c r="A185"/>
      <c r="B185" s="2"/>
      <c r="C185" s="29"/>
      <c r="D185" s="29"/>
      <c r="E185" s="29"/>
      <c r="F185" s="29"/>
      <c r="G185" s="29"/>
      <c r="H185" s="29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 x14ac:dyDescent="0.2">
      <c r="A186"/>
      <c r="B186" s="2"/>
      <c r="C186" s="29"/>
      <c r="D186" s="29"/>
      <c r="E186" s="29"/>
      <c r="F186" s="29"/>
      <c r="G186" s="29"/>
      <c r="H186" s="29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 x14ac:dyDescent="0.2">
      <c r="A187"/>
      <c r="B187" s="2"/>
      <c r="C187" s="29"/>
      <c r="D187" s="29"/>
      <c r="E187" s="29"/>
      <c r="F187" s="29"/>
      <c r="G187" s="29"/>
      <c r="H187" s="29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 x14ac:dyDescent="0.2">
      <c r="A188"/>
      <c r="B188" s="2"/>
      <c r="C188" s="29"/>
      <c r="D188" s="29"/>
      <c r="E188" s="29"/>
      <c r="F188" s="29"/>
      <c r="G188" s="29"/>
      <c r="H188" s="29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 x14ac:dyDescent="0.2">
      <c r="A189"/>
      <c r="B189" s="2"/>
      <c r="C189" s="29"/>
      <c r="D189" s="29"/>
      <c r="E189" s="29"/>
      <c r="F189" s="29"/>
      <c r="G189" s="29"/>
      <c r="H189" s="29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 x14ac:dyDescent="0.2">
      <c r="A190"/>
      <c r="B190" s="2"/>
      <c r="C190" s="29"/>
      <c r="D190" s="29"/>
      <c r="E190" s="29"/>
      <c r="F190" s="29"/>
      <c r="G190" s="29"/>
      <c r="H190" s="29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 x14ac:dyDescent="0.2">
      <c r="A191"/>
      <c r="B191" s="2"/>
      <c r="C191" s="29"/>
      <c r="D191" s="29"/>
      <c r="E191" s="29"/>
      <c r="F191" s="29"/>
      <c r="G191" s="29"/>
      <c r="H191" s="29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 x14ac:dyDescent="0.2">
      <c r="A192"/>
      <c r="B192" s="2"/>
      <c r="C192" s="29"/>
      <c r="D192" s="29"/>
      <c r="E192" s="29"/>
      <c r="F192" s="29"/>
      <c r="G192" s="29"/>
      <c r="H192" s="29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 x14ac:dyDescent="0.2">
      <c r="A193"/>
      <c r="B193" s="2"/>
      <c r="C193" s="29"/>
      <c r="D193" s="29"/>
      <c r="E193" s="29"/>
      <c r="F193" s="29"/>
      <c r="G193" s="29"/>
      <c r="H193" s="29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 x14ac:dyDescent="0.2">
      <c r="A194"/>
      <c r="B194" s="2"/>
      <c r="C194" s="29"/>
      <c r="D194" s="29"/>
      <c r="E194" s="29"/>
      <c r="F194" s="29"/>
      <c r="G194" s="29"/>
      <c r="H194" s="29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 x14ac:dyDescent="0.2">
      <c r="A195"/>
      <c r="B195" s="2"/>
      <c r="C195" s="29"/>
      <c r="D195" s="29"/>
      <c r="E195" s="29"/>
      <c r="F195" s="29"/>
      <c r="G195" s="29"/>
      <c r="H195" s="29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 x14ac:dyDescent="0.2">
      <c r="A196"/>
      <c r="B196" s="2"/>
      <c r="C196" s="29"/>
      <c r="D196" s="29"/>
      <c r="E196" s="29"/>
      <c r="F196" s="29"/>
      <c r="G196" s="29"/>
      <c r="H196" s="29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 x14ac:dyDescent="0.2">
      <c r="A197"/>
      <c r="B197" s="2"/>
      <c r="C197" s="29"/>
      <c r="D197" s="29"/>
      <c r="E197" s="29"/>
      <c r="F197" s="29"/>
      <c r="G197" s="29"/>
      <c r="H197" s="29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 x14ac:dyDescent="0.2">
      <c r="A198"/>
      <c r="B198" s="2"/>
      <c r="C198" s="29"/>
      <c r="D198" s="29"/>
      <c r="E198" s="29"/>
      <c r="F198" s="29"/>
      <c r="G198" s="29"/>
      <c r="H198" s="29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 x14ac:dyDescent="0.2">
      <c r="A199"/>
      <c r="B199" s="2"/>
      <c r="C199" s="29"/>
      <c r="D199" s="29"/>
      <c r="E199" s="29"/>
      <c r="F199" s="29"/>
      <c r="G199" s="29"/>
      <c r="H199" s="29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 x14ac:dyDescent="0.2">
      <c r="A200"/>
      <c r="B200" s="2"/>
      <c r="C200" s="29"/>
      <c r="D200" s="29"/>
      <c r="E200" s="29"/>
      <c r="F200" s="29"/>
      <c r="G200" s="29"/>
      <c r="H200" s="29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 x14ac:dyDescent="0.2">
      <c r="A201"/>
      <c r="B201" s="2"/>
      <c r="C201" s="29"/>
      <c r="D201" s="29"/>
      <c r="E201" s="29"/>
      <c r="F201" s="29"/>
      <c r="G201" s="29"/>
      <c r="H201" s="29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 x14ac:dyDescent="0.2">
      <c r="A202"/>
      <c r="B202" s="2"/>
      <c r="C202" s="29"/>
      <c r="D202" s="29"/>
      <c r="E202" s="29"/>
      <c r="F202" s="29"/>
      <c r="G202" s="29"/>
      <c r="H202" s="29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 x14ac:dyDescent="0.2">
      <c r="A203"/>
      <c r="B203" s="2"/>
      <c r="C203" s="29"/>
      <c r="D203" s="29"/>
      <c r="E203" s="29"/>
      <c r="F203" s="29"/>
      <c r="G203" s="29"/>
      <c r="H203" s="29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 x14ac:dyDescent="0.2">
      <c r="A204"/>
      <c r="B204" s="2"/>
      <c r="C204" s="29"/>
      <c r="D204" s="29"/>
      <c r="E204" s="29"/>
      <c r="F204" s="29"/>
      <c r="G204" s="29"/>
      <c r="H204" s="29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 x14ac:dyDescent="0.2">
      <c r="A205"/>
      <c r="B205" s="2"/>
      <c r="C205" s="29"/>
      <c r="D205" s="29"/>
      <c r="E205" s="29"/>
      <c r="F205" s="29"/>
      <c r="G205" s="29"/>
      <c r="H205" s="29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 x14ac:dyDescent="0.2">
      <c r="A206"/>
      <c r="B206" s="2"/>
      <c r="C206" s="29"/>
      <c r="D206" s="29"/>
      <c r="E206" s="29"/>
      <c r="F206" s="29"/>
      <c r="G206" s="29"/>
      <c r="H206" s="29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 x14ac:dyDescent="0.2">
      <c r="A207"/>
      <c r="B207" s="2"/>
      <c r="C207" s="29"/>
      <c r="D207" s="29"/>
      <c r="E207" s="29"/>
      <c r="F207" s="29"/>
      <c r="G207" s="29"/>
      <c r="H207" s="29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 x14ac:dyDescent="0.2">
      <c r="A208"/>
      <c r="B208" s="2"/>
      <c r="C208" s="29"/>
      <c r="D208" s="29"/>
      <c r="E208" s="29"/>
      <c r="F208" s="29"/>
      <c r="G208" s="29"/>
      <c r="H208" s="29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 x14ac:dyDescent="0.2">
      <c r="A209"/>
      <c r="B209" s="2"/>
      <c r="C209" s="29"/>
      <c r="D209" s="29"/>
      <c r="E209" s="29"/>
      <c r="F209" s="29"/>
      <c r="G209" s="29"/>
      <c r="H209" s="29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 x14ac:dyDescent="0.2">
      <c r="A210"/>
      <c r="B210" s="2"/>
      <c r="C210" s="29"/>
      <c r="D210" s="29"/>
      <c r="E210" s="29"/>
      <c r="F210" s="29"/>
      <c r="G210" s="29"/>
      <c r="H210" s="29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 x14ac:dyDescent="0.2">
      <c r="A211"/>
      <c r="B211" s="2"/>
      <c r="C211" s="29"/>
      <c r="D211" s="29"/>
      <c r="E211" s="29"/>
      <c r="F211" s="29"/>
      <c r="G211" s="29"/>
      <c r="H211" s="29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 x14ac:dyDescent="0.2">
      <c r="A212"/>
      <c r="B212" s="2"/>
      <c r="C212" s="29"/>
      <c r="D212" s="29"/>
      <c r="E212" s="29"/>
      <c r="F212" s="29"/>
      <c r="G212" s="29"/>
      <c r="H212" s="29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 x14ac:dyDescent="0.2">
      <c r="A213"/>
      <c r="B213" s="2"/>
      <c r="C213" s="29"/>
      <c r="D213" s="29"/>
      <c r="E213" s="29"/>
      <c r="F213" s="29"/>
      <c r="G213" s="29"/>
      <c r="H213" s="29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 x14ac:dyDescent="0.2">
      <c r="A214"/>
      <c r="B214" s="2"/>
      <c r="C214" s="29"/>
      <c r="D214" s="29"/>
      <c r="E214" s="29"/>
      <c r="F214" s="29"/>
      <c r="G214" s="29"/>
      <c r="H214" s="29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 x14ac:dyDescent="0.2">
      <c r="A215"/>
      <c r="B215" s="2"/>
      <c r="C215" s="29"/>
      <c r="D215" s="29"/>
      <c r="E215" s="29"/>
      <c r="F215" s="29"/>
      <c r="G215" s="29"/>
      <c r="H215" s="29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 x14ac:dyDescent="0.2">
      <c r="A216"/>
      <c r="B216" s="2"/>
      <c r="C216" s="29"/>
      <c r="D216" s="29"/>
      <c r="E216" s="29"/>
      <c r="F216" s="29"/>
      <c r="G216" s="29"/>
      <c r="H216" s="29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 x14ac:dyDescent="0.2">
      <c r="A217"/>
      <c r="B217" s="2"/>
      <c r="C217" s="29"/>
      <c r="D217" s="29"/>
      <c r="E217" s="29"/>
      <c r="F217" s="29"/>
      <c r="G217" s="29"/>
      <c r="H217" s="29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 x14ac:dyDescent="0.2">
      <c r="A218"/>
      <c r="B218" s="2"/>
      <c r="C218" s="29"/>
      <c r="D218" s="29"/>
      <c r="E218" s="29"/>
      <c r="F218" s="29"/>
      <c r="G218" s="29"/>
      <c r="H218" s="29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 x14ac:dyDescent="0.2">
      <c r="A219"/>
      <c r="B219" s="2"/>
      <c r="C219" s="29"/>
      <c r="D219" s="29"/>
      <c r="E219" s="29"/>
      <c r="F219" s="29"/>
      <c r="G219" s="29"/>
      <c r="H219" s="29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 x14ac:dyDescent="0.2">
      <c r="A220"/>
      <c r="B220" s="2"/>
      <c r="C220" s="29"/>
      <c r="D220" s="29"/>
      <c r="E220" s="29"/>
      <c r="F220" s="29"/>
      <c r="G220" s="29"/>
      <c r="H220" s="29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 x14ac:dyDescent="0.2">
      <c r="A221"/>
      <c r="B221" s="2"/>
      <c r="C221" s="29"/>
      <c r="D221" s="29"/>
      <c r="E221" s="29"/>
      <c r="F221" s="29"/>
      <c r="G221" s="29"/>
      <c r="H221" s="29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 x14ac:dyDescent="0.2">
      <c r="A222"/>
      <c r="B222" s="2"/>
      <c r="C222" s="29"/>
      <c r="D222" s="29"/>
      <c r="E222" s="29"/>
      <c r="F222" s="29"/>
      <c r="G222" s="29"/>
      <c r="H222" s="29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 x14ac:dyDescent="0.2">
      <c r="A223"/>
      <c r="B223" s="2"/>
      <c r="C223" s="29"/>
      <c r="D223" s="29"/>
      <c r="E223" s="29"/>
      <c r="F223" s="29"/>
      <c r="G223" s="29"/>
      <c r="H223" s="29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 x14ac:dyDescent="0.2">
      <c r="A224"/>
      <c r="B224" s="2"/>
      <c r="C224" s="29"/>
      <c r="D224" s="29"/>
      <c r="E224" s="29"/>
      <c r="F224" s="29"/>
      <c r="G224" s="29"/>
      <c r="H224" s="29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 x14ac:dyDescent="0.2">
      <c r="A225"/>
      <c r="B225" s="2"/>
      <c r="C225" s="29"/>
      <c r="D225" s="29"/>
      <c r="E225" s="29"/>
      <c r="F225" s="29"/>
      <c r="G225" s="29"/>
      <c r="H225" s="29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 x14ac:dyDescent="0.2">
      <c r="A226"/>
      <c r="B226" s="2"/>
      <c r="C226" s="29"/>
      <c r="D226" s="29"/>
      <c r="E226" s="29"/>
      <c r="F226" s="29"/>
      <c r="G226" s="29"/>
      <c r="H226" s="29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 x14ac:dyDescent="0.2">
      <c r="A227"/>
      <c r="B227" s="2"/>
      <c r="C227" s="29"/>
      <c r="D227" s="29"/>
      <c r="E227" s="29"/>
      <c r="F227" s="29"/>
      <c r="G227" s="29"/>
      <c r="H227" s="29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 x14ac:dyDescent="0.2">
      <c r="A228"/>
      <c r="B228" s="2"/>
      <c r="C228" s="29"/>
      <c r="D228" s="29"/>
      <c r="E228" s="29"/>
      <c r="F228" s="29"/>
      <c r="G228" s="29"/>
      <c r="H228" s="29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 x14ac:dyDescent="0.2">
      <c r="A229"/>
      <c r="B229" s="2"/>
      <c r="C229" s="29"/>
      <c r="D229" s="29"/>
      <c r="E229" s="29"/>
      <c r="F229" s="29"/>
      <c r="G229" s="29"/>
      <c r="H229" s="29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 x14ac:dyDescent="0.2">
      <c r="A230"/>
      <c r="B230" s="2"/>
      <c r="C230" s="29"/>
      <c r="D230" s="29"/>
      <c r="E230" s="29"/>
      <c r="F230" s="29"/>
      <c r="G230" s="29"/>
      <c r="H230" s="29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 x14ac:dyDescent="0.2">
      <c r="A231"/>
      <c r="B231" s="2"/>
      <c r="C231" s="29"/>
      <c r="D231" s="29"/>
      <c r="E231" s="29"/>
      <c r="F231" s="29"/>
      <c r="G231" s="29"/>
      <c r="H231" s="29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 x14ac:dyDescent="0.2">
      <c r="A232"/>
      <c r="B232" s="2"/>
      <c r="C232" s="29"/>
      <c r="D232" s="29"/>
      <c r="E232" s="29"/>
      <c r="F232" s="29"/>
      <c r="G232" s="29"/>
      <c r="H232" s="29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 x14ac:dyDescent="0.2">
      <c r="A233"/>
      <c r="B233" s="2"/>
      <c r="C233" s="29"/>
      <c r="D233" s="29"/>
      <c r="E233" s="29"/>
      <c r="F233" s="29"/>
      <c r="G233" s="29"/>
      <c r="H233" s="29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 x14ac:dyDescent="0.2">
      <c r="A234"/>
      <c r="B234" s="2"/>
      <c r="C234" s="29"/>
      <c r="D234" s="29"/>
      <c r="E234" s="29"/>
      <c r="F234" s="29"/>
      <c r="G234" s="29"/>
      <c r="H234" s="29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 x14ac:dyDescent="0.2">
      <c r="A235"/>
      <c r="B235" s="2"/>
      <c r="C235" s="29"/>
      <c r="D235" s="29"/>
      <c r="E235" s="29"/>
      <c r="F235" s="29"/>
      <c r="G235" s="29"/>
      <c r="H235" s="29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 x14ac:dyDescent="0.2">
      <c r="A236"/>
      <c r="B236" s="2"/>
      <c r="C236" s="29"/>
      <c r="D236" s="29"/>
      <c r="E236" s="29"/>
      <c r="F236" s="29"/>
      <c r="G236" s="29"/>
      <c r="H236" s="29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 x14ac:dyDescent="0.2">
      <c r="A237"/>
      <c r="B237" s="2"/>
      <c r="C237" s="29"/>
      <c r="D237" s="29"/>
      <c r="E237" s="29"/>
      <c r="F237" s="29"/>
      <c r="G237" s="29"/>
      <c r="H237" s="29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 x14ac:dyDescent="0.2">
      <c r="A238"/>
      <c r="B238" s="2"/>
      <c r="C238" s="29"/>
      <c r="D238" s="29"/>
      <c r="E238" s="29"/>
      <c r="F238" s="29"/>
      <c r="G238" s="29"/>
      <c r="H238" s="29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 x14ac:dyDescent="0.2">
      <c r="A239"/>
      <c r="B239" s="2"/>
      <c r="C239" s="29"/>
      <c r="D239" s="29"/>
      <c r="E239" s="29"/>
      <c r="F239" s="29"/>
      <c r="G239" s="29"/>
      <c r="H239" s="29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 x14ac:dyDescent="0.2">
      <c r="A240"/>
      <c r="B240" s="2"/>
      <c r="C240" s="29"/>
      <c r="D240" s="29"/>
      <c r="E240" s="29"/>
      <c r="F240" s="29"/>
      <c r="G240" s="29"/>
      <c r="H240" s="29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1:42" ht="15.75" customHeight="1" x14ac:dyDescent="0.2">
      <c r="A241"/>
      <c r="B241" s="2"/>
      <c r="C241" s="29"/>
      <c r="D241" s="29"/>
      <c r="E241" s="29"/>
      <c r="F241" s="29"/>
      <c r="G241" s="29"/>
      <c r="H241" s="29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1:42" ht="15.75" customHeight="1" x14ac:dyDescent="0.2">
      <c r="A242"/>
      <c r="B242" s="2"/>
      <c r="C242" s="29"/>
      <c r="D242" s="29"/>
      <c r="E242" s="29"/>
      <c r="F242" s="29"/>
      <c r="G242" s="29"/>
      <c r="H242" s="29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1:42" ht="15.75" customHeight="1" x14ac:dyDescent="0.2">
      <c r="A243"/>
      <c r="B243" s="2"/>
      <c r="C243" s="29"/>
      <c r="D243" s="29"/>
      <c r="E243" s="29"/>
      <c r="F243" s="29"/>
      <c r="G243" s="29"/>
      <c r="H243" s="29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1:42" ht="15.75" customHeight="1" x14ac:dyDescent="0.2">
      <c r="A244"/>
      <c r="B244" s="2"/>
      <c r="C244" s="29"/>
      <c r="D244" s="29"/>
      <c r="E244" s="29"/>
      <c r="F244" s="29"/>
      <c r="G244" s="29"/>
      <c r="H244" s="29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1:42" ht="15.75" customHeight="1" x14ac:dyDescent="0.2">
      <c r="A245"/>
      <c r="B245" s="2"/>
      <c r="C245" s="29"/>
      <c r="D245" s="29"/>
      <c r="E245" s="29"/>
      <c r="F245" s="29"/>
      <c r="G245" s="29"/>
      <c r="H245" s="29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1:42" ht="15.75" customHeight="1" x14ac:dyDescent="0.2">
      <c r="A246"/>
      <c r="B246" s="2"/>
      <c r="C246" s="29"/>
      <c r="D246" s="29"/>
      <c r="E246" s="29"/>
      <c r="F246" s="29"/>
      <c r="G246" s="29"/>
      <c r="H246" s="29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1:42" ht="15.75" customHeight="1" x14ac:dyDescent="0.2">
      <c r="A247"/>
      <c r="B247" s="2"/>
      <c r="C247" s="29"/>
      <c r="D247" s="29"/>
      <c r="E247" s="29"/>
      <c r="F247" s="29"/>
      <c r="G247" s="29"/>
      <c r="H247" s="29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1:42" ht="15.75" customHeight="1" x14ac:dyDescent="0.2">
      <c r="A248"/>
      <c r="B248" s="2"/>
      <c r="C248" s="29"/>
      <c r="D248" s="29"/>
      <c r="E248" s="29"/>
      <c r="F248" s="29"/>
      <c r="G248" s="29"/>
      <c r="H248" s="29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1:42" ht="15.75" customHeight="1" x14ac:dyDescent="0.2">
      <c r="A249"/>
      <c r="B249" s="2"/>
      <c r="C249" s="29"/>
      <c r="D249" s="29"/>
      <c r="E249" s="29"/>
      <c r="F249" s="29"/>
      <c r="G249" s="29"/>
      <c r="H249" s="29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1:42" ht="15.75" customHeight="1" x14ac:dyDescent="0.2">
      <c r="A250"/>
      <c r="B250" s="2"/>
      <c r="C250" s="29"/>
      <c r="D250" s="29"/>
      <c r="E250" s="29"/>
      <c r="F250" s="29"/>
      <c r="G250" s="29"/>
      <c r="H250" s="29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1:42" ht="15.75" customHeight="1" x14ac:dyDescent="0.2">
      <c r="A251"/>
      <c r="B251" s="2"/>
      <c r="C251" s="29"/>
      <c r="D251" s="29"/>
      <c r="E251" s="29"/>
      <c r="F251" s="29"/>
      <c r="G251" s="29"/>
      <c r="H251" s="29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1:42" ht="15.75" customHeight="1" x14ac:dyDescent="0.2">
      <c r="A252"/>
      <c r="B252" s="2"/>
      <c r="C252" s="29"/>
      <c r="D252" s="29"/>
      <c r="E252" s="29"/>
      <c r="F252" s="29"/>
      <c r="G252" s="29"/>
      <c r="H252" s="29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1:42" ht="15.75" customHeight="1" x14ac:dyDescent="0.2">
      <c r="A253"/>
      <c r="B253" s="2"/>
      <c r="C253" s="29"/>
      <c r="D253" s="29"/>
      <c r="E253" s="29"/>
      <c r="F253" s="29"/>
      <c r="G253" s="29"/>
      <c r="H253" s="29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1:42" ht="15.75" customHeight="1" x14ac:dyDescent="0.2">
      <c r="A254"/>
      <c r="B254" s="2"/>
      <c r="C254" s="29"/>
      <c r="D254" s="29"/>
      <c r="E254" s="29"/>
      <c r="F254" s="29"/>
      <c r="G254" s="29"/>
      <c r="H254" s="29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1:42" ht="15.75" customHeight="1" x14ac:dyDescent="0.2">
      <c r="A255"/>
      <c r="B255" s="2"/>
      <c r="C255" s="29"/>
      <c r="D255" s="29"/>
      <c r="E255" s="29"/>
      <c r="F255" s="29"/>
      <c r="G255" s="29"/>
      <c r="H255" s="29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1:42" ht="15.75" customHeight="1" x14ac:dyDescent="0.2">
      <c r="A256"/>
      <c r="B256" s="2"/>
      <c r="C256" s="29"/>
      <c r="D256" s="29"/>
      <c r="E256" s="29"/>
      <c r="F256" s="29"/>
      <c r="G256" s="29"/>
      <c r="H256" s="29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1:42" ht="15.75" customHeight="1" x14ac:dyDescent="0.2">
      <c r="A257"/>
      <c r="B257" s="2"/>
      <c r="C257" s="29"/>
      <c r="D257" s="29"/>
      <c r="E257" s="29"/>
      <c r="F257" s="29"/>
      <c r="G257" s="29"/>
      <c r="H257" s="29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1:42" ht="15.75" customHeight="1" x14ac:dyDescent="0.2">
      <c r="A258"/>
      <c r="B258" s="2"/>
      <c r="C258" s="29"/>
      <c r="D258" s="29"/>
      <c r="E258" s="29"/>
      <c r="F258" s="29"/>
      <c r="G258" s="29"/>
      <c r="H258" s="29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1:42" ht="15.75" customHeight="1" x14ac:dyDescent="0.2">
      <c r="A259"/>
      <c r="B259" s="2"/>
      <c r="C259" s="29"/>
      <c r="D259" s="29"/>
      <c r="E259" s="29"/>
      <c r="F259" s="29"/>
      <c r="G259" s="29"/>
      <c r="H259" s="29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1:42" ht="15.75" customHeight="1" x14ac:dyDescent="0.2">
      <c r="A260"/>
      <c r="B260" s="2"/>
      <c r="C260" s="29"/>
      <c r="D260" s="29"/>
      <c r="E260" s="29"/>
      <c r="F260" s="29"/>
      <c r="G260" s="29"/>
      <c r="H260" s="29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1:42" ht="15.75" customHeight="1" x14ac:dyDescent="0.2">
      <c r="A261"/>
      <c r="B261" s="2"/>
      <c r="C261" s="29"/>
      <c r="D261" s="29"/>
      <c r="E261" s="29"/>
      <c r="F261" s="29"/>
      <c r="G261" s="29"/>
      <c r="H261" s="29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1:42" ht="15.75" customHeight="1" x14ac:dyDescent="0.2">
      <c r="A262"/>
      <c r="B262" s="2"/>
      <c r="C262" s="29"/>
      <c r="D262" s="29"/>
      <c r="E262" s="29"/>
      <c r="F262" s="29"/>
      <c r="G262" s="29"/>
      <c r="H262" s="29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1:42" ht="15.75" customHeight="1" x14ac:dyDescent="0.2">
      <c r="A263"/>
      <c r="B263" s="2"/>
      <c r="C263" s="29"/>
      <c r="D263" s="29"/>
      <c r="E263" s="29"/>
      <c r="F263" s="29"/>
      <c r="G263" s="29"/>
      <c r="H263" s="29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1:42" ht="15.75" customHeight="1" x14ac:dyDescent="0.2">
      <c r="A264"/>
      <c r="B264" s="2"/>
      <c r="C264" s="29"/>
      <c r="D264" s="29"/>
      <c r="E264" s="29"/>
      <c r="F264" s="29"/>
      <c r="G264" s="29"/>
      <c r="H264" s="29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1:42" ht="15.75" customHeight="1" x14ac:dyDescent="0.2">
      <c r="A265"/>
      <c r="B265" s="2"/>
      <c r="C265" s="29"/>
      <c r="D265" s="29"/>
      <c r="E265" s="29"/>
      <c r="F265" s="29"/>
      <c r="G265" s="29"/>
      <c r="H265" s="29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1:42" ht="15.75" customHeight="1" x14ac:dyDescent="0.2">
      <c r="A266"/>
      <c r="B266" s="2"/>
      <c r="C266" s="29"/>
      <c r="D266" s="29"/>
      <c r="E266" s="29"/>
      <c r="F266" s="29"/>
      <c r="G266" s="29"/>
      <c r="H266" s="29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1:42" ht="15.75" customHeight="1" x14ac:dyDescent="0.2">
      <c r="A267"/>
      <c r="B267" s="2"/>
      <c r="C267" s="29"/>
      <c r="D267" s="29"/>
      <c r="E267" s="29"/>
      <c r="F267" s="29"/>
      <c r="G267" s="29"/>
      <c r="H267" s="29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1:42" ht="15.75" customHeight="1" x14ac:dyDescent="0.2">
      <c r="A268"/>
      <c r="B268" s="2"/>
      <c r="C268" s="29"/>
      <c r="D268" s="29"/>
      <c r="E268" s="29"/>
      <c r="F268" s="29"/>
      <c r="G268" s="29"/>
      <c r="H268" s="29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1:42" ht="15.75" customHeight="1" x14ac:dyDescent="0.2">
      <c r="A269"/>
      <c r="B269" s="2"/>
      <c r="C269" s="29"/>
      <c r="D269" s="29"/>
      <c r="E269" s="29"/>
      <c r="F269" s="29"/>
      <c r="G269" s="29"/>
      <c r="H269" s="29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1:42" ht="15.75" customHeight="1" x14ac:dyDescent="0.2">
      <c r="A270"/>
      <c r="B270" s="2"/>
      <c r="C270" s="29"/>
      <c r="D270" s="29"/>
      <c r="E270" s="29"/>
      <c r="F270" s="29"/>
      <c r="G270" s="29"/>
      <c r="H270" s="29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1:42" ht="15.75" customHeight="1" x14ac:dyDescent="0.2">
      <c r="A271"/>
      <c r="B271" s="2"/>
      <c r="C271" s="29"/>
      <c r="D271" s="29"/>
      <c r="E271" s="29"/>
      <c r="F271" s="29"/>
      <c r="G271" s="29"/>
      <c r="H271" s="29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1:42" ht="15.75" customHeight="1" x14ac:dyDescent="0.2">
      <c r="A272"/>
      <c r="B272" s="2"/>
      <c r="C272" s="29"/>
      <c r="D272" s="29"/>
      <c r="E272" s="29"/>
      <c r="F272" s="29"/>
      <c r="G272" s="29"/>
      <c r="H272" s="29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1:42" ht="15.75" customHeight="1" x14ac:dyDescent="0.2">
      <c r="A273"/>
      <c r="B273" s="2"/>
      <c r="C273" s="29"/>
      <c r="D273" s="29"/>
      <c r="E273" s="29"/>
      <c r="F273" s="29"/>
      <c r="G273" s="29"/>
      <c r="H273" s="29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1:42" ht="15.75" customHeight="1" x14ac:dyDescent="0.2">
      <c r="A274"/>
      <c r="B274" s="2"/>
      <c r="C274" s="29"/>
      <c r="D274" s="29"/>
      <c r="E274" s="29"/>
      <c r="F274" s="29"/>
      <c r="G274" s="29"/>
      <c r="H274" s="29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1:42" ht="15.75" customHeight="1" x14ac:dyDescent="0.2">
      <c r="A275"/>
      <c r="B275" s="2"/>
      <c r="C275" s="29"/>
      <c r="D275" s="29"/>
      <c r="E275" s="29"/>
      <c r="F275" s="29"/>
      <c r="G275" s="29"/>
      <c r="H275" s="29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1:42" ht="15.75" customHeight="1" x14ac:dyDescent="0.2">
      <c r="A276"/>
      <c r="B276" s="2"/>
      <c r="C276" s="29"/>
      <c r="D276" s="29"/>
      <c r="E276" s="29"/>
      <c r="F276" s="29"/>
      <c r="G276" s="29"/>
      <c r="H276" s="29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1:42" ht="15.75" customHeight="1" x14ac:dyDescent="0.2">
      <c r="A277"/>
      <c r="B277" s="2"/>
      <c r="C277" s="29"/>
      <c r="D277" s="29"/>
      <c r="E277" s="29"/>
      <c r="F277" s="29"/>
      <c r="G277" s="29"/>
      <c r="H277" s="29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1:42" ht="15.75" customHeight="1" x14ac:dyDescent="0.2">
      <c r="A278"/>
      <c r="B278" s="2"/>
      <c r="C278" s="29"/>
      <c r="D278" s="29"/>
      <c r="E278" s="29"/>
      <c r="F278" s="29"/>
      <c r="G278" s="29"/>
      <c r="H278" s="29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1:42" ht="15.75" customHeight="1" x14ac:dyDescent="0.2">
      <c r="A279"/>
      <c r="B279" s="2"/>
      <c r="C279" s="29"/>
      <c r="D279" s="29"/>
      <c r="E279" s="29"/>
      <c r="F279" s="29"/>
      <c r="G279" s="29"/>
      <c r="H279" s="29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1:42" ht="15.75" customHeight="1" x14ac:dyDescent="0.2">
      <c r="A280"/>
      <c r="B280" s="2"/>
      <c r="C280" s="29"/>
      <c r="D280" s="29"/>
      <c r="E280" s="29"/>
      <c r="F280" s="29"/>
      <c r="G280" s="29"/>
      <c r="H280" s="29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1:42" ht="15.75" customHeight="1" x14ac:dyDescent="0.2">
      <c r="A281"/>
      <c r="B281" s="2"/>
      <c r="C281" s="29"/>
      <c r="D281" s="29"/>
      <c r="E281" s="29"/>
      <c r="F281" s="29"/>
      <c r="G281" s="29"/>
      <c r="H281" s="29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1:42" ht="15.75" customHeight="1" x14ac:dyDescent="0.2">
      <c r="A282"/>
      <c r="B282" s="2"/>
      <c r="C282" s="29"/>
      <c r="D282" s="29"/>
      <c r="E282" s="29"/>
      <c r="F282" s="29"/>
      <c r="G282" s="29"/>
      <c r="H282" s="29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1:42" ht="15.75" customHeight="1" x14ac:dyDescent="0.2">
      <c r="A283"/>
      <c r="B283" s="2"/>
      <c r="C283" s="29"/>
      <c r="D283" s="29"/>
      <c r="E283" s="29"/>
      <c r="F283" s="29"/>
      <c r="G283" s="29"/>
      <c r="H283" s="29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1:42" ht="15.75" customHeight="1" x14ac:dyDescent="0.2">
      <c r="A284"/>
      <c r="B284" s="2"/>
      <c r="C284" s="29"/>
      <c r="D284" s="29"/>
      <c r="E284" s="29"/>
      <c r="F284" s="29"/>
      <c r="G284" s="29"/>
      <c r="H284" s="29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1:42" ht="15.75" customHeight="1" x14ac:dyDescent="0.2">
      <c r="A285"/>
      <c r="B285" s="2"/>
      <c r="C285" s="29"/>
      <c r="D285" s="29"/>
      <c r="E285" s="29"/>
      <c r="F285" s="29"/>
      <c r="G285" s="29"/>
      <c r="H285" s="29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1:42" ht="15.75" customHeight="1" x14ac:dyDescent="0.2">
      <c r="A286"/>
      <c r="B286" s="2"/>
      <c r="C286" s="29"/>
      <c r="D286" s="29"/>
      <c r="E286" s="29"/>
      <c r="F286" s="29"/>
      <c r="G286" s="29"/>
      <c r="H286" s="29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1:42" ht="15.75" customHeight="1" x14ac:dyDescent="0.2">
      <c r="A287"/>
      <c r="B287" s="2"/>
      <c r="C287" s="29"/>
      <c r="D287" s="29"/>
      <c r="E287" s="29"/>
      <c r="F287" s="29"/>
      <c r="G287" s="29"/>
      <c r="H287" s="29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1:42" ht="15.75" customHeight="1" x14ac:dyDescent="0.2">
      <c r="A288"/>
      <c r="B288" s="2"/>
      <c r="C288" s="29"/>
      <c r="D288" s="29"/>
      <c r="E288" s="29"/>
      <c r="F288" s="29"/>
      <c r="G288" s="29"/>
      <c r="H288" s="29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1:42" ht="15.75" customHeight="1" x14ac:dyDescent="0.2">
      <c r="A289"/>
      <c r="B289" s="2"/>
      <c r="C289" s="29"/>
      <c r="D289" s="29"/>
      <c r="E289" s="29"/>
      <c r="F289" s="29"/>
      <c r="G289" s="29"/>
      <c r="H289" s="29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ht="15.75" customHeight="1" x14ac:dyDescent="0.2">
      <c r="A290"/>
      <c r="B290" s="2"/>
      <c r="C290" s="29"/>
      <c r="D290" s="29"/>
      <c r="E290" s="29"/>
      <c r="F290" s="29"/>
      <c r="G290" s="29"/>
      <c r="H290" s="29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1:42" ht="15.75" customHeight="1" x14ac:dyDescent="0.2">
      <c r="A291"/>
      <c r="B291" s="2"/>
      <c r="C291" s="29"/>
      <c r="D291" s="29"/>
      <c r="E291" s="29"/>
      <c r="F291" s="29"/>
      <c r="G291" s="29"/>
      <c r="H291" s="29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1:42" ht="15.75" customHeight="1" x14ac:dyDescent="0.2">
      <c r="A292"/>
      <c r="B292" s="2"/>
      <c r="C292" s="29"/>
      <c r="D292" s="29"/>
      <c r="E292" s="29"/>
      <c r="F292" s="29"/>
      <c r="G292" s="29"/>
      <c r="H292" s="29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1:42" ht="15.75" customHeight="1" x14ac:dyDescent="0.2">
      <c r="A293"/>
      <c r="B293" s="2"/>
      <c r="C293" s="29"/>
      <c r="D293" s="29"/>
      <c r="E293" s="29"/>
      <c r="F293" s="29"/>
      <c r="G293" s="29"/>
      <c r="H293" s="29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1:42" ht="15.75" customHeight="1" x14ac:dyDescent="0.2">
      <c r="A294"/>
      <c r="B294" s="2"/>
      <c r="C294" s="29"/>
      <c r="D294" s="29"/>
      <c r="E294" s="29"/>
      <c r="F294" s="29"/>
      <c r="G294" s="29"/>
      <c r="H294" s="29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1:42" ht="15.75" customHeight="1" x14ac:dyDescent="0.2">
      <c r="A295"/>
      <c r="B295" s="2"/>
      <c r="C295" s="29"/>
      <c r="D295" s="29"/>
      <c r="E295" s="29"/>
      <c r="F295" s="29"/>
      <c r="G295" s="29"/>
      <c r="H295" s="29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ht="15.75" customHeight="1" x14ac:dyDescent="0.2">
      <c r="A296"/>
      <c r="B296" s="2"/>
      <c r="C296" s="29"/>
      <c r="D296" s="29"/>
      <c r="E296" s="29"/>
      <c r="F296" s="29"/>
      <c r="G296" s="29"/>
      <c r="H296" s="29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1:42" ht="15.75" customHeight="1" x14ac:dyDescent="0.2">
      <c r="A297"/>
      <c r="B297" s="2"/>
      <c r="C297" s="29"/>
      <c r="D297" s="29"/>
      <c r="E297" s="29"/>
      <c r="F297" s="29"/>
      <c r="G297" s="29"/>
      <c r="H297" s="29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ht="15.75" customHeight="1" x14ac:dyDescent="0.2">
      <c r="A298"/>
      <c r="B298" s="2"/>
      <c r="C298" s="29"/>
      <c r="D298" s="29"/>
      <c r="E298" s="29"/>
      <c r="F298" s="29"/>
      <c r="G298" s="29"/>
      <c r="H298" s="29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ht="15.75" customHeight="1" x14ac:dyDescent="0.2">
      <c r="A299"/>
      <c r="B299" s="2"/>
      <c r="C299" s="29"/>
      <c r="D299" s="29"/>
      <c r="E299" s="29"/>
      <c r="F299" s="29"/>
      <c r="G299" s="29"/>
      <c r="H299" s="29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1:42" ht="15.75" customHeight="1" x14ac:dyDescent="0.2">
      <c r="A300"/>
      <c r="B300" s="2"/>
      <c r="C300" s="29"/>
      <c r="D300" s="29"/>
      <c r="E300" s="29"/>
      <c r="F300" s="29"/>
      <c r="G300" s="29"/>
      <c r="H300" s="29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1:42" ht="15.75" customHeight="1" x14ac:dyDescent="0.2">
      <c r="A301"/>
      <c r="B301" s="2"/>
      <c r="C301" s="29"/>
      <c r="D301" s="29"/>
      <c r="E301" s="29"/>
      <c r="F301" s="29"/>
      <c r="G301" s="29"/>
      <c r="H301" s="29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1:42" ht="15.75" customHeight="1" x14ac:dyDescent="0.2">
      <c r="A302"/>
      <c r="B302" s="2"/>
      <c r="C302" s="29"/>
      <c r="D302" s="29"/>
      <c r="E302" s="29"/>
      <c r="F302" s="29"/>
      <c r="G302" s="29"/>
      <c r="H302" s="29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1:42" ht="15.75" customHeight="1" x14ac:dyDescent="0.2">
      <c r="A303"/>
      <c r="B303" s="2"/>
      <c r="C303" s="29"/>
      <c r="D303" s="29"/>
      <c r="E303" s="29"/>
      <c r="F303" s="29"/>
      <c r="G303" s="29"/>
      <c r="H303" s="29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1:42" ht="15.75" customHeight="1" x14ac:dyDescent="0.2">
      <c r="A304"/>
      <c r="B304" s="2"/>
      <c r="C304" s="29"/>
      <c r="D304" s="29"/>
      <c r="E304" s="29"/>
      <c r="F304" s="29"/>
      <c r="G304" s="29"/>
      <c r="H304" s="29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1:42" ht="15.75" customHeight="1" x14ac:dyDescent="0.2">
      <c r="A305"/>
      <c r="B305" s="2"/>
      <c r="C305" s="29"/>
      <c r="D305" s="29"/>
      <c r="E305" s="29"/>
      <c r="F305" s="29"/>
      <c r="G305" s="29"/>
      <c r="H305" s="29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1:42" ht="15.75" customHeight="1" x14ac:dyDescent="0.2">
      <c r="A306"/>
      <c r="B306" s="2"/>
      <c r="C306" s="29"/>
      <c r="D306" s="29"/>
      <c r="E306" s="29"/>
      <c r="F306" s="29"/>
      <c r="G306" s="29"/>
      <c r="H306" s="29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1:42" ht="15.75" customHeight="1" x14ac:dyDescent="0.2">
      <c r="A307"/>
      <c r="B307" s="2"/>
      <c r="C307" s="29"/>
      <c r="D307" s="29"/>
      <c r="E307" s="29"/>
      <c r="F307" s="29"/>
      <c r="G307" s="29"/>
      <c r="H307" s="29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1:42" ht="15.75" customHeight="1" x14ac:dyDescent="0.2">
      <c r="A308"/>
      <c r="B308" s="2"/>
      <c r="C308" s="29"/>
      <c r="D308" s="29"/>
      <c r="E308" s="29"/>
      <c r="F308" s="29"/>
      <c r="G308" s="29"/>
      <c r="H308" s="29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1:42" ht="15.75" customHeight="1" x14ac:dyDescent="0.2">
      <c r="A309"/>
      <c r="B309" s="2"/>
      <c r="C309" s="29"/>
      <c r="D309" s="29"/>
      <c r="E309" s="29"/>
      <c r="F309" s="29"/>
      <c r="G309" s="29"/>
      <c r="H309" s="29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1:42" ht="15.75" customHeight="1" x14ac:dyDescent="0.2">
      <c r="A310"/>
      <c r="B310" s="2"/>
      <c r="C310" s="29"/>
      <c r="D310" s="29"/>
      <c r="E310" s="29"/>
      <c r="F310" s="29"/>
      <c r="G310" s="29"/>
      <c r="H310" s="29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1:42" ht="15.75" customHeight="1" x14ac:dyDescent="0.2">
      <c r="A311"/>
      <c r="B311" s="2"/>
      <c r="C311" s="29"/>
      <c r="D311" s="29"/>
      <c r="E311" s="29"/>
      <c r="F311" s="29"/>
      <c r="G311" s="29"/>
      <c r="H311" s="29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1:42" ht="15.75" customHeight="1" x14ac:dyDescent="0.2">
      <c r="A312"/>
      <c r="B312" s="2"/>
      <c r="C312" s="29"/>
      <c r="D312" s="29"/>
      <c r="E312" s="29"/>
      <c r="F312" s="29"/>
      <c r="G312" s="29"/>
      <c r="H312" s="29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1:42" ht="15.75" customHeight="1" x14ac:dyDescent="0.2">
      <c r="A313"/>
      <c r="B313" s="2"/>
      <c r="C313" s="29"/>
      <c r="D313" s="29"/>
      <c r="E313" s="29"/>
      <c r="F313" s="29"/>
      <c r="G313" s="29"/>
      <c r="H313" s="29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1:42" ht="15.75" customHeight="1" x14ac:dyDescent="0.2">
      <c r="A314"/>
      <c r="B314" s="2"/>
      <c r="C314" s="29"/>
      <c r="D314" s="29"/>
      <c r="E314" s="29"/>
      <c r="F314" s="29"/>
      <c r="G314" s="29"/>
      <c r="H314" s="29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1:42" ht="15.75" customHeight="1" x14ac:dyDescent="0.2">
      <c r="A315"/>
      <c r="B315" s="2"/>
      <c r="C315" s="29"/>
      <c r="D315" s="29"/>
      <c r="E315" s="29"/>
      <c r="F315" s="29"/>
      <c r="G315" s="29"/>
      <c r="H315" s="29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1:42" ht="15.75" customHeight="1" x14ac:dyDescent="0.2">
      <c r="A316"/>
      <c r="B316" s="2"/>
      <c r="C316" s="29"/>
      <c r="D316" s="29"/>
      <c r="E316" s="29"/>
      <c r="F316" s="29"/>
      <c r="G316" s="29"/>
      <c r="H316" s="29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1:42" ht="15.75" customHeight="1" x14ac:dyDescent="0.2">
      <c r="A317"/>
      <c r="B317" s="2"/>
      <c r="C317" s="29"/>
      <c r="D317" s="29"/>
      <c r="E317" s="29"/>
      <c r="F317" s="29"/>
      <c r="G317" s="29"/>
      <c r="H317" s="29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1:42" ht="15.75" customHeight="1" x14ac:dyDescent="0.2">
      <c r="A318"/>
      <c r="B318" s="2"/>
      <c r="C318" s="29"/>
      <c r="D318" s="29"/>
      <c r="E318" s="29"/>
      <c r="F318" s="29"/>
      <c r="G318" s="29"/>
      <c r="H318" s="29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1:42" ht="15.75" customHeight="1" x14ac:dyDescent="0.2">
      <c r="A319"/>
      <c r="B319" s="2"/>
      <c r="C319" s="29"/>
      <c r="D319" s="29"/>
      <c r="E319" s="29"/>
      <c r="F319" s="29"/>
      <c r="G319" s="29"/>
      <c r="H319" s="29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1:42" ht="15.75" customHeight="1" x14ac:dyDescent="0.2">
      <c r="A320"/>
      <c r="B320" s="2"/>
      <c r="C320" s="29"/>
      <c r="D320" s="29"/>
      <c r="E320" s="29"/>
      <c r="F320" s="29"/>
      <c r="G320" s="29"/>
      <c r="H320" s="29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1:42" ht="15.75" customHeight="1" x14ac:dyDescent="0.2">
      <c r="A321"/>
      <c r="B321" s="2"/>
      <c r="C321" s="29"/>
      <c r="D321" s="29"/>
      <c r="E321" s="29"/>
      <c r="F321" s="29"/>
      <c r="G321" s="29"/>
      <c r="H321" s="29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1:42" ht="15.75" customHeight="1" x14ac:dyDescent="0.2">
      <c r="A322"/>
      <c r="B322" s="2"/>
      <c r="C322" s="29"/>
      <c r="D322" s="29"/>
      <c r="E322" s="29"/>
      <c r="F322" s="29"/>
      <c r="G322" s="29"/>
      <c r="H322" s="29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1:42" ht="15.75" customHeight="1" x14ac:dyDescent="0.2">
      <c r="A323"/>
      <c r="B323" s="2"/>
      <c r="C323" s="29"/>
      <c r="D323" s="29"/>
      <c r="E323" s="29"/>
      <c r="F323" s="29"/>
      <c r="G323" s="29"/>
      <c r="H323" s="29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1:42" ht="15.75" customHeight="1" x14ac:dyDescent="0.2">
      <c r="A324"/>
      <c r="B324" s="2"/>
      <c r="C324" s="29"/>
      <c r="D324" s="29"/>
      <c r="E324" s="29"/>
      <c r="F324" s="29"/>
      <c r="G324" s="29"/>
      <c r="H324" s="29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1:42" ht="15.75" customHeight="1" x14ac:dyDescent="0.2">
      <c r="A325"/>
      <c r="B325" s="2"/>
      <c r="C325" s="29"/>
      <c r="D325" s="29"/>
      <c r="E325" s="29"/>
      <c r="F325" s="29"/>
      <c r="G325" s="29"/>
      <c r="H325" s="29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1:42" ht="15.75" customHeight="1" x14ac:dyDescent="0.2">
      <c r="A326"/>
      <c r="B326" s="2"/>
      <c r="C326" s="29"/>
      <c r="D326" s="29"/>
      <c r="E326" s="29"/>
      <c r="F326" s="29"/>
      <c r="G326" s="29"/>
      <c r="H326" s="29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1:42" ht="15.75" customHeight="1" x14ac:dyDescent="0.2">
      <c r="A327"/>
      <c r="B327" s="2"/>
      <c r="C327" s="29"/>
      <c r="D327" s="29"/>
      <c r="E327" s="29"/>
      <c r="F327" s="29"/>
      <c r="G327" s="29"/>
      <c r="H327" s="29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1:42" ht="15.75" customHeight="1" x14ac:dyDescent="0.2">
      <c r="A328"/>
      <c r="B328" s="2"/>
      <c r="C328" s="29"/>
      <c r="D328" s="29"/>
      <c r="E328" s="29"/>
      <c r="F328" s="29"/>
      <c r="G328" s="29"/>
      <c r="H328" s="29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1:42" ht="15.75" customHeight="1" x14ac:dyDescent="0.2">
      <c r="A329"/>
      <c r="B329" s="2"/>
      <c r="C329" s="29"/>
      <c r="D329" s="29"/>
      <c r="E329" s="29"/>
      <c r="F329" s="29"/>
      <c r="G329" s="29"/>
      <c r="H329" s="29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1:42" ht="15.75" customHeight="1" x14ac:dyDescent="0.2">
      <c r="A330"/>
      <c r="B330" s="2"/>
      <c r="C330" s="29"/>
      <c r="D330" s="29"/>
      <c r="E330" s="29"/>
      <c r="F330" s="29"/>
      <c r="G330" s="29"/>
      <c r="H330" s="29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1:42" ht="15.75" customHeight="1" x14ac:dyDescent="0.2">
      <c r="A331"/>
      <c r="B331" s="2"/>
      <c r="C331" s="29"/>
      <c r="D331" s="29"/>
      <c r="E331" s="29"/>
      <c r="F331" s="29"/>
      <c r="G331" s="29"/>
      <c r="H331" s="29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1:42" ht="15.75" customHeight="1" x14ac:dyDescent="0.2">
      <c r="A332"/>
      <c r="B332" s="2"/>
      <c r="C332" s="29"/>
      <c r="D332" s="29"/>
      <c r="E332" s="29"/>
      <c r="F332" s="29"/>
      <c r="G332" s="29"/>
      <c r="H332" s="29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1:42" ht="15.75" customHeight="1" x14ac:dyDescent="0.2">
      <c r="A333"/>
      <c r="B333" s="2"/>
      <c r="C333" s="29"/>
      <c r="D333" s="29"/>
      <c r="E333" s="29"/>
      <c r="F333" s="29"/>
      <c r="G333" s="29"/>
      <c r="H333" s="29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1:42" ht="15.75" customHeight="1" x14ac:dyDescent="0.2">
      <c r="A334"/>
      <c r="B334" s="2"/>
      <c r="C334" s="29"/>
      <c r="D334" s="29"/>
      <c r="E334" s="29"/>
      <c r="F334" s="29"/>
      <c r="G334" s="29"/>
      <c r="H334" s="29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1:42" ht="15.75" customHeight="1" x14ac:dyDescent="0.2">
      <c r="A335"/>
      <c r="B335" s="2"/>
      <c r="C335" s="29"/>
      <c r="D335" s="29"/>
      <c r="E335" s="29"/>
      <c r="F335" s="29"/>
      <c r="G335" s="29"/>
      <c r="H335" s="29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1:42" ht="15.75" customHeight="1" x14ac:dyDescent="0.2">
      <c r="A336"/>
      <c r="B336" s="2"/>
      <c r="C336" s="29"/>
      <c r="D336" s="29"/>
      <c r="E336" s="29"/>
      <c r="F336" s="29"/>
      <c r="G336" s="29"/>
      <c r="H336" s="29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42" ht="15.75" customHeight="1" x14ac:dyDescent="0.2">
      <c r="A337"/>
      <c r="B337" s="2"/>
      <c r="C337" s="29"/>
      <c r="D337" s="29"/>
      <c r="E337" s="29"/>
      <c r="F337" s="29"/>
      <c r="G337" s="29"/>
      <c r="H337" s="29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1:42" ht="15.75" customHeight="1" x14ac:dyDescent="0.2">
      <c r="A338"/>
      <c r="B338" s="2"/>
      <c r="C338" s="29"/>
      <c r="D338" s="29"/>
      <c r="E338" s="29"/>
      <c r="F338" s="29"/>
      <c r="G338" s="29"/>
      <c r="H338" s="29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1:42" ht="15.75" customHeight="1" x14ac:dyDescent="0.2">
      <c r="A339"/>
      <c r="B339" s="2"/>
      <c r="C339" s="29"/>
      <c r="D339" s="29"/>
      <c r="E339" s="29"/>
      <c r="F339" s="29"/>
      <c r="G339" s="29"/>
      <c r="H339" s="29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1:42" ht="15.75" customHeight="1" x14ac:dyDescent="0.2">
      <c r="A340"/>
      <c r="B340" s="2"/>
      <c r="C340" s="29"/>
      <c r="D340" s="29"/>
      <c r="E340" s="29"/>
      <c r="F340" s="29"/>
      <c r="G340" s="29"/>
      <c r="H340" s="29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1:42" ht="15.75" customHeight="1" x14ac:dyDescent="0.2">
      <c r="A341"/>
      <c r="B341" s="2"/>
      <c r="C341" s="29"/>
      <c r="D341" s="29"/>
      <c r="E341" s="29"/>
      <c r="F341" s="29"/>
      <c r="G341" s="29"/>
      <c r="H341" s="29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1:42" ht="15.75" customHeight="1" x14ac:dyDescent="0.2">
      <c r="A342"/>
      <c r="B342" s="2"/>
      <c r="C342" s="29"/>
      <c r="D342" s="29"/>
      <c r="E342" s="29"/>
      <c r="F342" s="29"/>
      <c r="G342" s="29"/>
      <c r="H342" s="29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1:42" ht="15.75" customHeight="1" x14ac:dyDescent="0.2">
      <c r="A343"/>
      <c r="B343" s="2"/>
      <c r="C343" s="29"/>
      <c r="D343" s="29"/>
      <c r="E343" s="29"/>
      <c r="F343" s="29"/>
      <c r="G343" s="29"/>
      <c r="H343" s="29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1:42" ht="15.75" customHeight="1" x14ac:dyDescent="0.2">
      <c r="A344"/>
      <c r="B344" s="2"/>
      <c r="C344" s="29"/>
      <c r="D344" s="29"/>
      <c r="E344" s="29"/>
      <c r="F344" s="29"/>
      <c r="G344" s="29"/>
      <c r="H344" s="29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1:42" ht="15.75" customHeight="1" x14ac:dyDescent="0.2">
      <c r="A345"/>
      <c r="B345" s="2"/>
      <c r="C345" s="29"/>
      <c r="D345" s="29"/>
      <c r="E345" s="29"/>
      <c r="F345" s="29"/>
      <c r="G345" s="29"/>
      <c r="H345" s="29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1:42" ht="15.75" customHeight="1" x14ac:dyDescent="0.2">
      <c r="A346"/>
      <c r="B346" s="2"/>
      <c r="C346" s="29"/>
      <c r="D346" s="29"/>
      <c r="E346" s="29"/>
      <c r="F346" s="29"/>
      <c r="G346" s="29"/>
      <c r="H346" s="29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1:42" ht="15.75" customHeight="1" x14ac:dyDescent="0.2">
      <c r="A347"/>
      <c r="B347" s="2"/>
      <c r="C347" s="29"/>
      <c r="D347" s="29"/>
      <c r="E347" s="29"/>
      <c r="F347" s="29"/>
      <c r="G347" s="29"/>
      <c r="H347" s="29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ht="15.75" customHeight="1" x14ac:dyDescent="0.2">
      <c r="A348"/>
      <c r="B348" s="2"/>
      <c r="C348" s="29"/>
      <c r="D348" s="29"/>
      <c r="E348" s="29"/>
      <c r="F348" s="29"/>
      <c r="G348" s="29"/>
      <c r="H348" s="29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ht="15.75" customHeight="1" x14ac:dyDescent="0.2">
      <c r="A349"/>
      <c r="B349" s="2"/>
      <c r="C349" s="29"/>
      <c r="D349" s="29"/>
      <c r="E349" s="29"/>
      <c r="F349" s="29"/>
      <c r="G349" s="29"/>
      <c r="H349" s="29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ht="15.75" customHeight="1" x14ac:dyDescent="0.2">
      <c r="A350"/>
      <c r="B350" s="2"/>
      <c r="C350" s="29"/>
      <c r="D350" s="29"/>
      <c r="E350" s="29"/>
      <c r="F350" s="29"/>
      <c r="G350" s="29"/>
      <c r="H350" s="29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ht="15.75" customHeight="1" x14ac:dyDescent="0.2">
      <c r="A351"/>
      <c r="B351" s="2"/>
      <c r="C351" s="29"/>
      <c r="D351" s="29"/>
      <c r="E351" s="29"/>
      <c r="F351" s="29"/>
      <c r="G351" s="29"/>
      <c r="H351" s="29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ht="15.75" customHeight="1" x14ac:dyDescent="0.2">
      <c r="A352"/>
      <c r="B352" s="2"/>
      <c r="C352" s="29"/>
      <c r="D352" s="29"/>
      <c r="E352" s="29"/>
      <c r="F352" s="29"/>
      <c r="G352" s="29"/>
      <c r="H352" s="29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ht="15.75" customHeight="1" x14ac:dyDescent="0.2">
      <c r="A353"/>
      <c r="B353" s="2"/>
      <c r="C353" s="29"/>
      <c r="D353" s="29"/>
      <c r="E353" s="29"/>
      <c r="F353" s="29"/>
      <c r="G353" s="29"/>
      <c r="H353" s="29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ht="15.75" customHeight="1" x14ac:dyDescent="0.2">
      <c r="A354"/>
      <c r="B354" s="2"/>
      <c r="C354" s="29"/>
      <c r="D354" s="29"/>
      <c r="E354" s="29"/>
      <c r="F354" s="29"/>
      <c r="G354" s="29"/>
      <c r="H354" s="29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ht="15.75" customHeight="1" x14ac:dyDescent="0.2">
      <c r="A355"/>
      <c r="B355" s="2"/>
      <c r="C355" s="29"/>
      <c r="D355" s="29"/>
      <c r="E355" s="29"/>
      <c r="F355" s="29"/>
      <c r="G355" s="29"/>
      <c r="H355" s="29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ht="15.75" customHeight="1" x14ac:dyDescent="0.2">
      <c r="A356"/>
      <c r="B356" s="2"/>
      <c r="C356" s="29"/>
      <c r="D356" s="29"/>
      <c r="E356" s="29"/>
      <c r="F356" s="29"/>
      <c r="G356" s="29"/>
      <c r="H356" s="29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ht="15.75" customHeight="1" x14ac:dyDescent="0.2">
      <c r="A357"/>
      <c r="B357" s="2"/>
      <c r="C357" s="29"/>
      <c r="D357" s="29"/>
      <c r="E357" s="29"/>
      <c r="F357" s="29"/>
      <c r="G357" s="29"/>
      <c r="H357" s="29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ht="15.75" customHeight="1" x14ac:dyDescent="0.2">
      <c r="A358"/>
      <c r="B358" s="2"/>
      <c r="C358" s="29"/>
      <c r="D358" s="29"/>
      <c r="E358" s="29"/>
      <c r="F358" s="29"/>
      <c r="G358" s="29"/>
      <c r="H358" s="29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ht="15.75" customHeight="1" x14ac:dyDescent="0.2">
      <c r="A359"/>
      <c r="B359" s="2"/>
      <c r="C359" s="29"/>
      <c r="D359" s="29"/>
      <c r="E359" s="29"/>
      <c r="F359" s="29"/>
      <c r="G359" s="29"/>
      <c r="H359" s="29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ht="15.75" customHeight="1" x14ac:dyDescent="0.2">
      <c r="A360"/>
      <c r="B360" s="2"/>
      <c r="C360" s="29"/>
      <c r="D360" s="29"/>
      <c r="E360" s="29"/>
      <c r="F360" s="29"/>
      <c r="G360" s="29"/>
      <c r="H360" s="29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1:42" ht="15.75" customHeight="1" x14ac:dyDescent="0.2">
      <c r="A361"/>
      <c r="B361" s="2"/>
      <c r="C361" s="29"/>
      <c r="D361" s="29"/>
      <c r="E361" s="29"/>
      <c r="F361" s="29"/>
      <c r="G361" s="29"/>
      <c r="H361" s="29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ht="15.75" customHeight="1" x14ac:dyDescent="0.2">
      <c r="A362"/>
      <c r="B362" s="2"/>
      <c r="C362" s="29"/>
      <c r="D362" s="29"/>
      <c r="E362" s="29"/>
      <c r="F362" s="29"/>
      <c r="G362" s="29"/>
      <c r="H362" s="29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ht="15.75" customHeight="1" x14ac:dyDescent="0.2">
      <c r="A363"/>
      <c r="B363" s="2"/>
      <c r="C363" s="29"/>
      <c r="D363" s="29"/>
      <c r="E363" s="29"/>
      <c r="F363" s="29"/>
      <c r="G363" s="29"/>
      <c r="H363" s="29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ht="15.75" customHeight="1" x14ac:dyDescent="0.2">
      <c r="A364"/>
      <c r="B364" s="2"/>
      <c r="C364" s="29"/>
      <c r="D364" s="29"/>
      <c r="E364" s="29"/>
      <c r="F364" s="29"/>
      <c r="G364" s="29"/>
      <c r="H364" s="29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ht="15.75" customHeight="1" x14ac:dyDescent="0.2">
      <c r="A365"/>
      <c r="B365" s="2"/>
      <c r="C365" s="29"/>
      <c r="D365" s="29"/>
      <c r="E365" s="29"/>
      <c r="F365" s="29"/>
      <c r="G365" s="29"/>
      <c r="H365" s="29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ht="15.75" customHeight="1" x14ac:dyDescent="0.2">
      <c r="A366"/>
      <c r="B366" s="2"/>
      <c r="C366" s="29"/>
      <c r="D366" s="29"/>
      <c r="E366" s="29"/>
      <c r="F366" s="29"/>
      <c r="G366" s="29"/>
      <c r="H366" s="29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ht="15.75" customHeight="1" x14ac:dyDescent="0.2">
      <c r="A367"/>
      <c r="B367" s="2"/>
      <c r="C367" s="29"/>
      <c r="D367" s="29"/>
      <c r="E367" s="29"/>
      <c r="F367" s="29"/>
      <c r="G367" s="29"/>
      <c r="H367" s="29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ht="15.75" customHeight="1" x14ac:dyDescent="0.2">
      <c r="A368"/>
      <c r="B368" s="2"/>
      <c r="C368" s="29"/>
      <c r="D368" s="29"/>
      <c r="E368" s="29"/>
      <c r="F368" s="29"/>
      <c r="G368" s="29"/>
      <c r="H368" s="29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ht="15.75" customHeight="1" x14ac:dyDescent="0.2">
      <c r="A369"/>
      <c r="B369" s="2"/>
      <c r="C369" s="29"/>
      <c r="D369" s="29"/>
      <c r="E369" s="29"/>
      <c r="F369" s="29"/>
      <c r="G369" s="29"/>
      <c r="H369" s="29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ht="15.75" customHeight="1" x14ac:dyDescent="0.2">
      <c r="A370"/>
      <c r="B370" s="2"/>
      <c r="C370" s="29"/>
      <c r="D370" s="29"/>
      <c r="E370" s="29"/>
      <c r="F370" s="29"/>
      <c r="G370" s="29"/>
      <c r="H370" s="29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ht="15.75" customHeight="1" x14ac:dyDescent="0.2">
      <c r="A371"/>
      <c r="B371" s="2"/>
      <c r="C371" s="29"/>
      <c r="D371" s="29"/>
      <c r="E371" s="29"/>
      <c r="F371" s="29"/>
      <c r="G371" s="29"/>
      <c r="H371" s="29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ht="15.75" customHeight="1" x14ac:dyDescent="0.2">
      <c r="A372"/>
      <c r="B372" s="2"/>
      <c r="C372" s="29"/>
      <c r="D372" s="29"/>
      <c r="E372" s="29"/>
      <c r="F372" s="29"/>
      <c r="G372" s="29"/>
      <c r="H372" s="29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ht="15.75" customHeight="1" x14ac:dyDescent="0.2">
      <c r="A373"/>
      <c r="B373" s="2"/>
      <c r="C373" s="29"/>
      <c r="D373" s="29"/>
      <c r="E373" s="29"/>
      <c r="F373" s="29"/>
      <c r="G373" s="29"/>
      <c r="H373" s="29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ht="15.75" customHeight="1" x14ac:dyDescent="0.2">
      <c r="A374"/>
      <c r="B374" s="2"/>
      <c r="C374" s="29"/>
      <c r="D374" s="29"/>
      <c r="E374" s="29"/>
      <c r="F374" s="29"/>
      <c r="G374" s="29"/>
      <c r="H374" s="29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1:42" ht="15.75" customHeight="1" x14ac:dyDescent="0.2">
      <c r="A375"/>
      <c r="B375" s="2"/>
      <c r="C375" s="29"/>
      <c r="D375" s="29"/>
      <c r="E375" s="29"/>
      <c r="F375" s="29"/>
      <c r="G375" s="29"/>
      <c r="H375" s="29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ht="15.75" customHeight="1" x14ac:dyDescent="0.2">
      <c r="A376"/>
      <c r="B376" s="2"/>
      <c r="C376" s="29"/>
      <c r="D376" s="29"/>
      <c r="E376" s="29"/>
      <c r="F376" s="29"/>
      <c r="G376" s="29"/>
      <c r="H376" s="29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ht="15.75" customHeight="1" x14ac:dyDescent="0.2">
      <c r="A377"/>
      <c r="B377" s="2"/>
      <c r="C377" s="29"/>
      <c r="D377" s="29"/>
      <c r="E377" s="29"/>
      <c r="F377" s="29"/>
      <c r="G377" s="29"/>
      <c r="H377" s="29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ht="15.75" customHeight="1" x14ac:dyDescent="0.2">
      <c r="A378"/>
      <c r="B378" s="2"/>
      <c r="C378" s="29"/>
      <c r="D378" s="29"/>
      <c r="E378" s="29"/>
      <c r="F378" s="29"/>
      <c r="G378" s="29"/>
      <c r="H378" s="29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1:42" ht="15.75" customHeight="1" x14ac:dyDescent="0.2">
      <c r="A379"/>
      <c r="B379" s="2"/>
      <c r="C379" s="29"/>
      <c r="D379" s="29"/>
      <c r="E379" s="29"/>
      <c r="F379" s="29"/>
      <c r="G379" s="29"/>
      <c r="H379" s="29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1:42" ht="15.75" customHeight="1" x14ac:dyDescent="0.2">
      <c r="A380"/>
      <c r="B380" s="2"/>
      <c r="C380" s="29"/>
      <c r="D380" s="29"/>
      <c r="E380" s="29"/>
      <c r="F380" s="29"/>
      <c r="G380" s="29"/>
      <c r="H380" s="29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ht="15.75" customHeight="1" x14ac:dyDescent="0.2">
      <c r="A381"/>
      <c r="B381" s="2"/>
      <c r="C381" s="29"/>
      <c r="D381" s="29"/>
      <c r="E381" s="29"/>
      <c r="F381" s="29"/>
      <c r="G381" s="29"/>
      <c r="H381" s="29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1:42" ht="15.75" customHeight="1" x14ac:dyDescent="0.2">
      <c r="A382"/>
      <c r="B382" s="2"/>
      <c r="C382" s="29"/>
      <c r="D382" s="29"/>
      <c r="E382" s="29"/>
      <c r="F382" s="29"/>
      <c r="G382" s="29"/>
      <c r="H382" s="29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ht="15.75" customHeight="1" x14ac:dyDescent="0.2">
      <c r="A383"/>
      <c r="B383" s="2"/>
      <c r="C383" s="29"/>
      <c r="D383" s="29"/>
      <c r="E383" s="29"/>
      <c r="F383" s="29"/>
      <c r="G383" s="29"/>
      <c r="H383" s="29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ht="15.75" customHeight="1" x14ac:dyDescent="0.2">
      <c r="A384"/>
      <c r="B384" s="2"/>
      <c r="C384" s="29"/>
      <c r="D384" s="29"/>
      <c r="E384" s="29"/>
      <c r="F384" s="29"/>
      <c r="G384" s="29"/>
      <c r="H384" s="29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ht="15.75" customHeight="1" x14ac:dyDescent="0.2">
      <c r="A385"/>
      <c r="B385" s="2"/>
      <c r="C385" s="29"/>
      <c r="D385" s="29"/>
      <c r="E385" s="29"/>
      <c r="F385" s="29"/>
      <c r="G385" s="29"/>
      <c r="H385" s="29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ht="15.75" customHeight="1" x14ac:dyDescent="0.2">
      <c r="A386"/>
      <c r="B386" s="2"/>
      <c r="C386" s="29"/>
      <c r="D386" s="29"/>
      <c r="E386" s="29"/>
      <c r="F386" s="29"/>
      <c r="G386" s="29"/>
      <c r="H386" s="29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ht="15.75" customHeight="1" x14ac:dyDescent="0.2">
      <c r="A387"/>
      <c r="B387" s="2"/>
      <c r="C387" s="29"/>
      <c r="D387" s="29"/>
      <c r="E387" s="29"/>
      <c r="F387" s="29"/>
      <c r="G387" s="29"/>
      <c r="H387" s="29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ht="15.75" customHeight="1" x14ac:dyDescent="0.2">
      <c r="A388"/>
      <c r="B388" s="2"/>
      <c r="C388" s="29"/>
      <c r="D388" s="29"/>
      <c r="E388" s="29"/>
      <c r="F388" s="29"/>
      <c r="G388" s="29"/>
      <c r="H388" s="29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ht="15.75" customHeight="1" x14ac:dyDescent="0.2">
      <c r="A389"/>
      <c r="B389" s="2"/>
      <c r="C389" s="29"/>
      <c r="D389" s="29"/>
      <c r="E389" s="29"/>
      <c r="F389" s="29"/>
      <c r="G389" s="29"/>
      <c r="H389" s="29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1:42" ht="15.75" customHeight="1" x14ac:dyDescent="0.2">
      <c r="A390"/>
      <c r="B390" s="2"/>
      <c r="C390" s="29"/>
      <c r="D390" s="29"/>
      <c r="E390" s="29"/>
      <c r="F390" s="29"/>
      <c r="G390" s="29"/>
      <c r="H390" s="29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ht="15.75" customHeight="1" x14ac:dyDescent="0.2">
      <c r="A391"/>
      <c r="B391" s="2"/>
      <c r="C391" s="29"/>
      <c r="D391" s="29"/>
      <c r="E391" s="29"/>
      <c r="F391" s="29"/>
      <c r="G391" s="29"/>
      <c r="H391" s="29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1:42" ht="15.75" customHeight="1" x14ac:dyDescent="0.2">
      <c r="A392"/>
      <c r="B392" s="2"/>
      <c r="C392" s="29"/>
      <c r="D392" s="29"/>
      <c r="E392" s="29"/>
      <c r="F392" s="29"/>
      <c r="G392" s="29"/>
      <c r="H392" s="29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ht="15.75" customHeight="1" x14ac:dyDescent="0.2">
      <c r="A393"/>
      <c r="B393" s="2"/>
      <c r="C393" s="29"/>
      <c r="D393" s="29"/>
      <c r="E393" s="29"/>
      <c r="F393" s="29"/>
      <c r="G393" s="29"/>
      <c r="H393" s="29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ht="15.75" customHeight="1" x14ac:dyDescent="0.2">
      <c r="A394"/>
      <c r="B394" s="2"/>
      <c r="C394" s="29"/>
      <c r="D394" s="29"/>
      <c r="E394" s="29"/>
      <c r="F394" s="29"/>
      <c r="G394" s="29"/>
      <c r="H394" s="29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ht="15.75" customHeight="1" x14ac:dyDescent="0.2">
      <c r="A395"/>
      <c r="B395" s="2"/>
      <c r="C395" s="29"/>
      <c r="D395" s="29"/>
      <c r="E395" s="29"/>
      <c r="F395" s="29"/>
      <c r="G395" s="29"/>
      <c r="H395" s="29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ht="15.75" customHeight="1" x14ac:dyDescent="0.2">
      <c r="A396"/>
      <c r="B396" s="2"/>
      <c r="C396" s="29"/>
      <c r="D396" s="29"/>
      <c r="E396" s="29"/>
      <c r="F396" s="29"/>
      <c r="G396" s="29"/>
      <c r="H396" s="29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ht="15.75" customHeight="1" x14ac:dyDescent="0.2">
      <c r="A397"/>
      <c r="B397" s="2"/>
      <c r="C397" s="29"/>
      <c r="D397" s="29"/>
      <c r="E397" s="29"/>
      <c r="F397" s="29"/>
      <c r="G397" s="29"/>
      <c r="H397" s="29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ht="15.75" customHeight="1" x14ac:dyDescent="0.2">
      <c r="A398"/>
      <c r="B398" s="2"/>
      <c r="C398" s="29"/>
      <c r="D398" s="29"/>
      <c r="E398" s="29"/>
      <c r="F398" s="29"/>
      <c r="G398" s="29"/>
      <c r="H398" s="29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ht="15.75" customHeight="1" x14ac:dyDescent="0.2">
      <c r="A399"/>
      <c r="B399" s="2"/>
      <c r="C399" s="29"/>
      <c r="D399" s="29"/>
      <c r="E399" s="29"/>
      <c r="F399" s="29"/>
      <c r="G399" s="29"/>
      <c r="H399" s="29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ht="15.75" customHeight="1" x14ac:dyDescent="0.2">
      <c r="A400"/>
      <c r="B400" s="2"/>
      <c r="C400" s="29"/>
      <c r="D400" s="29"/>
      <c r="E400" s="29"/>
      <c r="F400" s="29"/>
      <c r="G400" s="29"/>
      <c r="H400" s="29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ht="15.75" customHeight="1" x14ac:dyDescent="0.2">
      <c r="A401"/>
      <c r="B401" s="2"/>
      <c r="C401" s="29"/>
      <c r="D401" s="29"/>
      <c r="E401" s="29"/>
      <c r="F401" s="29"/>
      <c r="G401" s="29"/>
      <c r="H401" s="29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ht="15.75" customHeight="1" x14ac:dyDescent="0.2">
      <c r="A402"/>
      <c r="B402" s="2"/>
      <c r="C402" s="29"/>
      <c r="D402" s="29"/>
      <c r="E402" s="29"/>
      <c r="F402" s="29"/>
      <c r="G402" s="29"/>
      <c r="H402" s="29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ht="15.75" customHeight="1" x14ac:dyDescent="0.2">
      <c r="A403"/>
      <c r="B403" s="2"/>
      <c r="C403" s="29"/>
      <c r="D403" s="29"/>
      <c r="E403" s="29"/>
      <c r="F403" s="29"/>
      <c r="G403" s="29"/>
      <c r="H403" s="29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ht="15.75" customHeight="1" x14ac:dyDescent="0.2">
      <c r="A404"/>
      <c r="B404" s="2"/>
      <c r="C404" s="29"/>
      <c r="D404" s="29"/>
      <c r="E404" s="29"/>
      <c r="F404" s="29"/>
      <c r="G404" s="29"/>
      <c r="H404" s="29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ht="15.75" customHeight="1" x14ac:dyDescent="0.2">
      <c r="A405"/>
      <c r="B405" s="2"/>
      <c r="C405" s="29"/>
      <c r="D405" s="29"/>
      <c r="E405" s="29"/>
      <c r="F405" s="29"/>
      <c r="G405" s="29"/>
      <c r="H405" s="29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ht="15.75" customHeight="1" x14ac:dyDescent="0.2">
      <c r="A406"/>
      <c r="B406" s="2"/>
      <c r="C406" s="29"/>
      <c r="D406" s="29"/>
      <c r="E406" s="29"/>
      <c r="F406" s="29"/>
      <c r="G406" s="29"/>
      <c r="H406" s="29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ht="15.75" customHeight="1" x14ac:dyDescent="0.2">
      <c r="A407"/>
      <c r="B407" s="2"/>
      <c r="C407" s="29"/>
      <c r="D407" s="29"/>
      <c r="E407" s="29"/>
      <c r="F407" s="29"/>
      <c r="G407" s="29"/>
      <c r="H407" s="29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ht="15.75" customHeight="1" x14ac:dyDescent="0.2">
      <c r="A408"/>
      <c r="B408" s="2"/>
      <c r="C408" s="29"/>
      <c r="D408" s="29"/>
      <c r="E408" s="29"/>
      <c r="F408" s="29"/>
      <c r="G408" s="29"/>
      <c r="H408" s="29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ht="15.75" customHeight="1" x14ac:dyDescent="0.2">
      <c r="A409"/>
      <c r="B409" s="2"/>
      <c r="C409" s="29"/>
      <c r="D409" s="29"/>
      <c r="E409" s="29"/>
      <c r="F409" s="29"/>
      <c r="G409" s="29"/>
      <c r="H409" s="29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ht="15.75" customHeight="1" x14ac:dyDescent="0.2">
      <c r="A410"/>
      <c r="B410" s="2"/>
      <c r="C410" s="29"/>
      <c r="D410" s="29"/>
      <c r="E410" s="29"/>
      <c r="F410" s="29"/>
      <c r="G410" s="29"/>
      <c r="H410" s="29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1:42" ht="15.75" customHeight="1" x14ac:dyDescent="0.2">
      <c r="A411"/>
      <c r="B411" s="2"/>
      <c r="C411" s="29"/>
      <c r="D411" s="29"/>
      <c r="E411" s="29"/>
      <c r="F411" s="29"/>
      <c r="G411" s="29"/>
      <c r="H411" s="29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1:42" ht="15.75" customHeight="1" x14ac:dyDescent="0.2">
      <c r="A412"/>
      <c r="B412" s="2"/>
      <c r="C412" s="29"/>
      <c r="D412" s="29"/>
      <c r="E412" s="29"/>
      <c r="F412" s="29"/>
      <c r="G412" s="29"/>
      <c r="H412" s="29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1:42" ht="15.75" customHeight="1" x14ac:dyDescent="0.2">
      <c r="A413"/>
      <c r="B413" s="2"/>
      <c r="C413" s="29"/>
      <c r="D413" s="29"/>
      <c r="E413" s="29"/>
      <c r="F413" s="29"/>
      <c r="G413" s="29"/>
      <c r="H413" s="29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ht="15.75" customHeight="1" x14ac:dyDescent="0.2">
      <c r="A414"/>
      <c r="B414" s="2"/>
      <c r="C414" s="29"/>
      <c r="D414" s="29"/>
      <c r="E414" s="29"/>
      <c r="F414" s="29"/>
      <c r="G414" s="29"/>
      <c r="H414" s="29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ht="15.75" customHeight="1" x14ac:dyDescent="0.2">
      <c r="A415"/>
      <c r="B415" s="2"/>
      <c r="C415" s="29"/>
      <c r="D415" s="29"/>
      <c r="E415" s="29"/>
      <c r="F415" s="29"/>
      <c r="G415" s="29"/>
      <c r="H415" s="29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ht="15.75" customHeight="1" x14ac:dyDescent="0.2">
      <c r="A416"/>
      <c r="B416" s="2"/>
      <c r="C416" s="29"/>
      <c r="D416" s="29"/>
      <c r="E416" s="29"/>
      <c r="F416" s="29"/>
      <c r="G416" s="29"/>
      <c r="H416" s="29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ht="15.75" customHeight="1" x14ac:dyDescent="0.2">
      <c r="A417"/>
      <c r="B417" s="2"/>
      <c r="C417" s="29"/>
      <c r="D417" s="29"/>
      <c r="E417" s="29"/>
      <c r="F417" s="29"/>
      <c r="G417" s="29"/>
      <c r="H417" s="29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ht="15.75" customHeight="1" x14ac:dyDescent="0.2">
      <c r="A418"/>
      <c r="B418" s="2"/>
      <c r="C418" s="29"/>
      <c r="D418" s="29"/>
      <c r="E418" s="29"/>
      <c r="F418" s="29"/>
      <c r="G418" s="29"/>
      <c r="H418" s="29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1:42" ht="15.75" customHeight="1" x14ac:dyDescent="0.2">
      <c r="A419"/>
      <c r="B419" s="2"/>
      <c r="C419" s="29"/>
      <c r="D419" s="29"/>
      <c r="E419" s="29"/>
      <c r="F419" s="29"/>
      <c r="G419" s="29"/>
      <c r="H419" s="29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ht="15.75" customHeight="1" x14ac:dyDescent="0.2">
      <c r="A420"/>
      <c r="B420" s="2"/>
      <c r="C420" s="29"/>
      <c r="D420" s="29"/>
      <c r="E420" s="29"/>
      <c r="F420" s="29"/>
      <c r="G420" s="29"/>
      <c r="H420" s="29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ht="15.75" customHeight="1" x14ac:dyDescent="0.2">
      <c r="A421"/>
      <c r="B421" s="2"/>
      <c r="C421" s="29"/>
      <c r="D421" s="29"/>
      <c r="E421" s="29"/>
      <c r="F421" s="29"/>
      <c r="G421" s="29"/>
      <c r="H421" s="29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1:42" ht="15.75" customHeight="1" x14ac:dyDescent="0.2">
      <c r="A422"/>
      <c r="B422" s="2"/>
      <c r="C422" s="29"/>
      <c r="D422" s="29"/>
      <c r="E422" s="29"/>
      <c r="F422" s="29"/>
      <c r="G422" s="29"/>
      <c r="H422" s="29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ht="15.75" customHeight="1" x14ac:dyDescent="0.2">
      <c r="A423"/>
      <c r="B423" s="2"/>
      <c r="C423" s="29"/>
      <c r="D423" s="29"/>
      <c r="E423" s="29"/>
      <c r="F423" s="29"/>
      <c r="G423" s="29"/>
      <c r="H423" s="29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ht="15.75" customHeight="1" x14ac:dyDescent="0.2">
      <c r="A424"/>
      <c r="B424" s="2"/>
      <c r="C424" s="29"/>
      <c r="D424" s="29"/>
      <c r="E424" s="29"/>
      <c r="F424" s="29"/>
      <c r="G424" s="29"/>
      <c r="H424" s="29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ht="15.75" customHeight="1" x14ac:dyDescent="0.2">
      <c r="A425"/>
      <c r="B425" s="2"/>
      <c r="C425" s="29"/>
      <c r="D425" s="29"/>
      <c r="E425" s="29"/>
      <c r="F425" s="29"/>
      <c r="G425" s="29"/>
      <c r="H425" s="29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ht="15.75" customHeight="1" x14ac:dyDescent="0.2">
      <c r="A426"/>
      <c r="B426" s="2"/>
      <c r="C426" s="29"/>
      <c r="D426" s="29"/>
      <c r="E426" s="29"/>
      <c r="F426" s="29"/>
      <c r="G426" s="29"/>
      <c r="H426" s="29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ht="15.75" customHeight="1" x14ac:dyDescent="0.2">
      <c r="A427"/>
      <c r="B427" s="2"/>
      <c r="C427" s="29"/>
      <c r="D427" s="29"/>
      <c r="E427" s="29"/>
      <c r="F427" s="29"/>
      <c r="G427" s="29"/>
      <c r="H427" s="29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ht="15.75" customHeight="1" x14ac:dyDescent="0.2">
      <c r="A428"/>
      <c r="B428" s="2"/>
      <c r="C428" s="29"/>
      <c r="D428" s="29"/>
      <c r="E428" s="29"/>
      <c r="F428" s="29"/>
      <c r="G428" s="29"/>
      <c r="H428" s="29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ht="15.75" customHeight="1" x14ac:dyDescent="0.2">
      <c r="A429"/>
      <c r="B429" s="2"/>
      <c r="C429" s="29"/>
      <c r="D429" s="29"/>
      <c r="E429" s="29"/>
      <c r="F429" s="29"/>
      <c r="G429" s="29"/>
      <c r="H429" s="29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ht="15.75" customHeight="1" x14ac:dyDescent="0.2">
      <c r="A430"/>
      <c r="B430" s="2"/>
      <c r="C430" s="29"/>
      <c r="D430" s="29"/>
      <c r="E430" s="29"/>
      <c r="F430" s="29"/>
      <c r="G430" s="29"/>
      <c r="H430" s="29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ht="15.75" customHeight="1" x14ac:dyDescent="0.2">
      <c r="A431"/>
      <c r="B431" s="2"/>
      <c r="C431" s="29"/>
      <c r="D431" s="29"/>
      <c r="E431" s="29"/>
      <c r="F431" s="29"/>
      <c r="G431" s="29"/>
      <c r="H431" s="29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ht="15.75" customHeight="1" x14ac:dyDescent="0.2">
      <c r="A432"/>
      <c r="B432" s="2"/>
      <c r="C432" s="29"/>
      <c r="D432" s="29"/>
      <c r="E432" s="29"/>
      <c r="F432" s="29"/>
      <c r="G432" s="29"/>
      <c r="H432" s="29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1:42" ht="15.75" customHeight="1" x14ac:dyDescent="0.2">
      <c r="A433"/>
      <c r="B433" s="2"/>
      <c r="C433" s="29"/>
      <c r="D433" s="29"/>
      <c r="E433" s="29"/>
      <c r="F433" s="29"/>
      <c r="G433" s="29"/>
      <c r="H433" s="29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ht="15.75" customHeight="1" x14ac:dyDescent="0.2">
      <c r="A434"/>
      <c r="B434" s="2"/>
      <c r="C434" s="29"/>
      <c r="D434" s="29"/>
      <c r="E434" s="29"/>
      <c r="F434" s="29"/>
      <c r="G434" s="29"/>
      <c r="H434" s="29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ht="15.75" customHeight="1" x14ac:dyDescent="0.2">
      <c r="A435"/>
      <c r="B435" s="2"/>
      <c r="C435" s="29"/>
      <c r="D435" s="29"/>
      <c r="E435" s="29"/>
      <c r="F435" s="29"/>
      <c r="G435" s="29"/>
      <c r="H435" s="29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ht="15.75" customHeight="1" x14ac:dyDescent="0.2">
      <c r="A436"/>
      <c r="B436" s="2"/>
      <c r="C436" s="29"/>
      <c r="D436" s="29"/>
      <c r="E436" s="29"/>
      <c r="F436" s="29"/>
      <c r="G436" s="29"/>
      <c r="H436" s="29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ht="15.75" customHeight="1" x14ac:dyDescent="0.2">
      <c r="A437"/>
      <c r="B437" s="2"/>
      <c r="C437" s="29"/>
      <c r="D437" s="29"/>
      <c r="E437" s="29"/>
      <c r="F437" s="29"/>
      <c r="G437" s="29"/>
      <c r="H437" s="29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ht="15.75" customHeight="1" x14ac:dyDescent="0.2">
      <c r="A438"/>
      <c r="B438" s="2"/>
      <c r="C438" s="29"/>
      <c r="D438" s="29"/>
      <c r="E438" s="29"/>
      <c r="F438" s="29"/>
      <c r="G438" s="29"/>
      <c r="H438" s="29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ht="15.75" customHeight="1" x14ac:dyDescent="0.2">
      <c r="A439"/>
      <c r="B439" s="2"/>
      <c r="C439" s="29"/>
      <c r="D439" s="29"/>
      <c r="E439" s="29"/>
      <c r="F439" s="29"/>
      <c r="G439" s="29"/>
      <c r="H439" s="29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ht="15.75" customHeight="1" x14ac:dyDescent="0.2">
      <c r="A440"/>
      <c r="B440" s="2"/>
      <c r="C440" s="29"/>
      <c r="D440" s="29"/>
      <c r="E440" s="29"/>
      <c r="F440" s="29"/>
      <c r="G440" s="29"/>
      <c r="H440" s="29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ht="15.75" customHeight="1" x14ac:dyDescent="0.2">
      <c r="A441"/>
      <c r="B441" s="2"/>
      <c r="C441" s="29"/>
      <c r="D441" s="29"/>
      <c r="E441" s="29"/>
      <c r="F441" s="29"/>
      <c r="G441" s="29"/>
      <c r="H441" s="29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1:42" ht="15.75" customHeight="1" x14ac:dyDescent="0.2">
      <c r="A442"/>
      <c r="B442" s="2"/>
      <c r="C442" s="29"/>
      <c r="D442" s="29"/>
      <c r="E442" s="29"/>
      <c r="F442" s="29"/>
      <c r="G442" s="29"/>
      <c r="H442" s="29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ht="15.75" customHeight="1" x14ac:dyDescent="0.2">
      <c r="A443"/>
      <c r="B443" s="2"/>
      <c r="C443" s="29"/>
      <c r="D443" s="29"/>
      <c r="E443" s="29"/>
      <c r="F443" s="29"/>
      <c r="G443" s="29"/>
      <c r="H443" s="29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ht="15.75" customHeight="1" x14ac:dyDescent="0.2">
      <c r="A444"/>
      <c r="B444" s="2"/>
      <c r="C444" s="29"/>
      <c r="D444" s="29"/>
      <c r="E444" s="29"/>
      <c r="F444" s="29"/>
      <c r="G444" s="29"/>
      <c r="H444" s="29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1:42" ht="15.75" customHeight="1" x14ac:dyDescent="0.2">
      <c r="A445"/>
      <c r="B445" s="2"/>
      <c r="C445" s="29"/>
      <c r="D445" s="29"/>
      <c r="E445" s="29"/>
      <c r="F445" s="29"/>
      <c r="G445" s="29"/>
      <c r="H445" s="29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ht="15.75" customHeight="1" x14ac:dyDescent="0.2">
      <c r="A446"/>
      <c r="B446" s="2"/>
      <c r="C446" s="29"/>
      <c r="D446" s="29"/>
      <c r="E446" s="29"/>
      <c r="F446" s="29"/>
      <c r="G446" s="29"/>
      <c r="H446" s="29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ht="15.75" customHeight="1" x14ac:dyDescent="0.2">
      <c r="A447"/>
      <c r="B447" s="2"/>
      <c r="C447" s="29"/>
      <c r="D447" s="29"/>
      <c r="E447" s="29"/>
      <c r="F447" s="29"/>
      <c r="G447" s="29"/>
      <c r="H447" s="29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ht="15.75" customHeight="1" x14ac:dyDescent="0.2">
      <c r="A448"/>
      <c r="B448" s="2"/>
      <c r="C448" s="29"/>
      <c r="D448" s="29"/>
      <c r="E448" s="29"/>
      <c r="F448" s="29"/>
      <c r="G448" s="29"/>
      <c r="H448" s="29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ht="15.75" customHeight="1" x14ac:dyDescent="0.2">
      <c r="A449"/>
      <c r="B449" s="2"/>
      <c r="C449" s="29"/>
      <c r="D449" s="29"/>
      <c r="E449" s="29"/>
      <c r="F449" s="29"/>
      <c r="G449" s="29"/>
      <c r="H449" s="29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ht="15.75" customHeight="1" x14ac:dyDescent="0.2">
      <c r="A450"/>
      <c r="B450" s="2"/>
      <c r="C450" s="29"/>
      <c r="D450" s="29"/>
      <c r="E450" s="29"/>
      <c r="F450" s="29"/>
      <c r="G450" s="29"/>
      <c r="H450" s="29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ht="15.75" customHeight="1" x14ac:dyDescent="0.2">
      <c r="A451"/>
      <c r="B451" s="2"/>
      <c r="C451" s="29"/>
      <c r="D451" s="29"/>
      <c r="E451" s="29"/>
      <c r="F451" s="29"/>
      <c r="G451" s="29"/>
      <c r="H451" s="29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ht="15.75" customHeight="1" x14ac:dyDescent="0.2">
      <c r="A452"/>
      <c r="B452" s="2"/>
      <c r="C452" s="29"/>
      <c r="D452" s="29"/>
      <c r="E452" s="29"/>
      <c r="F452" s="29"/>
      <c r="G452" s="29"/>
      <c r="H452" s="29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ht="15.75" customHeight="1" x14ac:dyDescent="0.2">
      <c r="A453"/>
      <c r="B453" s="2"/>
      <c r="C453" s="29"/>
      <c r="D453" s="29"/>
      <c r="E453" s="29"/>
      <c r="F453" s="29"/>
      <c r="G453" s="29"/>
      <c r="H453" s="29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ht="15.75" customHeight="1" x14ac:dyDescent="0.2">
      <c r="A454"/>
      <c r="B454" s="2"/>
      <c r="C454" s="29"/>
      <c r="D454" s="29"/>
      <c r="E454" s="29"/>
      <c r="F454" s="29"/>
      <c r="G454" s="29"/>
      <c r="H454" s="29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ht="15.75" customHeight="1" x14ac:dyDescent="0.2">
      <c r="A455"/>
      <c r="B455" s="2"/>
      <c r="C455" s="29"/>
      <c r="D455" s="29"/>
      <c r="E455" s="29"/>
      <c r="F455" s="29"/>
      <c r="G455" s="29"/>
      <c r="H455" s="29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ht="15.75" customHeight="1" x14ac:dyDescent="0.2">
      <c r="A456"/>
      <c r="B456" s="2"/>
      <c r="C456" s="29"/>
      <c r="D456" s="29"/>
      <c r="E456" s="29"/>
      <c r="F456" s="29"/>
      <c r="G456" s="29"/>
      <c r="H456" s="29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1:42" ht="15.75" customHeight="1" x14ac:dyDescent="0.2">
      <c r="A457"/>
      <c r="B457" s="2"/>
      <c r="C457" s="29"/>
      <c r="D457" s="29"/>
      <c r="E457" s="29"/>
      <c r="F457" s="29"/>
      <c r="G457" s="29"/>
      <c r="H457" s="29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ht="15.75" customHeight="1" x14ac:dyDescent="0.2">
      <c r="A458"/>
      <c r="B458" s="2"/>
      <c r="C458" s="29"/>
      <c r="D458" s="29"/>
      <c r="E458" s="29"/>
      <c r="F458" s="29"/>
      <c r="G458" s="29"/>
      <c r="H458" s="29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1:42" ht="15.75" customHeight="1" x14ac:dyDescent="0.2">
      <c r="A459"/>
      <c r="B459" s="2"/>
      <c r="C459" s="29"/>
      <c r="D459" s="29"/>
      <c r="E459" s="29"/>
      <c r="F459" s="29"/>
      <c r="G459" s="29"/>
      <c r="H459" s="29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1:42" ht="15.75" customHeight="1" x14ac:dyDescent="0.2">
      <c r="A460"/>
      <c r="B460" s="2"/>
      <c r="C460" s="29"/>
      <c r="D460" s="29"/>
      <c r="E460" s="29"/>
      <c r="F460" s="29"/>
      <c r="G460" s="29"/>
      <c r="H460" s="29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1:42" ht="15.75" customHeight="1" x14ac:dyDescent="0.2">
      <c r="A461"/>
      <c r="B461" s="2"/>
      <c r="C461" s="29"/>
      <c r="D461" s="29"/>
      <c r="E461" s="29"/>
      <c r="F461" s="29"/>
      <c r="G461" s="29"/>
      <c r="H461" s="29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1:42" ht="15.75" customHeight="1" x14ac:dyDescent="0.2">
      <c r="A462"/>
      <c r="B462" s="2"/>
      <c r="C462" s="29"/>
      <c r="D462" s="29"/>
      <c r="E462" s="29"/>
      <c r="F462" s="29"/>
      <c r="G462" s="29"/>
      <c r="H462" s="29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1:42" ht="15.75" customHeight="1" x14ac:dyDescent="0.2">
      <c r="A463"/>
      <c r="B463" s="2"/>
      <c r="C463" s="29"/>
      <c r="D463" s="29"/>
      <c r="E463" s="29"/>
      <c r="F463" s="29"/>
      <c r="G463" s="29"/>
      <c r="H463" s="29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1:42" ht="15.75" customHeight="1" x14ac:dyDescent="0.2">
      <c r="A464"/>
      <c r="B464" s="2"/>
      <c r="C464" s="29"/>
      <c r="D464" s="29"/>
      <c r="E464" s="29"/>
      <c r="F464" s="29"/>
      <c r="G464" s="29"/>
      <c r="H464" s="29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1:42" ht="15.75" customHeight="1" x14ac:dyDescent="0.2">
      <c r="A465"/>
      <c r="B465" s="2"/>
      <c r="C465" s="29"/>
      <c r="D465" s="29"/>
      <c r="E465" s="29"/>
      <c r="F465" s="29"/>
      <c r="G465" s="29"/>
      <c r="H465" s="29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1:42" ht="15.75" customHeight="1" x14ac:dyDescent="0.2">
      <c r="A466"/>
      <c r="B466" s="2"/>
      <c r="C466" s="29"/>
      <c r="D466" s="29"/>
      <c r="E466" s="29"/>
      <c r="F466" s="29"/>
      <c r="G466" s="29"/>
      <c r="H466" s="29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1:42" ht="15.75" customHeight="1" x14ac:dyDescent="0.2">
      <c r="A467"/>
      <c r="B467" s="2"/>
      <c r="C467" s="29"/>
      <c r="D467" s="29"/>
      <c r="E467" s="29"/>
      <c r="F467" s="29"/>
      <c r="G467" s="29"/>
      <c r="H467" s="29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1:42" ht="15.75" customHeight="1" x14ac:dyDescent="0.2">
      <c r="A468"/>
      <c r="B468" s="2"/>
      <c r="C468" s="29"/>
      <c r="D468" s="29"/>
      <c r="E468" s="29"/>
      <c r="F468" s="29"/>
      <c r="G468" s="29"/>
      <c r="H468" s="29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1:42" ht="15.75" customHeight="1" x14ac:dyDescent="0.2">
      <c r="A469"/>
      <c r="B469" s="2"/>
      <c r="C469" s="29"/>
      <c r="D469" s="29"/>
      <c r="E469" s="29"/>
      <c r="F469" s="29"/>
      <c r="G469" s="29"/>
      <c r="H469" s="29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1:42" ht="15.75" customHeight="1" x14ac:dyDescent="0.2">
      <c r="A470"/>
      <c r="B470" s="2"/>
      <c r="C470" s="29"/>
      <c r="D470" s="29"/>
      <c r="E470" s="29"/>
      <c r="F470" s="29"/>
      <c r="G470" s="29"/>
      <c r="H470" s="29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1:42" ht="15.75" customHeight="1" x14ac:dyDescent="0.2">
      <c r="A471"/>
      <c r="B471" s="2"/>
      <c r="C471" s="29"/>
      <c r="D471" s="29"/>
      <c r="E471" s="29"/>
      <c r="F471" s="29"/>
      <c r="G471" s="29"/>
      <c r="H471" s="29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1:42" ht="15.75" customHeight="1" x14ac:dyDescent="0.2">
      <c r="A472"/>
      <c r="B472" s="2"/>
      <c r="C472" s="29"/>
      <c r="D472" s="29"/>
      <c r="E472" s="29"/>
      <c r="F472" s="29"/>
      <c r="G472" s="29"/>
      <c r="H472" s="29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1:42" ht="15.75" customHeight="1" x14ac:dyDescent="0.2">
      <c r="A473"/>
      <c r="B473" s="2"/>
      <c r="C473" s="29"/>
      <c r="D473" s="29"/>
      <c r="E473" s="29"/>
      <c r="F473" s="29"/>
      <c r="G473" s="29"/>
      <c r="H473" s="29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1:42" ht="15.75" customHeight="1" x14ac:dyDescent="0.2">
      <c r="A474"/>
      <c r="B474" s="2"/>
      <c r="C474" s="29"/>
      <c r="D474" s="29"/>
      <c r="E474" s="29"/>
      <c r="F474" s="29"/>
      <c r="G474" s="29"/>
      <c r="H474" s="29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1:42" ht="15.75" customHeight="1" x14ac:dyDescent="0.2">
      <c r="A475"/>
      <c r="B475" s="2"/>
      <c r="C475" s="29"/>
      <c r="D475" s="29"/>
      <c r="E475" s="29"/>
      <c r="F475" s="29"/>
      <c r="G475" s="29"/>
      <c r="H475" s="29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1:42" ht="15.75" customHeight="1" x14ac:dyDescent="0.2">
      <c r="A476"/>
      <c r="B476" s="2"/>
      <c r="C476" s="29"/>
      <c r="D476" s="29"/>
      <c r="E476" s="29"/>
      <c r="F476" s="29"/>
      <c r="G476" s="29"/>
      <c r="H476" s="29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1:42" ht="15.75" customHeight="1" x14ac:dyDescent="0.2">
      <c r="A477"/>
      <c r="B477" s="2"/>
      <c r="C477" s="29"/>
      <c r="D477" s="29"/>
      <c r="E477" s="29"/>
      <c r="F477" s="29"/>
      <c r="G477" s="29"/>
      <c r="H477" s="29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1:42" ht="15.75" customHeight="1" x14ac:dyDescent="0.2">
      <c r="A478"/>
      <c r="B478" s="2"/>
      <c r="C478" s="29"/>
      <c r="D478" s="29"/>
      <c r="E478" s="29"/>
      <c r="F478" s="29"/>
      <c r="G478" s="29"/>
      <c r="H478" s="29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1:42" ht="15.75" customHeight="1" x14ac:dyDescent="0.2">
      <c r="A479"/>
      <c r="B479" s="2"/>
      <c r="C479" s="29"/>
      <c r="D479" s="29"/>
      <c r="E479" s="29"/>
      <c r="F479" s="29"/>
      <c r="G479" s="29"/>
      <c r="H479" s="29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1:42" ht="15.75" customHeight="1" x14ac:dyDescent="0.2">
      <c r="A480"/>
      <c r="B480" s="2"/>
      <c r="C480" s="29"/>
      <c r="D480" s="29"/>
      <c r="E480" s="29"/>
      <c r="F480" s="29"/>
      <c r="G480" s="29"/>
      <c r="H480" s="29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1:42" ht="15.75" customHeight="1" x14ac:dyDescent="0.2">
      <c r="A481"/>
      <c r="B481" s="2"/>
      <c r="C481" s="29"/>
      <c r="D481" s="29"/>
      <c r="E481" s="29"/>
      <c r="F481" s="29"/>
      <c r="G481" s="29"/>
      <c r="H481" s="29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1:42" ht="15.75" customHeight="1" x14ac:dyDescent="0.2">
      <c r="A482"/>
      <c r="B482" s="2"/>
      <c r="C482" s="29"/>
      <c r="D482" s="29"/>
      <c r="E482" s="29"/>
      <c r="F482" s="29"/>
      <c r="G482" s="29"/>
      <c r="H482" s="29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1:42" ht="15.75" customHeight="1" x14ac:dyDescent="0.2">
      <c r="A483"/>
      <c r="B483" s="2"/>
      <c r="C483" s="29"/>
      <c r="D483" s="29"/>
      <c r="E483" s="29"/>
      <c r="F483" s="29"/>
      <c r="G483" s="29"/>
      <c r="H483" s="29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1:42" ht="15.75" customHeight="1" x14ac:dyDescent="0.2">
      <c r="A484"/>
      <c r="B484" s="2"/>
      <c r="C484" s="29"/>
      <c r="D484" s="29"/>
      <c r="E484" s="29"/>
      <c r="F484" s="29"/>
      <c r="G484" s="29"/>
      <c r="H484" s="29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1:42" ht="15.75" customHeight="1" x14ac:dyDescent="0.2">
      <c r="A485"/>
      <c r="B485" s="2"/>
      <c r="C485" s="29"/>
      <c r="D485" s="29"/>
      <c r="E485" s="29"/>
      <c r="F485" s="29"/>
      <c r="G485" s="29"/>
      <c r="H485" s="29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1:42" ht="15.75" customHeight="1" x14ac:dyDescent="0.2">
      <c r="A486"/>
      <c r="B486" s="2"/>
      <c r="C486" s="29"/>
      <c r="D486" s="29"/>
      <c r="E486" s="29"/>
      <c r="F486" s="29"/>
      <c r="G486" s="29"/>
      <c r="H486" s="29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1:42" ht="15.75" customHeight="1" x14ac:dyDescent="0.2">
      <c r="A487"/>
      <c r="B487" s="2"/>
      <c r="C487" s="29"/>
      <c r="D487" s="29"/>
      <c r="E487" s="29"/>
      <c r="F487" s="29"/>
      <c r="G487" s="29"/>
      <c r="H487" s="29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1:42" ht="15.75" customHeight="1" x14ac:dyDescent="0.2">
      <c r="A488"/>
      <c r="B488" s="2"/>
      <c r="C488" s="29"/>
      <c r="D488" s="29"/>
      <c r="E488" s="29"/>
      <c r="F488" s="29"/>
      <c r="G488" s="29"/>
      <c r="H488" s="29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1:42" ht="15.75" customHeight="1" x14ac:dyDescent="0.2">
      <c r="A489"/>
      <c r="B489" s="2"/>
      <c r="C489" s="29"/>
      <c r="D489" s="29"/>
      <c r="E489" s="29"/>
      <c r="F489" s="29"/>
      <c r="G489" s="29"/>
      <c r="H489" s="29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1:42" ht="15.75" customHeight="1" x14ac:dyDescent="0.2">
      <c r="A490"/>
      <c r="B490" s="2"/>
      <c r="C490" s="29"/>
      <c r="D490" s="29"/>
      <c r="E490" s="29"/>
      <c r="F490" s="29"/>
      <c r="G490" s="29"/>
      <c r="H490" s="29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1:42" ht="15.75" customHeight="1" x14ac:dyDescent="0.2">
      <c r="A491"/>
      <c r="B491" s="2"/>
      <c r="C491" s="29"/>
      <c r="D491" s="29"/>
      <c r="E491" s="29"/>
      <c r="F491" s="29"/>
      <c r="G491" s="29"/>
      <c r="H491" s="29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1:42" ht="15.75" customHeight="1" x14ac:dyDescent="0.2">
      <c r="A492"/>
      <c r="B492" s="2"/>
      <c r="C492" s="29"/>
      <c r="D492" s="29"/>
      <c r="E492" s="29"/>
      <c r="F492" s="29"/>
      <c r="G492" s="29"/>
      <c r="H492" s="29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1:42" ht="15.75" customHeight="1" x14ac:dyDescent="0.2">
      <c r="A493"/>
      <c r="B493" s="2"/>
      <c r="C493" s="29"/>
      <c r="D493" s="29"/>
      <c r="E493" s="29"/>
      <c r="F493" s="29"/>
      <c r="G493" s="29"/>
      <c r="H493" s="29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1:42" ht="15.75" customHeight="1" x14ac:dyDescent="0.2">
      <c r="A494"/>
      <c r="B494" s="2"/>
      <c r="C494" s="29"/>
      <c r="D494" s="29"/>
      <c r="E494" s="29"/>
      <c r="F494" s="29"/>
      <c r="G494" s="29"/>
      <c r="H494" s="29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1:42" ht="15.75" customHeight="1" x14ac:dyDescent="0.2">
      <c r="A495"/>
      <c r="B495" s="2"/>
      <c r="C495" s="29"/>
      <c r="D495" s="29"/>
      <c r="E495" s="29"/>
      <c r="F495" s="29"/>
      <c r="G495" s="29"/>
      <c r="H495" s="29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1:42" ht="15.75" customHeight="1" x14ac:dyDescent="0.2">
      <c r="A496"/>
      <c r="B496" s="2"/>
      <c r="C496" s="29"/>
      <c r="D496" s="29"/>
      <c r="E496" s="29"/>
      <c r="F496" s="29"/>
      <c r="G496" s="29"/>
      <c r="H496" s="29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1:42" ht="15.75" customHeight="1" x14ac:dyDescent="0.2">
      <c r="A497"/>
      <c r="B497" s="2"/>
      <c r="C497" s="29"/>
      <c r="D497" s="29"/>
      <c r="E497" s="29"/>
      <c r="F497" s="29"/>
      <c r="G497" s="29"/>
      <c r="H497" s="29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1:42" ht="15.75" customHeight="1" x14ac:dyDescent="0.2">
      <c r="A498"/>
      <c r="B498" s="2"/>
      <c r="C498" s="29"/>
      <c r="D498" s="29"/>
      <c r="E498" s="29"/>
      <c r="F498" s="29"/>
      <c r="G498" s="29"/>
      <c r="H498" s="29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1:42" ht="15.75" customHeight="1" x14ac:dyDescent="0.2">
      <c r="A499"/>
      <c r="B499" s="2"/>
      <c r="C499" s="29"/>
      <c r="D499" s="29"/>
      <c r="E499" s="29"/>
      <c r="F499" s="29"/>
      <c r="G499" s="29"/>
      <c r="H499" s="29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1:42" ht="15.75" customHeight="1" x14ac:dyDescent="0.2">
      <c r="A500"/>
      <c r="B500" s="2"/>
      <c r="C500" s="29"/>
      <c r="D500" s="29"/>
      <c r="E500" s="29"/>
      <c r="F500" s="29"/>
      <c r="G500" s="29"/>
      <c r="H500" s="29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1:42" ht="15.75" customHeight="1" x14ac:dyDescent="0.2">
      <c r="A501"/>
      <c r="B501" s="2"/>
      <c r="C501" s="29"/>
      <c r="D501" s="29"/>
      <c r="E501" s="29"/>
      <c r="F501" s="29"/>
      <c r="G501" s="29"/>
      <c r="H501" s="29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1:42" ht="15.75" customHeight="1" x14ac:dyDescent="0.2">
      <c r="A502"/>
      <c r="B502" s="2"/>
      <c r="C502" s="29"/>
      <c r="D502" s="29"/>
      <c r="E502" s="29"/>
      <c r="F502" s="29"/>
      <c r="G502" s="29"/>
      <c r="H502" s="29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1:42" ht="15.75" customHeight="1" x14ac:dyDescent="0.2">
      <c r="A503"/>
      <c r="B503" s="2"/>
      <c r="C503" s="29"/>
      <c r="D503" s="29"/>
      <c r="E503" s="29"/>
      <c r="F503" s="29"/>
      <c r="G503" s="29"/>
      <c r="H503" s="29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1:42" ht="15.75" customHeight="1" x14ac:dyDescent="0.2">
      <c r="A504"/>
      <c r="B504" s="2"/>
      <c r="C504" s="29"/>
      <c r="D504" s="29"/>
      <c r="E504" s="29"/>
      <c r="F504" s="29"/>
      <c r="G504" s="29"/>
      <c r="H504" s="29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1:42" ht="15.75" customHeight="1" x14ac:dyDescent="0.2">
      <c r="A505"/>
      <c r="B505" s="2"/>
      <c r="C505" s="29"/>
      <c r="D505" s="29"/>
      <c r="E505" s="29"/>
      <c r="F505" s="29"/>
      <c r="G505" s="29"/>
      <c r="H505" s="29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1:42" ht="15.75" customHeight="1" x14ac:dyDescent="0.2">
      <c r="A506"/>
      <c r="B506" s="2"/>
      <c r="C506" s="29"/>
      <c r="D506" s="29"/>
      <c r="E506" s="29"/>
      <c r="F506" s="29"/>
      <c r="G506" s="29"/>
      <c r="H506" s="29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1:42" ht="15.75" customHeight="1" x14ac:dyDescent="0.2">
      <c r="A507"/>
      <c r="B507" s="2"/>
      <c r="C507" s="29"/>
      <c r="D507" s="29"/>
      <c r="E507" s="29"/>
      <c r="F507" s="29"/>
      <c r="G507" s="29"/>
      <c r="H507" s="29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1:42" ht="15.75" customHeight="1" x14ac:dyDescent="0.2">
      <c r="A508"/>
      <c r="B508" s="2"/>
      <c r="C508" s="29"/>
      <c r="D508" s="29"/>
      <c r="E508" s="29"/>
      <c r="F508" s="29"/>
      <c r="G508" s="29"/>
      <c r="H508" s="29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1:42" ht="15.75" customHeight="1" x14ac:dyDescent="0.2">
      <c r="A509"/>
      <c r="B509" s="2"/>
      <c r="C509" s="29"/>
      <c r="D509" s="29"/>
      <c r="E509" s="29"/>
      <c r="F509" s="29"/>
      <c r="G509" s="29"/>
      <c r="H509" s="29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1:42" ht="15.75" customHeight="1" x14ac:dyDescent="0.2">
      <c r="A510"/>
      <c r="B510" s="2"/>
      <c r="C510" s="29"/>
      <c r="D510" s="29"/>
      <c r="E510" s="29"/>
      <c r="F510" s="29"/>
      <c r="G510" s="29"/>
      <c r="H510" s="29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1:42" ht="15.75" customHeight="1" x14ac:dyDescent="0.2">
      <c r="A511"/>
      <c r="B511" s="2"/>
      <c r="C511" s="29"/>
      <c r="D511" s="29"/>
      <c r="E511" s="29"/>
      <c r="F511" s="29"/>
      <c r="G511" s="29"/>
      <c r="H511" s="29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1:42" ht="15.75" customHeight="1" x14ac:dyDescent="0.2">
      <c r="A512"/>
      <c r="B512" s="2"/>
      <c r="C512" s="29"/>
      <c r="D512" s="29"/>
      <c r="E512" s="29"/>
      <c r="F512" s="29"/>
      <c r="G512" s="29"/>
      <c r="H512" s="29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1:42" ht="15.75" customHeight="1" x14ac:dyDescent="0.2">
      <c r="A513"/>
      <c r="B513" s="2"/>
      <c r="C513" s="29"/>
      <c r="D513" s="29"/>
      <c r="E513" s="29"/>
      <c r="F513" s="29"/>
      <c r="G513" s="29"/>
      <c r="H513" s="29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1:42" ht="15.75" customHeight="1" x14ac:dyDescent="0.2">
      <c r="A514"/>
      <c r="B514" s="2"/>
      <c r="C514" s="29"/>
      <c r="D514" s="29"/>
      <c r="E514" s="29"/>
      <c r="F514" s="29"/>
      <c r="G514" s="29"/>
      <c r="H514" s="29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42" ht="15.75" customHeight="1" x14ac:dyDescent="0.2">
      <c r="A515"/>
      <c r="B515" s="2"/>
      <c r="C515" s="29"/>
      <c r="D515" s="29"/>
      <c r="E515" s="29"/>
      <c r="F515" s="29"/>
      <c r="G515" s="29"/>
      <c r="H515" s="29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42" ht="15.75" customHeight="1" x14ac:dyDescent="0.2">
      <c r="A516"/>
      <c r="B516" s="2"/>
      <c r="C516" s="29"/>
      <c r="D516" s="29"/>
      <c r="E516" s="29"/>
      <c r="F516" s="29"/>
      <c r="G516" s="29"/>
      <c r="H516" s="29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42" ht="15.75" customHeight="1" x14ac:dyDescent="0.2">
      <c r="A517"/>
      <c r="B517" s="2"/>
      <c r="C517" s="29"/>
      <c r="D517" s="29"/>
      <c r="E517" s="29"/>
      <c r="F517" s="29"/>
      <c r="G517" s="29"/>
      <c r="H517" s="29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42" ht="15.75" customHeight="1" x14ac:dyDescent="0.2">
      <c r="A518"/>
      <c r="B518" s="2"/>
      <c r="C518" s="29"/>
      <c r="D518" s="29"/>
      <c r="E518" s="29"/>
      <c r="F518" s="29"/>
      <c r="G518" s="29"/>
      <c r="H518" s="29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42" ht="15.75" customHeight="1" x14ac:dyDescent="0.2">
      <c r="A519"/>
      <c r="B519" s="2"/>
      <c r="C519" s="29"/>
      <c r="D519" s="29"/>
      <c r="E519" s="29"/>
      <c r="F519" s="29"/>
      <c r="G519" s="29"/>
      <c r="H519" s="29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42" ht="15.75" customHeight="1" x14ac:dyDescent="0.2">
      <c r="A520"/>
      <c r="B520" s="2"/>
      <c r="C520" s="29"/>
      <c r="D520" s="29"/>
      <c r="E520" s="29"/>
      <c r="F520" s="29"/>
      <c r="G520" s="29"/>
      <c r="H520" s="29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42" ht="15.75" customHeight="1" x14ac:dyDescent="0.2">
      <c r="A521"/>
      <c r="B521" s="2"/>
      <c r="C521" s="29"/>
      <c r="D521" s="29"/>
      <c r="E521" s="29"/>
      <c r="F521" s="29"/>
      <c r="G521" s="29"/>
      <c r="H521" s="29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42" ht="15.75" customHeight="1" x14ac:dyDescent="0.2">
      <c r="A522"/>
      <c r="B522" s="2"/>
      <c r="C522" s="29"/>
      <c r="D522" s="29"/>
      <c r="E522" s="29"/>
      <c r="F522" s="29"/>
      <c r="G522" s="29"/>
      <c r="H522" s="29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42" ht="15.75" customHeight="1" x14ac:dyDescent="0.2">
      <c r="A523"/>
      <c r="B523" s="2"/>
      <c r="C523" s="29"/>
      <c r="D523" s="29"/>
      <c r="E523" s="29"/>
      <c r="F523" s="29"/>
      <c r="G523" s="29"/>
      <c r="H523" s="29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42" ht="15.75" customHeight="1" x14ac:dyDescent="0.2">
      <c r="A524"/>
      <c r="B524" s="2"/>
      <c r="C524" s="29"/>
      <c r="D524" s="29"/>
      <c r="E524" s="29"/>
      <c r="F524" s="29"/>
      <c r="G524" s="29"/>
      <c r="H524" s="29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42" ht="15.75" customHeight="1" x14ac:dyDescent="0.2">
      <c r="A525"/>
      <c r="B525" s="2"/>
      <c r="C525" s="29"/>
      <c r="D525" s="29"/>
      <c r="E525" s="29"/>
      <c r="F525" s="29"/>
      <c r="G525" s="29"/>
      <c r="H525" s="29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42" ht="15.75" customHeight="1" x14ac:dyDescent="0.2">
      <c r="A526"/>
      <c r="B526" s="2"/>
      <c r="C526" s="29"/>
      <c r="D526" s="29"/>
      <c r="E526" s="29"/>
      <c r="F526" s="29"/>
      <c r="G526" s="29"/>
      <c r="H526" s="29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42" ht="15.75" customHeight="1" x14ac:dyDescent="0.2">
      <c r="A527"/>
      <c r="B527" s="2"/>
      <c r="C527" s="29"/>
      <c r="D527" s="29"/>
      <c r="E527" s="29"/>
      <c r="F527" s="29"/>
      <c r="G527" s="29"/>
      <c r="H527" s="29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42" ht="15.75" customHeight="1" x14ac:dyDescent="0.2">
      <c r="A528"/>
      <c r="B528" s="2"/>
      <c r="C528" s="29"/>
      <c r="D528" s="29"/>
      <c r="E528" s="29"/>
      <c r="F528" s="29"/>
      <c r="G528" s="29"/>
      <c r="H528" s="29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ht="15.75" customHeight="1" x14ac:dyDescent="0.2">
      <c r="A529"/>
      <c r="B529" s="2"/>
      <c r="C529" s="29"/>
      <c r="D529" s="29"/>
      <c r="E529" s="29"/>
      <c r="F529" s="29"/>
      <c r="G529" s="29"/>
      <c r="H529" s="29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ht="15.75" customHeight="1" x14ac:dyDescent="0.2">
      <c r="A530"/>
      <c r="B530" s="2"/>
      <c r="C530" s="29"/>
      <c r="D530" s="29"/>
      <c r="E530" s="29"/>
      <c r="F530" s="29"/>
      <c r="G530" s="29"/>
      <c r="H530" s="29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ht="15.75" customHeight="1" x14ac:dyDescent="0.2">
      <c r="A531"/>
      <c r="B531" s="2"/>
      <c r="C531" s="29"/>
      <c r="D531" s="29"/>
      <c r="E531" s="29"/>
      <c r="F531" s="29"/>
      <c r="G531" s="29"/>
      <c r="H531" s="29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ht="15.75" customHeight="1" x14ac:dyDescent="0.2">
      <c r="A532"/>
      <c r="B532" s="2"/>
      <c r="C532" s="29"/>
      <c r="D532" s="29"/>
      <c r="E532" s="29"/>
      <c r="F532" s="29"/>
      <c r="G532" s="29"/>
      <c r="H532" s="29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ht="15.75" customHeight="1" x14ac:dyDescent="0.2">
      <c r="A533"/>
      <c r="B533" s="2"/>
      <c r="C533" s="29"/>
      <c r="D533" s="29"/>
      <c r="E533" s="29"/>
      <c r="F533" s="29"/>
      <c r="G533" s="29"/>
      <c r="H533" s="29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ht="15.75" customHeight="1" x14ac:dyDescent="0.2">
      <c r="A534"/>
      <c r="B534" s="2"/>
      <c r="C534" s="29"/>
      <c r="D534" s="29"/>
      <c r="E534" s="29"/>
      <c r="F534" s="29"/>
      <c r="G534" s="29"/>
      <c r="H534" s="29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ht="15.75" customHeight="1" x14ac:dyDescent="0.2">
      <c r="A535"/>
      <c r="B535" s="2"/>
      <c r="C535" s="29"/>
      <c r="D535" s="29"/>
      <c r="E535" s="29"/>
      <c r="F535" s="29"/>
      <c r="G535" s="29"/>
      <c r="H535" s="29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ht="15.75" customHeight="1" x14ac:dyDescent="0.2">
      <c r="A536"/>
      <c r="B536" s="2"/>
      <c r="C536" s="29"/>
      <c r="D536" s="29"/>
      <c r="E536" s="29"/>
      <c r="F536" s="29"/>
      <c r="G536" s="29"/>
      <c r="H536" s="29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ht="15.75" customHeight="1" x14ac:dyDescent="0.2">
      <c r="A537"/>
      <c r="B537" s="2"/>
      <c r="C537" s="29"/>
      <c r="D537" s="29"/>
      <c r="E537" s="29"/>
      <c r="F537" s="29"/>
      <c r="G537" s="29"/>
      <c r="H537" s="29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ht="15.75" customHeight="1" x14ac:dyDescent="0.2">
      <c r="A538"/>
      <c r="B538" s="2"/>
      <c r="C538" s="29"/>
      <c r="D538" s="29"/>
      <c r="E538" s="29"/>
      <c r="F538" s="29"/>
      <c r="G538" s="29"/>
      <c r="H538" s="29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ht="15.75" customHeight="1" x14ac:dyDescent="0.2">
      <c r="A539"/>
      <c r="B539" s="2"/>
      <c r="C539" s="29"/>
      <c r="D539" s="29"/>
      <c r="E539" s="29"/>
      <c r="F539" s="29"/>
      <c r="G539" s="29"/>
      <c r="H539" s="29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ht="15.75" customHeight="1" x14ac:dyDescent="0.2">
      <c r="A540"/>
      <c r="B540" s="2"/>
      <c r="C540" s="29"/>
      <c r="D540" s="29"/>
      <c r="E540" s="29"/>
      <c r="F540" s="29"/>
      <c r="G540" s="29"/>
      <c r="H540" s="29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ht="15.75" customHeight="1" x14ac:dyDescent="0.2">
      <c r="A541"/>
      <c r="B541" s="2"/>
      <c r="C541" s="29"/>
      <c r="D541" s="29"/>
      <c r="E541" s="29"/>
      <c r="F541" s="29"/>
      <c r="G541" s="29"/>
      <c r="H541" s="29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ht="15.75" customHeight="1" x14ac:dyDescent="0.2">
      <c r="A542"/>
      <c r="B542" s="2"/>
      <c r="C542" s="29"/>
      <c r="D542" s="29"/>
      <c r="E542" s="29"/>
      <c r="F542" s="29"/>
      <c r="G542" s="29"/>
      <c r="H542" s="29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ht="15.75" customHeight="1" x14ac:dyDescent="0.2">
      <c r="A543"/>
      <c r="B543" s="2"/>
      <c r="C543" s="29"/>
      <c r="D543" s="29"/>
      <c r="E543" s="29"/>
      <c r="F543" s="29"/>
      <c r="G543" s="29"/>
      <c r="H543" s="29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ht="15.75" customHeight="1" x14ac:dyDescent="0.2">
      <c r="A544"/>
      <c r="B544" s="2"/>
      <c r="C544" s="29"/>
      <c r="D544" s="29"/>
      <c r="E544" s="29"/>
      <c r="F544" s="29"/>
      <c r="G544" s="29"/>
      <c r="H544" s="29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ht="15.75" customHeight="1" x14ac:dyDescent="0.2">
      <c r="A545"/>
      <c r="B545" s="2"/>
      <c r="C545" s="29"/>
      <c r="D545" s="29"/>
      <c r="E545" s="29"/>
      <c r="F545" s="29"/>
      <c r="G545" s="29"/>
      <c r="H545" s="29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ht="15.75" customHeight="1" x14ac:dyDescent="0.2">
      <c r="A546"/>
      <c r="B546" s="2"/>
      <c r="C546" s="29"/>
      <c r="D546" s="29"/>
      <c r="E546" s="29"/>
      <c r="F546" s="29"/>
      <c r="G546" s="29"/>
      <c r="H546" s="29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ht="15.75" customHeight="1" x14ac:dyDescent="0.2">
      <c r="A547"/>
      <c r="B547" s="2"/>
      <c r="C547" s="29"/>
      <c r="D547" s="29"/>
      <c r="E547" s="29"/>
      <c r="F547" s="29"/>
      <c r="G547" s="29"/>
      <c r="H547" s="29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ht="15.75" customHeight="1" x14ac:dyDescent="0.2">
      <c r="A548"/>
      <c r="B548" s="2"/>
      <c r="C548" s="29"/>
      <c r="D548" s="29"/>
      <c r="E548" s="29"/>
      <c r="F548" s="29"/>
      <c r="G548" s="29"/>
      <c r="H548" s="29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ht="15.75" customHeight="1" x14ac:dyDescent="0.2">
      <c r="A549"/>
      <c r="B549" s="2"/>
      <c r="C549" s="29"/>
      <c r="D549" s="29"/>
      <c r="E549" s="29"/>
      <c r="F549" s="29"/>
      <c r="G549" s="29"/>
      <c r="H549" s="29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ht="15.75" customHeight="1" x14ac:dyDescent="0.2">
      <c r="A550"/>
      <c r="B550" s="2"/>
      <c r="C550" s="29"/>
      <c r="D550" s="29"/>
      <c r="E550" s="29"/>
      <c r="F550" s="29"/>
      <c r="G550" s="29"/>
      <c r="H550" s="29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ht="15.75" customHeight="1" x14ac:dyDescent="0.2">
      <c r="A551"/>
      <c r="B551" s="2"/>
      <c r="C551" s="29"/>
      <c r="D551" s="29"/>
      <c r="E551" s="29"/>
      <c r="F551" s="29"/>
      <c r="G551" s="29"/>
      <c r="H551" s="29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ht="15.75" customHeight="1" x14ac:dyDescent="0.2">
      <c r="A552"/>
      <c r="B552" s="2"/>
      <c r="C552" s="29"/>
      <c r="D552" s="29"/>
      <c r="E552" s="29"/>
      <c r="F552" s="29"/>
      <c r="G552" s="29"/>
      <c r="H552" s="29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ht="15.75" customHeight="1" x14ac:dyDescent="0.2">
      <c r="A553"/>
      <c r="B553" s="2"/>
      <c r="C553" s="29"/>
      <c r="D553" s="29"/>
      <c r="E553" s="29"/>
      <c r="F553" s="29"/>
      <c r="G553" s="29"/>
      <c r="H553" s="29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ht="15.75" customHeight="1" x14ac:dyDescent="0.2">
      <c r="A554"/>
      <c r="B554" s="2"/>
      <c r="C554" s="29"/>
      <c r="D554" s="29"/>
      <c r="E554" s="29"/>
      <c r="F554" s="29"/>
      <c r="G554" s="29"/>
      <c r="H554" s="29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ht="15.75" customHeight="1" x14ac:dyDescent="0.2">
      <c r="A555"/>
      <c r="B555" s="2"/>
      <c r="C555" s="29"/>
      <c r="D555" s="29"/>
      <c r="E555" s="29"/>
      <c r="F555" s="29"/>
      <c r="G555" s="29"/>
      <c r="H555" s="29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ht="15.75" customHeight="1" x14ac:dyDescent="0.2">
      <c r="A556"/>
      <c r="B556" s="2"/>
      <c r="C556" s="29"/>
      <c r="D556" s="29"/>
      <c r="E556" s="29"/>
      <c r="F556" s="29"/>
      <c r="G556" s="29"/>
      <c r="H556" s="29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ht="15.75" customHeight="1" x14ac:dyDescent="0.2">
      <c r="A557"/>
      <c r="B557" s="2"/>
      <c r="C557" s="29"/>
      <c r="D557" s="29"/>
      <c r="E557" s="29"/>
      <c r="F557" s="29"/>
      <c r="G557" s="29"/>
      <c r="H557" s="29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ht="15.75" customHeight="1" x14ac:dyDescent="0.2">
      <c r="A558"/>
      <c r="B558" s="2"/>
      <c r="C558" s="29"/>
      <c r="D558" s="29"/>
      <c r="E558" s="29"/>
      <c r="F558" s="29"/>
      <c r="G558" s="29"/>
      <c r="H558" s="29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ht="15.75" customHeight="1" x14ac:dyDescent="0.2">
      <c r="A559"/>
      <c r="B559" s="2"/>
      <c r="C559" s="29"/>
      <c r="D559" s="29"/>
      <c r="E559" s="29"/>
      <c r="F559" s="29"/>
      <c r="G559" s="29"/>
      <c r="H559" s="29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ht="15.75" customHeight="1" x14ac:dyDescent="0.2">
      <c r="A560"/>
      <c r="B560" s="2"/>
      <c r="C560" s="29"/>
      <c r="D560" s="29"/>
      <c r="E560" s="29"/>
      <c r="F560" s="29"/>
      <c r="G560" s="29"/>
      <c r="H560" s="29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ht="15.75" customHeight="1" x14ac:dyDescent="0.2">
      <c r="A561"/>
      <c r="B561" s="2"/>
      <c r="C561" s="29"/>
      <c r="D561" s="29"/>
      <c r="E561" s="29"/>
      <c r="F561" s="29"/>
      <c r="G561" s="29"/>
      <c r="H561" s="29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ht="15.75" customHeight="1" x14ac:dyDescent="0.2">
      <c r="A562"/>
      <c r="B562" s="2"/>
      <c r="C562" s="29"/>
      <c r="D562" s="29"/>
      <c r="E562" s="29"/>
      <c r="F562" s="29"/>
      <c r="G562" s="29"/>
      <c r="H562" s="29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ht="15.75" customHeight="1" x14ac:dyDescent="0.2">
      <c r="A563"/>
      <c r="B563" s="2"/>
      <c r="C563" s="29"/>
      <c r="D563" s="29"/>
      <c r="E563" s="29"/>
      <c r="F563" s="29"/>
      <c r="G563" s="29"/>
      <c r="H563" s="29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ht="15.75" customHeight="1" x14ac:dyDescent="0.2">
      <c r="A564"/>
      <c r="B564" s="2"/>
      <c r="C564" s="29"/>
      <c r="D564" s="29"/>
      <c r="E564" s="29"/>
      <c r="F564" s="29"/>
      <c r="G564" s="29"/>
      <c r="H564" s="29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ht="15.75" customHeight="1" x14ac:dyDescent="0.2">
      <c r="A565"/>
      <c r="B565" s="2"/>
      <c r="C565" s="29"/>
      <c r="D565" s="29"/>
      <c r="E565" s="29"/>
      <c r="F565" s="29"/>
      <c r="G565" s="29"/>
      <c r="H565" s="29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ht="15.75" customHeight="1" x14ac:dyDescent="0.2">
      <c r="A566"/>
      <c r="B566" s="2"/>
      <c r="C566" s="29"/>
      <c r="D566" s="29"/>
      <c r="E566" s="29"/>
      <c r="F566" s="29"/>
      <c r="G566" s="29"/>
      <c r="H566" s="29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ht="15.75" customHeight="1" x14ac:dyDescent="0.2">
      <c r="A567"/>
      <c r="B567" s="2"/>
      <c r="C567" s="29"/>
      <c r="D567" s="29"/>
      <c r="E567" s="29"/>
      <c r="F567" s="29"/>
      <c r="G567" s="29"/>
      <c r="H567" s="29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ht="15.75" customHeight="1" x14ac:dyDescent="0.2">
      <c r="A568"/>
      <c r="B568" s="2"/>
      <c r="C568" s="29"/>
      <c r="D568" s="29"/>
      <c r="E568" s="29"/>
      <c r="F568" s="29"/>
      <c r="G568" s="29"/>
      <c r="H568" s="29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ht="15.75" customHeight="1" x14ac:dyDescent="0.2">
      <c r="A569"/>
      <c r="B569" s="2"/>
      <c r="C569" s="29"/>
      <c r="D569" s="29"/>
      <c r="E569" s="29"/>
      <c r="F569" s="29"/>
      <c r="G569" s="29"/>
      <c r="H569" s="29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ht="15.75" customHeight="1" x14ac:dyDescent="0.2">
      <c r="A570"/>
      <c r="B570" s="2"/>
      <c r="C570" s="29"/>
      <c r="D570" s="29"/>
      <c r="E570" s="29"/>
      <c r="F570" s="29"/>
      <c r="G570" s="29"/>
      <c r="H570" s="29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ht="15.75" customHeight="1" x14ac:dyDescent="0.2">
      <c r="A571"/>
      <c r="B571" s="2"/>
      <c r="C571" s="29"/>
      <c r="D571" s="29"/>
      <c r="E571" s="29"/>
      <c r="F571" s="29"/>
      <c r="G571" s="29"/>
      <c r="H571" s="29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ht="15.75" customHeight="1" x14ac:dyDescent="0.2">
      <c r="A572"/>
      <c r="B572" s="2"/>
      <c r="C572" s="29"/>
      <c r="D572" s="29"/>
      <c r="E572" s="29"/>
      <c r="F572" s="29"/>
      <c r="G572" s="29"/>
      <c r="H572" s="29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ht="15.75" customHeight="1" x14ac:dyDescent="0.2">
      <c r="A573"/>
      <c r="B573" s="2"/>
      <c r="C573" s="29"/>
      <c r="D573" s="29"/>
      <c r="E573" s="29"/>
      <c r="F573" s="29"/>
      <c r="G573" s="29"/>
      <c r="H573" s="29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ht="15.75" customHeight="1" x14ac:dyDescent="0.2">
      <c r="A574"/>
      <c r="B574" s="2"/>
      <c r="C574" s="29"/>
      <c r="D574" s="29"/>
      <c r="E574" s="29"/>
      <c r="F574" s="29"/>
      <c r="G574" s="29"/>
      <c r="H574" s="29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ht="15.75" customHeight="1" x14ac:dyDescent="0.2">
      <c r="A575"/>
      <c r="B575" s="2"/>
      <c r="C575" s="29"/>
      <c r="D575" s="29"/>
      <c r="E575" s="29"/>
      <c r="F575" s="29"/>
      <c r="G575" s="29"/>
      <c r="H575" s="29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ht="15.75" customHeight="1" x14ac:dyDescent="0.2">
      <c r="A576"/>
      <c r="B576" s="2"/>
      <c r="C576" s="29"/>
      <c r="D576" s="29"/>
      <c r="E576" s="29"/>
      <c r="F576" s="29"/>
      <c r="G576" s="29"/>
      <c r="H576" s="29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ht="15.75" customHeight="1" x14ac:dyDescent="0.2">
      <c r="A577"/>
      <c r="B577" s="2"/>
      <c r="C577" s="29"/>
      <c r="D577" s="29"/>
      <c r="E577" s="29"/>
      <c r="F577" s="29"/>
      <c r="G577" s="29"/>
      <c r="H577" s="29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ht="15.75" customHeight="1" x14ac:dyDescent="0.2">
      <c r="A578"/>
      <c r="B578" s="2"/>
      <c r="C578" s="29"/>
      <c r="D578" s="29"/>
      <c r="E578" s="29"/>
      <c r="F578" s="29"/>
      <c r="G578" s="29"/>
      <c r="H578" s="29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ht="15.75" customHeight="1" x14ac:dyDescent="0.2">
      <c r="A579"/>
      <c r="B579" s="2"/>
      <c r="C579" s="29"/>
      <c r="D579" s="29"/>
      <c r="E579" s="29"/>
      <c r="F579" s="29"/>
      <c r="G579" s="29"/>
      <c r="H579" s="29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ht="15.75" customHeight="1" x14ac:dyDescent="0.2">
      <c r="A580"/>
      <c r="B580" s="2"/>
      <c r="C580" s="29"/>
      <c r="D580" s="29"/>
      <c r="E580" s="29"/>
      <c r="F580" s="29"/>
      <c r="G580" s="29"/>
      <c r="H580" s="29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ht="15.75" customHeight="1" x14ac:dyDescent="0.2">
      <c r="A581"/>
      <c r="B581" s="2"/>
      <c r="C581" s="29"/>
      <c r="D581" s="29"/>
      <c r="E581" s="29"/>
      <c r="F581" s="29"/>
      <c r="G581" s="29"/>
      <c r="H581" s="29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ht="15.75" customHeight="1" x14ac:dyDescent="0.2">
      <c r="A582"/>
      <c r="B582" s="2"/>
      <c r="C582" s="29"/>
      <c r="D582" s="29"/>
      <c r="E582" s="29"/>
      <c r="F582" s="29"/>
      <c r="G582" s="29"/>
      <c r="H582" s="29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ht="15.75" customHeight="1" x14ac:dyDescent="0.2">
      <c r="A583"/>
      <c r="B583" s="2"/>
      <c r="C583" s="29"/>
      <c r="D583" s="29"/>
      <c r="E583" s="29"/>
      <c r="F583" s="29"/>
      <c r="G583" s="29"/>
      <c r="H583" s="29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ht="15.75" customHeight="1" x14ac:dyDescent="0.2">
      <c r="A584"/>
      <c r="B584" s="2"/>
      <c r="C584" s="29"/>
      <c r="D584" s="29"/>
      <c r="E584" s="29"/>
      <c r="F584" s="29"/>
      <c r="G584" s="29"/>
      <c r="H584" s="29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ht="15.75" customHeight="1" x14ac:dyDescent="0.2">
      <c r="A585"/>
      <c r="B585" s="2"/>
      <c r="C585" s="29"/>
      <c r="D585" s="29"/>
      <c r="E585" s="29"/>
      <c r="F585" s="29"/>
      <c r="G585" s="29"/>
      <c r="H585" s="29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ht="15.75" customHeight="1" x14ac:dyDescent="0.2">
      <c r="A586"/>
      <c r="B586" s="2"/>
      <c r="C586" s="29"/>
      <c r="D586" s="29"/>
      <c r="E586" s="29"/>
      <c r="F586" s="29"/>
      <c r="G586" s="29"/>
      <c r="H586" s="29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ht="15.75" customHeight="1" x14ac:dyDescent="0.2">
      <c r="A587"/>
      <c r="B587" s="2"/>
      <c r="C587" s="29"/>
      <c r="D587" s="29"/>
      <c r="E587" s="29"/>
      <c r="F587" s="29"/>
      <c r="G587" s="29"/>
      <c r="H587" s="29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ht="15.75" customHeight="1" x14ac:dyDescent="0.2">
      <c r="A588"/>
      <c r="B588" s="2"/>
      <c r="C588" s="29"/>
      <c r="D588" s="29"/>
      <c r="E588" s="29"/>
      <c r="F588" s="29"/>
      <c r="G588" s="29"/>
      <c r="H588" s="29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ht="15.75" customHeight="1" x14ac:dyDescent="0.2">
      <c r="A589"/>
      <c r="B589" s="2"/>
      <c r="C589" s="29"/>
      <c r="D589" s="29"/>
      <c r="E589" s="29"/>
      <c r="F589" s="29"/>
      <c r="G589" s="29"/>
      <c r="H589" s="29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ht="15.75" customHeight="1" x14ac:dyDescent="0.2">
      <c r="A590"/>
      <c r="B590" s="2"/>
      <c r="C590" s="29"/>
      <c r="D590" s="29"/>
      <c r="E590" s="29"/>
      <c r="F590" s="29"/>
      <c r="G590" s="29"/>
      <c r="H590" s="29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ht="15.75" customHeight="1" x14ac:dyDescent="0.2">
      <c r="A591"/>
      <c r="B591" s="2"/>
      <c r="C591" s="29"/>
      <c r="D591" s="29"/>
      <c r="E591" s="29"/>
      <c r="F591" s="29"/>
      <c r="G591" s="29"/>
      <c r="H591" s="29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ht="15.75" customHeight="1" x14ac:dyDescent="0.2">
      <c r="A592"/>
      <c r="B592" s="2"/>
      <c r="C592" s="29"/>
      <c r="D592" s="29"/>
      <c r="E592" s="29"/>
      <c r="F592" s="29"/>
      <c r="G592" s="29"/>
      <c r="H592" s="29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ht="15.75" customHeight="1" x14ac:dyDescent="0.2">
      <c r="A593"/>
      <c r="B593" s="2"/>
      <c r="C593" s="29"/>
      <c r="D593" s="29"/>
      <c r="E593" s="29"/>
      <c r="F593" s="29"/>
      <c r="G593" s="29"/>
      <c r="H593" s="29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ht="15.75" customHeight="1" x14ac:dyDescent="0.2">
      <c r="A594"/>
      <c r="B594" s="2"/>
      <c r="C594" s="29"/>
      <c r="D594" s="29"/>
      <c r="E594" s="29"/>
      <c r="F594" s="29"/>
      <c r="G594" s="29"/>
      <c r="H594" s="29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ht="15.75" customHeight="1" x14ac:dyDescent="0.2">
      <c r="A595"/>
      <c r="B595" s="2"/>
      <c r="C595" s="29"/>
      <c r="D595" s="29"/>
      <c r="E595" s="29"/>
      <c r="F595" s="29"/>
      <c r="G595" s="29"/>
      <c r="H595" s="29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ht="15.75" customHeight="1" x14ac:dyDescent="0.2">
      <c r="A596"/>
      <c r="B596" s="2"/>
      <c r="C596" s="29"/>
      <c r="D596" s="29"/>
      <c r="E596" s="29"/>
      <c r="F596" s="29"/>
      <c r="G596" s="29"/>
      <c r="H596" s="29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ht="15.75" customHeight="1" x14ac:dyDescent="0.2">
      <c r="A597"/>
      <c r="B597" s="2"/>
      <c r="C597" s="29"/>
      <c r="D597" s="29"/>
      <c r="E597" s="29"/>
      <c r="F597" s="29"/>
      <c r="G597" s="29"/>
      <c r="H597" s="29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ht="15.75" customHeight="1" x14ac:dyDescent="0.2">
      <c r="A598"/>
      <c r="B598" s="2"/>
      <c r="C598" s="29"/>
      <c r="D598" s="29"/>
      <c r="E598" s="29"/>
      <c r="F598" s="29"/>
      <c r="G598" s="29"/>
      <c r="H598" s="29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ht="15.75" customHeight="1" x14ac:dyDescent="0.2">
      <c r="A599"/>
      <c r="B599" s="2"/>
      <c r="C599" s="29"/>
      <c r="D599" s="29"/>
      <c r="E599" s="29"/>
      <c r="F599" s="29"/>
      <c r="G599" s="29"/>
      <c r="H599" s="29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ht="15.75" customHeight="1" x14ac:dyDescent="0.2">
      <c r="A600"/>
      <c r="B600" s="2"/>
      <c r="C600" s="29"/>
      <c r="D600" s="29"/>
      <c r="E600" s="29"/>
      <c r="F600" s="29"/>
      <c r="G600" s="29"/>
      <c r="H600" s="29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ht="15.75" customHeight="1" x14ac:dyDescent="0.2">
      <c r="A601"/>
      <c r="B601" s="2"/>
      <c r="C601" s="29"/>
      <c r="D601" s="29"/>
      <c r="E601" s="29"/>
      <c r="F601" s="29"/>
      <c r="G601" s="29"/>
      <c r="H601" s="29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ht="15.75" customHeight="1" x14ac:dyDescent="0.2">
      <c r="A602"/>
      <c r="B602" s="2"/>
      <c r="C602" s="29"/>
      <c r="D602" s="29"/>
      <c r="E602" s="29"/>
      <c r="F602" s="29"/>
      <c r="G602" s="29"/>
      <c r="H602" s="29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ht="15.75" customHeight="1" x14ac:dyDescent="0.2">
      <c r="A603"/>
      <c r="B603" s="2"/>
      <c r="C603" s="29"/>
      <c r="D603" s="29"/>
      <c r="E603" s="29"/>
      <c r="F603" s="29"/>
      <c r="G603" s="29"/>
      <c r="H603" s="29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ht="15.75" customHeight="1" x14ac:dyDescent="0.2">
      <c r="A604"/>
      <c r="B604" s="2"/>
      <c r="C604" s="29"/>
      <c r="D604" s="29"/>
      <c r="E604" s="29"/>
      <c r="F604" s="29"/>
      <c r="G604" s="29"/>
      <c r="H604" s="29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ht="15.75" customHeight="1" x14ac:dyDescent="0.2">
      <c r="A605"/>
      <c r="B605" s="2"/>
      <c r="C605" s="29"/>
      <c r="D605" s="29"/>
      <c r="E605" s="29"/>
      <c r="F605" s="29"/>
      <c r="G605" s="29"/>
      <c r="H605" s="29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ht="15.75" customHeight="1" x14ac:dyDescent="0.2">
      <c r="A606"/>
      <c r="B606" s="2"/>
      <c r="C606" s="29"/>
      <c r="D606" s="29"/>
      <c r="E606" s="29"/>
      <c r="F606" s="29"/>
      <c r="G606" s="29"/>
      <c r="H606" s="29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ht="15.75" customHeight="1" x14ac:dyDescent="0.2">
      <c r="A607"/>
      <c r="B607" s="2"/>
      <c r="C607" s="29"/>
      <c r="D607" s="29"/>
      <c r="E607" s="29"/>
      <c r="F607" s="29"/>
      <c r="G607" s="29"/>
      <c r="H607" s="29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ht="15.75" customHeight="1" x14ac:dyDescent="0.2">
      <c r="A608"/>
      <c r="B608" s="2"/>
      <c r="C608" s="29"/>
      <c r="D608" s="29"/>
      <c r="E608" s="29"/>
      <c r="F608" s="29"/>
      <c r="G608" s="29"/>
      <c r="H608" s="29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42" ht="15.75" customHeight="1" x14ac:dyDescent="0.2">
      <c r="A609"/>
      <c r="B609" s="2"/>
      <c r="C609" s="29"/>
      <c r="D609" s="29"/>
      <c r="E609" s="29"/>
      <c r="F609" s="29"/>
      <c r="G609" s="29"/>
      <c r="H609" s="29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1:42" ht="15.75" customHeight="1" x14ac:dyDescent="0.2">
      <c r="A610"/>
      <c r="B610" s="2"/>
      <c r="C610" s="29"/>
      <c r="D610" s="29"/>
      <c r="E610" s="29"/>
      <c r="F610" s="29"/>
      <c r="G610" s="29"/>
      <c r="H610" s="29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1:42" ht="15.75" customHeight="1" x14ac:dyDescent="0.2">
      <c r="A611"/>
      <c r="B611" s="2"/>
      <c r="C611" s="29"/>
      <c r="D611" s="29"/>
      <c r="E611" s="29"/>
      <c r="F611" s="29"/>
      <c r="G611" s="29"/>
      <c r="H611" s="29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1:42" ht="15.75" customHeight="1" x14ac:dyDescent="0.2">
      <c r="A612"/>
      <c r="B612" s="2"/>
      <c r="C612" s="29"/>
      <c r="D612" s="29"/>
      <c r="E612" s="29"/>
      <c r="F612" s="29"/>
      <c r="G612" s="29"/>
      <c r="H612" s="29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1:42" ht="15.75" customHeight="1" x14ac:dyDescent="0.2">
      <c r="A613"/>
      <c r="B613" s="2"/>
      <c r="C613" s="29"/>
      <c r="D613" s="29"/>
      <c r="E613" s="29"/>
      <c r="F613" s="29"/>
      <c r="G613" s="29"/>
      <c r="H613" s="29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1:42" ht="15.75" customHeight="1" x14ac:dyDescent="0.2">
      <c r="A614"/>
      <c r="B614" s="2"/>
      <c r="C614" s="29"/>
      <c r="D614" s="29"/>
      <c r="E614" s="29"/>
      <c r="F614" s="29"/>
      <c r="G614" s="29"/>
      <c r="H614" s="29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1:42" ht="15.75" customHeight="1" x14ac:dyDescent="0.2">
      <c r="A615"/>
      <c r="B615" s="2"/>
      <c r="C615" s="29"/>
      <c r="D615" s="29"/>
      <c r="E615" s="29"/>
      <c r="F615" s="29"/>
      <c r="G615" s="29"/>
      <c r="H615" s="29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1:42" ht="15.75" customHeight="1" x14ac:dyDescent="0.2">
      <c r="A616"/>
      <c r="B616" s="2"/>
      <c r="C616" s="29"/>
      <c r="D616" s="29"/>
      <c r="E616" s="29"/>
      <c r="F616" s="29"/>
      <c r="G616" s="29"/>
      <c r="H616" s="29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1:42" ht="15.75" customHeight="1" x14ac:dyDescent="0.2">
      <c r="A617"/>
      <c r="B617" s="2"/>
      <c r="C617" s="29"/>
      <c r="D617" s="29"/>
      <c r="E617" s="29"/>
      <c r="F617" s="29"/>
      <c r="G617" s="29"/>
      <c r="H617" s="29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1:42" ht="15.75" customHeight="1" x14ac:dyDescent="0.2">
      <c r="A618"/>
      <c r="B618" s="2"/>
      <c r="C618" s="29"/>
      <c r="D618" s="29"/>
      <c r="E618" s="29"/>
      <c r="F618" s="29"/>
      <c r="G618" s="29"/>
      <c r="H618" s="29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1:42" ht="15.75" customHeight="1" x14ac:dyDescent="0.2">
      <c r="A619"/>
      <c r="B619" s="2"/>
      <c r="C619" s="29"/>
      <c r="D619" s="29"/>
      <c r="E619" s="29"/>
      <c r="F619" s="29"/>
      <c r="G619" s="29"/>
      <c r="H619" s="29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1:42" ht="15.75" customHeight="1" x14ac:dyDescent="0.2">
      <c r="A620"/>
      <c r="B620" s="2"/>
      <c r="C620" s="29"/>
      <c r="D620" s="29"/>
      <c r="E620" s="29"/>
      <c r="F620" s="29"/>
      <c r="G620" s="29"/>
      <c r="H620" s="29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1:42" ht="15.75" customHeight="1" x14ac:dyDescent="0.2">
      <c r="A621"/>
      <c r="B621" s="2"/>
      <c r="C621" s="29"/>
      <c r="D621" s="29"/>
      <c r="E621" s="29"/>
      <c r="F621" s="29"/>
      <c r="G621" s="29"/>
      <c r="H621" s="29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1:42" ht="15.75" customHeight="1" x14ac:dyDescent="0.2">
      <c r="A622"/>
      <c r="B622" s="2"/>
      <c r="C622" s="29"/>
      <c r="D622" s="29"/>
      <c r="E622" s="29"/>
      <c r="F622" s="29"/>
      <c r="G622" s="29"/>
      <c r="H622" s="29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1:42" ht="15.75" customHeight="1" x14ac:dyDescent="0.2">
      <c r="A623"/>
      <c r="B623" s="2"/>
      <c r="C623" s="29"/>
      <c r="D623" s="29"/>
      <c r="E623" s="29"/>
      <c r="F623" s="29"/>
      <c r="G623" s="29"/>
      <c r="H623" s="29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1:42" ht="15.75" customHeight="1" x14ac:dyDescent="0.2">
      <c r="A624"/>
    </row>
    <row r="625" spans="1:8" ht="15.75" customHeight="1" x14ac:dyDescent="0.2">
      <c r="A625"/>
    </row>
    <row r="626" spans="1:8" ht="15.75" customHeight="1" x14ac:dyDescent="0.2">
      <c r="A626"/>
    </row>
    <row r="627" spans="1:8" ht="15.75" customHeight="1" x14ac:dyDescent="0.2">
      <c r="A627"/>
    </row>
    <row r="628" spans="1:8" ht="15.75" customHeight="1" x14ac:dyDescent="0.2">
      <c r="A628"/>
      <c r="C628"/>
      <c r="D628"/>
      <c r="E628"/>
      <c r="F628"/>
      <c r="G628"/>
      <c r="H628"/>
    </row>
    <row r="629" spans="1:8" ht="15.75" customHeight="1" x14ac:dyDescent="0.2">
      <c r="A629"/>
      <c r="C629"/>
      <c r="D629"/>
      <c r="E629"/>
      <c r="F629"/>
      <c r="G629"/>
      <c r="H629"/>
    </row>
    <row r="630" spans="1:8" ht="15.75" customHeight="1" x14ac:dyDescent="0.2">
      <c r="A630"/>
      <c r="C630"/>
      <c r="D630"/>
      <c r="E630"/>
      <c r="F630"/>
      <c r="G630"/>
      <c r="H630"/>
    </row>
    <row r="631" spans="1:8" ht="15.75" customHeight="1" x14ac:dyDescent="0.2">
      <c r="A631"/>
      <c r="C631"/>
      <c r="D631"/>
      <c r="E631"/>
      <c r="F631"/>
      <c r="G631"/>
      <c r="H631"/>
    </row>
    <row r="632" spans="1:8" ht="15.75" customHeight="1" x14ac:dyDescent="0.2">
      <c r="A632"/>
      <c r="C632"/>
      <c r="D632"/>
      <c r="E632"/>
      <c r="F632"/>
      <c r="G632"/>
      <c r="H632"/>
    </row>
    <row r="633" spans="1:8" ht="15.75" customHeight="1" x14ac:dyDescent="0.2">
      <c r="A633"/>
      <c r="C633"/>
      <c r="D633"/>
      <c r="E633"/>
      <c r="F633"/>
      <c r="G633"/>
      <c r="H633"/>
    </row>
    <row r="634" spans="1:8" ht="15.75" customHeight="1" x14ac:dyDescent="0.2">
      <c r="A634"/>
      <c r="C634"/>
      <c r="D634"/>
      <c r="E634"/>
      <c r="F634"/>
      <c r="G634"/>
      <c r="H634"/>
    </row>
    <row r="635" spans="1:8" ht="15.75" customHeight="1" x14ac:dyDescent="0.2">
      <c r="A635"/>
      <c r="C635"/>
      <c r="D635"/>
      <c r="E635"/>
      <c r="F635"/>
      <c r="G635"/>
      <c r="H635"/>
    </row>
    <row r="636" spans="1:8" ht="15.75" customHeight="1" x14ac:dyDescent="0.2">
      <c r="A636"/>
      <c r="C636"/>
      <c r="D636"/>
      <c r="E636"/>
      <c r="F636"/>
      <c r="G636"/>
      <c r="H636"/>
    </row>
    <row r="637" spans="1:8" ht="15.75" customHeight="1" x14ac:dyDescent="0.2">
      <c r="A637"/>
      <c r="C637"/>
      <c r="D637"/>
      <c r="E637"/>
      <c r="F637"/>
      <c r="G637"/>
      <c r="H637"/>
    </row>
    <row r="638" spans="1:8" ht="15.75" customHeight="1" x14ac:dyDescent="0.2">
      <c r="A638"/>
      <c r="C638"/>
      <c r="D638"/>
      <c r="E638"/>
      <c r="F638"/>
      <c r="G638"/>
      <c r="H638"/>
    </row>
    <row r="639" spans="1:8" ht="15.75" customHeight="1" x14ac:dyDescent="0.2">
      <c r="A639"/>
      <c r="C639"/>
      <c r="D639"/>
      <c r="E639"/>
      <c r="F639"/>
      <c r="G639"/>
      <c r="H639"/>
    </row>
    <row r="640" spans="1:8" ht="15.75" customHeight="1" x14ac:dyDescent="0.2">
      <c r="A640"/>
      <c r="C640"/>
      <c r="D640"/>
      <c r="E640"/>
      <c r="F640"/>
      <c r="G640"/>
      <c r="H640"/>
    </row>
    <row r="641" customFormat="1" ht="15.75" customHeight="1" x14ac:dyDescent="0.2"/>
    <row r="642" customFormat="1" ht="15.75" customHeight="1" x14ac:dyDescent="0.2"/>
    <row r="643" customFormat="1" ht="15.75" customHeight="1" x14ac:dyDescent="0.2"/>
    <row r="644" customFormat="1" ht="15.75" customHeight="1" x14ac:dyDescent="0.2"/>
    <row r="645" customFormat="1" ht="15.75" customHeight="1" x14ac:dyDescent="0.2"/>
    <row r="646" customFormat="1" ht="15.75" customHeight="1" x14ac:dyDescent="0.2"/>
    <row r="647" customFormat="1" ht="15.75" customHeight="1" x14ac:dyDescent="0.2"/>
    <row r="648" customFormat="1" ht="15.75" customHeight="1" x14ac:dyDescent="0.2"/>
    <row r="649" customFormat="1" ht="15.75" customHeight="1" x14ac:dyDescent="0.2"/>
    <row r="650" customFormat="1" ht="15.75" customHeight="1" x14ac:dyDescent="0.2"/>
    <row r="651" customFormat="1" ht="15.75" customHeight="1" x14ac:dyDescent="0.2"/>
    <row r="652" customFormat="1" ht="15.75" customHeight="1" x14ac:dyDescent="0.2"/>
    <row r="653" customFormat="1" ht="15.75" customHeight="1" x14ac:dyDescent="0.2"/>
    <row r="654" customFormat="1" ht="15.75" customHeight="1" x14ac:dyDescent="0.2"/>
    <row r="655" customFormat="1" ht="15.75" customHeight="1" x14ac:dyDescent="0.2"/>
    <row r="656" customFormat="1" ht="15.75" customHeight="1" x14ac:dyDescent="0.2"/>
    <row r="657" customFormat="1" ht="15.75" customHeight="1" x14ac:dyDescent="0.2"/>
    <row r="658" customFormat="1" ht="15.75" customHeight="1" x14ac:dyDescent="0.2"/>
    <row r="659" customFormat="1" ht="15.75" customHeight="1" x14ac:dyDescent="0.2"/>
    <row r="660" customFormat="1" ht="15.75" customHeight="1" x14ac:dyDescent="0.2"/>
    <row r="661" customFormat="1" ht="15.75" customHeight="1" x14ac:dyDescent="0.2"/>
    <row r="662" customFormat="1" ht="15.75" customHeight="1" x14ac:dyDescent="0.2"/>
    <row r="663" customFormat="1" ht="15.75" customHeight="1" x14ac:dyDescent="0.2"/>
    <row r="664" customFormat="1" ht="15.75" customHeight="1" x14ac:dyDescent="0.2"/>
    <row r="665" customFormat="1" ht="15.75" customHeight="1" x14ac:dyDescent="0.2"/>
    <row r="666" customFormat="1" ht="15.75" customHeight="1" x14ac:dyDescent="0.2"/>
    <row r="667" customFormat="1" ht="15.75" customHeight="1" x14ac:dyDescent="0.2"/>
    <row r="668" customFormat="1" ht="15.75" customHeight="1" x14ac:dyDescent="0.2"/>
    <row r="669" customFormat="1" ht="15.75" customHeight="1" x14ac:dyDescent="0.2"/>
    <row r="670" customFormat="1" ht="15.75" customHeight="1" x14ac:dyDescent="0.2"/>
    <row r="671" customFormat="1" ht="15.75" customHeight="1" x14ac:dyDescent="0.2"/>
    <row r="672" customFormat="1" ht="15.75" customHeight="1" x14ac:dyDescent="0.2"/>
    <row r="673" customFormat="1" ht="15.75" customHeight="1" x14ac:dyDescent="0.2"/>
    <row r="674" customFormat="1" ht="15.75" customHeight="1" x14ac:dyDescent="0.2"/>
    <row r="675" customFormat="1" ht="15.75" customHeight="1" x14ac:dyDescent="0.2"/>
    <row r="676" customFormat="1" ht="15.75" customHeight="1" x14ac:dyDescent="0.2"/>
    <row r="677" customFormat="1" ht="15.75" customHeight="1" x14ac:dyDescent="0.2"/>
    <row r="678" customFormat="1" ht="15.75" customHeight="1" x14ac:dyDescent="0.2"/>
    <row r="679" customFormat="1" ht="15.75" customHeight="1" x14ac:dyDescent="0.2"/>
    <row r="680" customFormat="1" ht="15.75" customHeight="1" x14ac:dyDescent="0.2"/>
    <row r="681" customFormat="1" ht="15.75" customHeight="1" x14ac:dyDescent="0.2"/>
    <row r="682" customFormat="1" ht="15.75" customHeight="1" x14ac:dyDescent="0.2"/>
    <row r="683" customFormat="1" ht="15.75" customHeight="1" x14ac:dyDescent="0.2"/>
    <row r="684" customFormat="1" ht="15.75" customHeight="1" x14ac:dyDescent="0.2"/>
    <row r="685" customFormat="1" ht="15.75" customHeight="1" x14ac:dyDescent="0.2"/>
    <row r="686" customFormat="1" ht="15.75" customHeight="1" x14ac:dyDescent="0.2"/>
    <row r="687" customFormat="1" ht="15.75" customHeight="1" x14ac:dyDescent="0.2"/>
    <row r="688" customFormat="1" ht="15.75" customHeight="1" x14ac:dyDescent="0.2"/>
    <row r="689" customFormat="1" ht="15.75" customHeight="1" x14ac:dyDescent="0.2"/>
    <row r="690" customFormat="1" ht="15.75" customHeight="1" x14ac:dyDescent="0.2"/>
    <row r="691" customFormat="1" ht="15.75" customHeight="1" x14ac:dyDescent="0.2"/>
    <row r="692" customFormat="1" ht="15.75" customHeight="1" x14ac:dyDescent="0.2"/>
    <row r="693" customFormat="1" ht="15.75" customHeight="1" x14ac:dyDescent="0.2"/>
    <row r="694" customFormat="1" ht="15.75" customHeight="1" x14ac:dyDescent="0.2"/>
    <row r="695" customFormat="1" ht="15.75" customHeight="1" x14ac:dyDescent="0.2"/>
    <row r="696" customFormat="1" ht="15.75" customHeight="1" x14ac:dyDescent="0.2"/>
    <row r="697" customFormat="1" ht="15.75" customHeight="1" x14ac:dyDescent="0.2"/>
    <row r="698" customFormat="1" ht="15.75" customHeight="1" x14ac:dyDescent="0.2"/>
    <row r="699" customFormat="1" ht="15.75" customHeight="1" x14ac:dyDescent="0.2"/>
    <row r="700" customFormat="1" ht="15.75" customHeight="1" x14ac:dyDescent="0.2"/>
    <row r="701" customFormat="1" ht="15.75" customHeight="1" x14ac:dyDescent="0.2"/>
    <row r="702" customFormat="1" ht="15.75" customHeight="1" x14ac:dyDescent="0.2"/>
    <row r="703" customFormat="1" ht="15.75" customHeight="1" x14ac:dyDescent="0.2"/>
    <row r="704" customFormat="1" ht="15.75" customHeight="1" x14ac:dyDescent="0.2"/>
    <row r="705" customFormat="1" ht="15.75" customHeight="1" x14ac:dyDescent="0.2"/>
    <row r="706" customFormat="1" ht="15.75" customHeight="1" x14ac:dyDescent="0.2"/>
    <row r="707" customFormat="1" ht="15.75" customHeight="1" x14ac:dyDescent="0.2"/>
    <row r="708" customFormat="1" ht="15.75" customHeight="1" x14ac:dyDescent="0.2"/>
    <row r="709" customFormat="1" ht="15.75" customHeight="1" x14ac:dyDescent="0.2"/>
    <row r="710" customFormat="1" ht="15.75" customHeight="1" x14ac:dyDescent="0.2"/>
    <row r="711" customFormat="1" ht="15.75" customHeight="1" x14ac:dyDescent="0.2"/>
    <row r="712" customFormat="1" ht="15.75" customHeight="1" x14ac:dyDescent="0.2"/>
    <row r="713" customFormat="1" ht="15.75" customHeight="1" x14ac:dyDescent="0.2"/>
    <row r="714" customFormat="1" ht="15.75" customHeight="1" x14ac:dyDescent="0.2"/>
    <row r="715" customFormat="1" ht="15.75" customHeight="1" x14ac:dyDescent="0.2"/>
    <row r="716" customFormat="1" ht="15.75" customHeight="1" x14ac:dyDescent="0.2"/>
    <row r="717" customFormat="1" ht="15.75" customHeight="1" x14ac:dyDescent="0.2"/>
    <row r="718" customFormat="1" ht="15.75" customHeight="1" x14ac:dyDescent="0.2"/>
    <row r="719" customFormat="1" ht="15.75" customHeight="1" x14ac:dyDescent="0.2"/>
    <row r="720" customFormat="1" ht="15.75" customHeight="1" x14ac:dyDescent="0.2"/>
    <row r="721" customFormat="1" ht="15.75" customHeight="1" x14ac:dyDescent="0.2"/>
    <row r="722" customFormat="1" ht="15.75" customHeight="1" x14ac:dyDescent="0.2"/>
    <row r="723" customFormat="1" ht="15.75" customHeight="1" x14ac:dyDescent="0.2"/>
    <row r="724" customFormat="1" ht="15.75" customHeight="1" x14ac:dyDescent="0.2"/>
    <row r="725" customFormat="1" ht="15.75" customHeight="1" x14ac:dyDescent="0.2"/>
    <row r="726" customFormat="1" ht="15.75" customHeight="1" x14ac:dyDescent="0.2"/>
    <row r="727" customFormat="1" ht="15.75" customHeight="1" x14ac:dyDescent="0.2"/>
  </sheetData>
  <mergeCells count="2">
    <mergeCell ref="A4:D4"/>
    <mergeCell ref="A5:D5"/>
  </mergeCells>
  <phoneticPr fontId="12" type="noConversion"/>
  <pageMargins left="0.51181102362204722" right="0.19685039370078741" top="0.35433070866141736" bottom="0.39370078740157483" header="0.31496062992125984" footer="0.51181102362204722"/>
  <pageSetup paperSize="9" scale="6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5"/>
  <sheetViews>
    <sheetView topLeftCell="A34" zoomScaleNormal="100" zoomScaleSheetLayoutView="90" workbookViewId="0">
      <selection activeCell="G5" sqref="G1:G1048576"/>
    </sheetView>
  </sheetViews>
  <sheetFormatPr defaultColWidth="0" defaultRowHeight="12.75" x14ac:dyDescent="0.2"/>
  <cols>
    <col min="1" max="1" width="77.28515625" customWidth="1"/>
    <col min="2" max="2" width="15.28515625" customWidth="1"/>
    <col min="3" max="3" width="16.7109375" hidden="1" customWidth="1"/>
    <col min="4" max="4" width="15.42578125" style="9" customWidth="1"/>
    <col min="5" max="5" width="15.42578125" customWidth="1"/>
    <col min="6" max="6" width="15.42578125" hidden="1" customWidth="1"/>
    <col min="7" max="7" width="15.42578125" style="9" hidden="1" customWidth="1"/>
    <col min="8" max="8" width="12" customWidth="1"/>
    <col min="9" max="9" width="8.140625" style="9" customWidth="1"/>
    <col min="10" max="10" width="9.140625" customWidth="1"/>
    <col min="11" max="11" width="7.85546875" customWidth="1"/>
    <col min="12" max="12" width="15.28515625" customWidth="1"/>
    <col min="13" max="20" width="7.85546875" customWidth="1"/>
    <col min="21" max="226" width="9.140625" customWidth="1"/>
  </cols>
  <sheetData>
    <row r="1" spans="1:22" ht="15.75" customHeight="1" x14ac:dyDescent="0.2">
      <c r="A1" s="546"/>
      <c r="E1" s="179" t="s">
        <v>951</v>
      </c>
    </row>
    <row r="2" spans="1:22" x14ac:dyDescent="0.2">
      <c r="A2" s="546"/>
      <c r="E2" s="183" t="str">
        <f>'1.Bev-kiad.'!F2</f>
        <v>a 11/2023.(V.26.) önkormányzati rendelethez</v>
      </c>
    </row>
    <row r="3" spans="1:22" ht="15.75" customHeight="1" x14ac:dyDescent="0.2">
      <c r="A3" s="546"/>
      <c r="E3" s="183" t="s">
        <v>1298</v>
      </c>
    </row>
    <row r="4" spans="1:22" ht="19.5" x14ac:dyDescent="0.2">
      <c r="A4" s="792" t="s">
        <v>409</v>
      </c>
      <c r="B4" s="793"/>
      <c r="C4" s="793"/>
      <c r="D4" s="793"/>
      <c r="E4" s="793"/>
      <c r="F4" s="793"/>
    </row>
    <row r="5" spans="1:22" ht="19.5" customHeight="1" x14ac:dyDescent="0.35">
      <c r="A5" s="794" t="s">
        <v>1138</v>
      </c>
      <c r="B5" s="795"/>
      <c r="C5" s="795"/>
      <c r="D5" s="795"/>
      <c r="E5" s="795"/>
      <c r="F5" s="795"/>
    </row>
    <row r="6" spans="1:22" ht="5.25" customHeight="1" x14ac:dyDescent="0.2">
      <c r="A6" s="53"/>
      <c r="B6" s="54"/>
      <c r="C6" s="54"/>
      <c r="D6" s="543"/>
      <c r="E6" s="54"/>
      <c r="F6" s="54"/>
    </row>
    <row r="7" spans="1:22" ht="13.5" thickBot="1" x14ac:dyDescent="0.25">
      <c r="A7" s="53"/>
      <c r="E7" s="179" t="s">
        <v>0</v>
      </c>
    </row>
    <row r="8" spans="1:22" s="4" customFormat="1" ht="48" thickBot="1" x14ac:dyDescent="0.3">
      <c r="A8" s="44" t="s">
        <v>14</v>
      </c>
      <c r="B8" s="45" t="str">
        <f>'1.Bev-kiad.'!C7</f>
        <v>2022. évi eredeti előirányzat</v>
      </c>
      <c r="C8" s="45" t="str">
        <f>'1.Bev-kiad.'!D7</f>
        <v>Módosított előirányzat 2022.06.havi</v>
      </c>
      <c r="D8" s="45" t="str">
        <f>'1.Bev-kiad.'!E7</f>
        <v>Módosított előirányzat 2022.10.havi</v>
      </c>
      <c r="E8" s="45" t="str">
        <f>'1.Bev-kiad.'!F7</f>
        <v>Módosított előirányzat 2022.12.31.</v>
      </c>
      <c r="F8" s="46" t="str">
        <f>'1.Bev-kiad.'!G7</f>
        <v>Teljesítés 2022.12.31.</v>
      </c>
      <c r="G8" s="318"/>
      <c r="I8" s="9"/>
    </row>
    <row r="9" spans="1:22" s="4" customFormat="1" ht="18" customHeight="1" x14ac:dyDescent="0.25">
      <c r="A9" s="252" t="s">
        <v>15</v>
      </c>
      <c r="B9" s="253">
        <f>SUM(B10+B38+B39)</f>
        <v>331787</v>
      </c>
      <c r="C9" s="253">
        <f>SUM(C10+C38+C39)</f>
        <v>325165</v>
      </c>
      <c r="D9" s="253">
        <f>SUM(D10+D38+D39)</f>
        <v>329185</v>
      </c>
      <c r="E9" s="253">
        <f>SUM(E10+E38+E39)</f>
        <v>332870</v>
      </c>
      <c r="F9" s="253">
        <f>SUM(F10+F38+F39)</f>
        <v>337731</v>
      </c>
      <c r="G9" s="319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spans="1:22" s="4" customFormat="1" ht="14.25" customHeight="1" x14ac:dyDescent="0.25">
      <c r="A10" s="17" t="s">
        <v>3</v>
      </c>
      <c r="B10" s="5">
        <f>SUM(B11+B19)</f>
        <v>281418</v>
      </c>
      <c r="C10" s="5">
        <f>SUM(C11+C19)</f>
        <v>274796</v>
      </c>
      <c r="D10" s="5">
        <f>SUM(D11+D19)</f>
        <v>278816</v>
      </c>
      <c r="E10" s="5">
        <f>SUM(E11+E19)</f>
        <v>282501</v>
      </c>
      <c r="F10" s="5">
        <f>SUM(F11+F19)</f>
        <v>287362</v>
      </c>
      <c r="G10" s="319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1" spans="1:22" s="4" customFormat="1" ht="14.25" customHeight="1" x14ac:dyDescent="0.25">
      <c r="A11" s="17" t="s">
        <v>416</v>
      </c>
      <c r="B11" s="5">
        <f>SUM(B12:B18)</f>
        <v>245858</v>
      </c>
      <c r="C11" s="5">
        <f>SUM(C12:C18)</f>
        <v>239183</v>
      </c>
      <c r="D11" s="5">
        <f>SUM(D12:D18)</f>
        <v>242921</v>
      </c>
      <c r="E11" s="5">
        <f>SUM(E12:E18)</f>
        <v>244072</v>
      </c>
      <c r="F11" s="5">
        <f>SUM(F12:F18)</f>
        <v>251802</v>
      </c>
      <c r="G11" s="319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</row>
    <row r="12" spans="1:22" s="4" customFormat="1" ht="14.25" customHeight="1" x14ac:dyDescent="0.25">
      <c r="A12" s="15" t="s">
        <v>339</v>
      </c>
      <c r="B12" s="13">
        <f>SUM('2.működés'!C23)</f>
        <v>91952</v>
      </c>
      <c r="C12" s="13">
        <f>SUM('2.működés'!D23)</f>
        <v>91952</v>
      </c>
      <c r="D12" s="13">
        <f>SUM('2.működés'!E23)</f>
        <v>93213</v>
      </c>
      <c r="E12" s="13">
        <f>SUM('2.működés'!F23)</f>
        <v>93575</v>
      </c>
      <c r="F12" s="13">
        <f>SUM('2.működés'!G23)</f>
        <v>93213</v>
      </c>
      <c r="G12" s="319">
        <f>E12-D12</f>
        <v>362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s="4" customFormat="1" ht="14.25" customHeight="1" x14ac:dyDescent="0.25">
      <c r="A13" s="15" t="s">
        <v>472</v>
      </c>
      <c r="B13" s="13">
        <f>SUM('2.működés'!C34)</f>
        <v>44780</v>
      </c>
      <c r="C13" s="13">
        <f>SUM('2.működés'!D34)</f>
        <v>44780</v>
      </c>
      <c r="D13" s="13">
        <f>SUM('2.működés'!E34)</f>
        <v>44780</v>
      </c>
      <c r="E13" s="13">
        <f>SUM('2.működés'!F34)</f>
        <v>45199</v>
      </c>
      <c r="F13" s="13">
        <f>SUM('2.működés'!G34)</f>
        <v>44780</v>
      </c>
      <c r="G13" s="319">
        <f t="shared" ref="G13:G17" si="0">E13-D13</f>
        <v>419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</row>
    <row r="14" spans="1:22" s="4" customFormat="1" ht="12.75" customHeight="1" x14ac:dyDescent="0.25">
      <c r="A14" s="15" t="s">
        <v>473</v>
      </c>
      <c r="B14" s="13">
        <f>SUM('2.működés'!C27+'2.működés'!C31)</f>
        <v>81682</v>
      </c>
      <c r="C14" s="13">
        <f>SUM('2.működés'!D27+'2.működés'!D31)</f>
        <v>84160</v>
      </c>
      <c r="D14" s="13">
        <f>SUM('2.működés'!E27+'2.működés'!E31)</f>
        <v>86637</v>
      </c>
      <c r="E14" s="13">
        <f>SUM('2.működés'!F27+'2.működés'!F31)</f>
        <v>87703</v>
      </c>
      <c r="F14" s="13">
        <f>SUM('2.működés'!G27+'2.működés'!G31)</f>
        <v>86637</v>
      </c>
      <c r="G14" s="319">
        <f t="shared" si="0"/>
        <v>1066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</row>
    <row r="15" spans="1:22" s="4" customFormat="1" ht="14.25" customHeight="1" x14ac:dyDescent="0.25">
      <c r="A15" s="15" t="s">
        <v>929</v>
      </c>
      <c r="B15" s="13">
        <f>SUM('2.működés'!C29)</f>
        <v>9153</v>
      </c>
      <c r="C15" s="13">
        <f>9153-204-8949</f>
        <v>0</v>
      </c>
      <c r="D15" s="13">
        <f>9153-204-8949</f>
        <v>0</v>
      </c>
      <c r="E15" s="13">
        <f>9153-204-8949</f>
        <v>0</v>
      </c>
      <c r="F15" s="13">
        <f>SUM('2.működés'!G29)</f>
        <v>8881</v>
      </c>
      <c r="G15" s="319">
        <f t="shared" si="0"/>
        <v>0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</row>
    <row r="16" spans="1:22" s="4" customFormat="1" ht="14.25" customHeight="1" x14ac:dyDescent="0.25">
      <c r="A16" s="15" t="s">
        <v>946</v>
      </c>
      <c r="B16" s="13">
        <v>250</v>
      </c>
      <c r="C16" s="13">
        <v>250</v>
      </c>
      <c r="D16" s="13">
        <v>250</v>
      </c>
      <c r="E16" s="13">
        <v>250</v>
      </c>
      <c r="F16" s="13">
        <v>250</v>
      </c>
      <c r="G16" s="319">
        <f t="shared" si="0"/>
        <v>0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</row>
    <row r="17" spans="1:22" s="4" customFormat="1" ht="14.25" customHeight="1" x14ac:dyDescent="0.25">
      <c r="A17" s="15" t="s">
        <v>1034</v>
      </c>
      <c r="B17" s="13">
        <v>16075</v>
      </c>
      <c r="C17" s="13">
        <v>16075</v>
      </c>
      <c r="D17" s="13">
        <v>16075</v>
      </c>
      <c r="E17" s="13">
        <f>16075-696</f>
        <v>15379</v>
      </c>
      <c r="F17" s="13">
        <v>16075</v>
      </c>
      <c r="G17" s="319">
        <f t="shared" si="0"/>
        <v>-696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</row>
    <row r="18" spans="1:22" s="4" customFormat="1" ht="18" x14ac:dyDescent="0.25">
      <c r="A18" s="15" t="s">
        <v>1178</v>
      </c>
      <c r="B18" s="13">
        <v>1966</v>
      </c>
      <c r="C18" s="13">
        <v>1966</v>
      </c>
      <c r="D18" s="13">
        <v>1966</v>
      </c>
      <c r="E18" s="13">
        <v>1966</v>
      </c>
      <c r="F18" s="13">
        <v>1966</v>
      </c>
      <c r="G18" s="319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</row>
    <row r="19" spans="1:22" s="4" customFormat="1" ht="28.5" customHeight="1" x14ac:dyDescent="0.25">
      <c r="A19" s="225" t="s">
        <v>428</v>
      </c>
      <c r="B19" s="5">
        <f>SUM(B20+B32+B33+B34+B35+B36+B37)</f>
        <v>35560</v>
      </c>
      <c r="C19" s="5">
        <f>SUM(C20+C32+C33+C34+C35+C36+C37)+C30</f>
        <v>35613</v>
      </c>
      <c r="D19" s="5">
        <f>SUM(D20+D32+D33+D34+D35+D36+D37)+D30</f>
        <v>35895</v>
      </c>
      <c r="E19" s="5">
        <f>SUM(E20+E32+E33+E34+E35+E36+E37)+E30+E31</f>
        <v>38429</v>
      </c>
      <c r="F19" s="5">
        <f>SUM(F20+F32+F33+F34+F35+F37)</f>
        <v>35560</v>
      </c>
      <c r="G19" s="319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</row>
    <row r="20" spans="1:22" s="4" customFormat="1" ht="14.25" customHeight="1" x14ac:dyDescent="0.25">
      <c r="A20" s="15" t="s">
        <v>17</v>
      </c>
      <c r="B20" s="789">
        <v>26658</v>
      </c>
      <c r="C20" s="789">
        <v>26658</v>
      </c>
      <c r="D20" s="789">
        <v>26658</v>
      </c>
      <c r="E20" s="789">
        <v>26658</v>
      </c>
      <c r="F20" s="789">
        <v>26658</v>
      </c>
      <c r="G20" s="319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</row>
    <row r="21" spans="1:22" s="4" customFormat="1" ht="14.25" customHeight="1" x14ac:dyDescent="0.25">
      <c r="A21" s="15" t="s">
        <v>18</v>
      </c>
      <c r="B21" s="790"/>
      <c r="C21" s="790"/>
      <c r="D21" s="790"/>
      <c r="E21" s="790"/>
      <c r="F21" s="790"/>
      <c r="G21" s="319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</row>
    <row r="22" spans="1:22" s="4" customFormat="1" ht="14.25" customHeight="1" x14ac:dyDescent="0.25">
      <c r="A22" s="21" t="s">
        <v>19</v>
      </c>
      <c r="B22" s="790"/>
      <c r="C22" s="790"/>
      <c r="D22" s="790"/>
      <c r="E22" s="790"/>
      <c r="F22" s="790"/>
      <c r="G22" s="319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</row>
    <row r="23" spans="1:22" s="4" customFormat="1" ht="14.25" customHeight="1" x14ac:dyDescent="0.25">
      <c r="A23" s="15" t="s">
        <v>20</v>
      </c>
      <c r="B23" s="790"/>
      <c r="C23" s="790"/>
      <c r="D23" s="790"/>
      <c r="E23" s="790"/>
      <c r="F23" s="790"/>
      <c r="G23" s="319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s="4" customFormat="1" ht="14.25" customHeight="1" x14ac:dyDescent="0.25">
      <c r="A24" s="15" t="s">
        <v>489</v>
      </c>
      <c r="B24" s="790"/>
      <c r="C24" s="790"/>
      <c r="D24" s="790"/>
      <c r="E24" s="790"/>
      <c r="F24" s="790"/>
      <c r="G24" s="319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</row>
    <row r="25" spans="1:22" s="4" customFormat="1" ht="14.25" customHeight="1" x14ac:dyDescent="0.25">
      <c r="A25" s="15" t="s">
        <v>21</v>
      </c>
      <c r="B25" s="790"/>
      <c r="C25" s="790"/>
      <c r="D25" s="790"/>
      <c r="E25" s="790"/>
      <c r="F25" s="790"/>
      <c r="G25" s="319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</row>
    <row r="26" spans="1:22" s="4" customFormat="1" ht="14.25" customHeight="1" x14ac:dyDescent="0.25">
      <c r="A26" s="15" t="s">
        <v>22</v>
      </c>
      <c r="B26" s="790"/>
      <c r="C26" s="790"/>
      <c r="D26" s="790"/>
      <c r="E26" s="790"/>
      <c r="F26" s="790"/>
      <c r="G26" s="319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</row>
    <row r="27" spans="1:22" s="4" customFormat="1" ht="14.25" customHeight="1" x14ac:dyDescent="0.25">
      <c r="A27" s="11" t="s">
        <v>23</v>
      </c>
      <c r="B27" s="790"/>
      <c r="C27" s="790"/>
      <c r="D27" s="790"/>
      <c r="E27" s="790"/>
      <c r="F27" s="790"/>
      <c r="G27" s="319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</row>
    <row r="28" spans="1:22" s="4" customFormat="1" ht="14.25" customHeight="1" x14ac:dyDescent="0.25">
      <c r="A28" s="15" t="s">
        <v>24</v>
      </c>
      <c r="B28" s="790"/>
      <c r="C28" s="790"/>
      <c r="D28" s="790"/>
      <c r="E28" s="790"/>
      <c r="F28" s="790"/>
      <c r="G28" s="319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</row>
    <row r="29" spans="1:22" s="4" customFormat="1" ht="14.25" customHeight="1" x14ac:dyDescent="0.25">
      <c r="A29" s="15" t="s">
        <v>25</v>
      </c>
      <c r="B29" s="791"/>
      <c r="C29" s="791"/>
      <c r="D29" s="791"/>
      <c r="E29" s="791"/>
      <c r="F29" s="791"/>
      <c r="G29" s="319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</row>
    <row r="30" spans="1:22" s="4" customFormat="1" ht="14.25" customHeight="1" x14ac:dyDescent="0.25">
      <c r="A30" s="15" t="s">
        <v>1362</v>
      </c>
      <c r="B30" s="614">
        <v>0</v>
      </c>
      <c r="C30" s="614">
        <v>0</v>
      </c>
      <c r="D30" s="614">
        <v>282</v>
      </c>
      <c r="E30" s="614">
        <v>282</v>
      </c>
      <c r="F30" s="614"/>
      <c r="G30" s="319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</row>
    <row r="31" spans="1:22" s="4" customFormat="1" ht="14.25" customHeight="1" x14ac:dyDescent="0.25">
      <c r="A31" s="15" t="s">
        <v>1424</v>
      </c>
      <c r="B31" s="614">
        <v>0</v>
      </c>
      <c r="C31" s="614">
        <v>0</v>
      </c>
      <c r="D31" s="614">
        <v>0</v>
      </c>
      <c r="E31" s="614">
        <v>2534</v>
      </c>
      <c r="F31" s="614"/>
      <c r="G31" s="319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</row>
    <row r="32" spans="1:22" s="4" customFormat="1" ht="14.25" customHeight="1" x14ac:dyDescent="0.25">
      <c r="A32" s="15" t="s">
        <v>1157</v>
      </c>
      <c r="B32" s="614">
        <v>8120</v>
      </c>
      <c r="C32" s="614">
        <v>8120</v>
      </c>
      <c r="D32" s="614">
        <v>8120</v>
      </c>
      <c r="E32" s="614">
        <v>8120</v>
      </c>
      <c r="F32" s="614">
        <v>8120</v>
      </c>
      <c r="G32" s="319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</row>
    <row r="33" spans="1:22" s="4" customFormat="1" ht="14.25" customHeight="1" x14ac:dyDescent="0.25">
      <c r="A33" s="15" t="s">
        <v>427</v>
      </c>
      <c r="B33" s="167">
        <v>103</v>
      </c>
      <c r="C33" s="167">
        <v>103</v>
      </c>
      <c r="D33" s="167">
        <v>103</v>
      </c>
      <c r="E33" s="167">
        <v>103</v>
      </c>
      <c r="F33" s="167">
        <v>103</v>
      </c>
      <c r="G33" s="319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</row>
    <row r="34" spans="1:22" s="4" customFormat="1" ht="14.25" customHeight="1" x14ac:dyDescent="0.25">
      <c r="A34" s="8" t="s">
        <v>515</v>
      </c>
      <c r="B34" s="13">
        <v>474</v>
      </c>
      <c r="C34" s="13">
        <f>474+58</f>
        <v>532</v>
      </c>
      <c r="D34" s="13">
        <f>474+58</f>
        <v>532</v>
      </c>
      <c r="E34" s="13">
        <f>474+58</f>
        <v>532</v>
      </c>
      <c r="F34" s="13">
        <v>474</v>
      </c>
      <c r="G34" s="319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</row>
    <row r="35" spans="1:22" s="4" customFormat="1" ht="14.25" customHeight="1" x14ac:dyDescent="0.25">
      <c r="A35" s="8" t="s">
        <v>516</v>
      </c>
      <c r="B35" s="13">
        <v>146</v>
      </c>
      <c r="C35" s="13">
        <f>146-10-78-58</f>
        <v>0</v>
      </c>
      <c r="D35" s="13">
        <f>146-10-78-58</f>
        <v>0</v>
      </c>
      <c r="E35" s="13">
        <f>146-10-78-58</f>
        <v>0</v>
      </c>
      <c r="F35" s="13">
        <v>146</v>
      </c>
      <c r="G35" s="319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</row>
    <row r="36" spans="1:22" s="4" customFormat="1" ht="14.25" customHeight="1" x14ac:dyDescent="0.25">
      <c r="A36" s="8" t="s">
        <v>1122</v>
      </c>
      <c r="B36" s="13">
        <v>59</v>
      </c>
      <c r="C36" s="13">
        <f>59-59</f>
        <v>0</v>
      </c>
      <c r="D36" s="13">
        <f>59-59</f>
        <v>0</v>
      </c>
      <c r="E36" s="13">
        <f>59-59</f>
        <v>0</v>
      </c>
      <c r="F36" s="13"/>
      <c r="G36" s="319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</row>
    <row r="37" spans="1:22" s="4" customFormat="1" ht="14.25" customHeight="1" x14ac:dyDescent="0.25">
      <c r="A37" s="8" t="s">
        <v>1270</v>
      </c>
      <c r="B37" s="13">
        <v>0</v>
      </c>
      <c r="C37" s="13">
        <v>200</v>
      </c>
      <c r="D37" s="13">
        <v>200</v>
      </c>
      <c r="E37" s="13">
        <v>200</v>
      </c>
      <c r="F37" s="13">
        <v>59</v>
      </c>
      <c r="G37" s="319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</row>
    <row r="38" spans="1:22" s="4" customFormat="1" ht="14.25" customHeight="1" x14ac:dyDescent="0.25">
      <c r="A38" s="17" t="s">
        <v>963</v>
      </c>
      <c r="B38" s="168">
        <v>0</v>
      </c>
      <c r="C38" s="168">
        <v>0</v>
      </c>
      <c r="D38" s="168">
        <v>0</v>
      </c>
      <c r="E38" s="168">
        <v>0</v>
      </c>
      <c r="F38" s="168">
        <v>0</v>
      </c>
      <c r="G38" s="319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</row>
    <row r="39" spans="1:22" s="4" customFormat="1" ht="13.5" customHeight="1" thickBot="1" x14ac:dyDescent="0.3">
      <c r="A39" s="17" t="s">
        <v>1160</v>
      </c>
      <c r="B39" s="168">
        <v>50369</v>
      </c>
      <c r="C39" s="168">
        <v>50369</v>
      </c>
      <c r="D39" s="168">
        <v>50369</v>
      </c>
      <c r="E39" s="168">
        <v>50369</v>
      </c>
      <c r="F39" s="168">
        <v>50369</v>
      </c>
      <c r="G39" s="319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</row>
    <row r="40" spans="1:22" s="4" customFormat="1" ht="18.75" customHeight="1" thickBot="1" x14ac:dyDescent="0.3">
      <c r="A40" s="257" t="s">
        <v>16</v>
      </c>
      <c r="B40" s="258">
        <f>SUM(B41+B56+B57)</f>
        <v>133924</v>
      </c>
      <c r="C40" s="258">
        <f>SUM(C41+C56+C57)</f>
        <v>150230</v>
      </c>
      <c r="D40" s="258">
        <f>SUM(D41+D56+D57)</f>
        <v>150230</v>
      </c>
      <c r="E40" s="258">
        <f>SUM(E41+E56+E57)</f>
        <v>151096</v>
      </c>
      <c r="F40" s="259">
        <f>SUM(F41+F56+F57)</f>
        <v>133924</v>
      </c>
      <c r="G40" s="319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</row>
    <row r="41" spans="1:22" s="4" customFormat="1" ht="14.25" customHeight="1" x14ac:dyDescent="0.25">
      <c r="A41" s="16" t="s">
        <v>4</v>
      </c>
      <c r="B41" s="41">
        <f>SUM(B42+B43+B52+B53+B54)</f>
        <v>92724</v>
      </c>
      <c r="C41" s="41">
        <f>SUM(C42+C43+C52+C53+C54)</f>
        <v>109030</v>
      </c>
      <c r="D41" s="41">
        <f>SUM(D42+D43+D52+D53+D54)</f>
        <v>108630</v>
      </c>
      <c r="E41" s="41">
        <f>SUM(E42+E43+E52+E53+E54)</f>
        <v>109236</v>
      </c>
      <c r="F41" s="41">
        <f>SUM(F42+F43+F52+F53+F54)</f>
        <v>92724</v>
      </c>
      <c r="G41" s="319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</row>
    <row r="42" spans="1:22" s="4" customFormat="1" ht="14.25" customHeight="1" x14ac:dyDescent="0.25">
      <c r="A42" s="21" t="s">
        <v>1009</v>
      </c>
      <c r="B42" s="13">
        <f>SUM(B44+B45+B48+B51)</f>
        <v>22324</v>
      </c>
      <c r="C42" s="13">
        <f>SUM(C44+C45+C48+C51)</f>
        <v>22324</v>
      </c>
      <c r="D42" s="13">
        <f>SUM(D44+D45+D48+D51)</f>
        <v>22324</v>
      </c>
      <c r="E42" s="13">
        <f>SUM(E44+E45+E48+E51)</f>
        <v>22930</v>
      </c>
      <c r="F42" s="13">
        <f>SUM(F44+F45+F48+F51)</f>
        <v>22324</v>
      </c>
      <c r="G42" s="319">
        <f>E42+E43</f>
        <v>92930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</row>
    <row r="43" spans="1:22" s="4" customFormat="1" ht="14.25" customHeight="1" x14ac:dyDescent="0.25">
      <c r="A43" s="21" t="s">
        <v>1010</v>
      </c>
      <c r="B43" s="13">
        <v>70000</v>
      </c>
      <c r="C43" s="13">
        <v>70000</v>
      </c>
      <c r="D43" s="13">
        <v>70000</v>
      </c>
      <c r="E43" s="13">
        <v>70000</v>
      </c>
      <c r="F43" s="13">
        <v>70000</v>
      </c>
      <c r="G43" s="319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</row>
    <row r="44" spans="1:22" s="4" customFormat="1" ht="14.25" customHeight="1" x14ac:dyDescent="0.25">
      <c r="A44" s="21" t="s">
        <v>490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319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</row>
    <row r="45" spans="1:22" s="4" customFormat="1" ht="14.25" customHeight="1" x14ac:dyDescent="0.25">
      <c r="A45" s="21" t="s">
        <v>792</v>
      </c>
      <c r="B45" s="13">
        <f>B46</f>
        <v>5196</v>
      </c>
      <c r="C45" s="13">
        <f>C46</f>
        <v>5196</v>
      </c>
      <c r="D45" s="13">
        <f>D46</f>
        <v>5196</v>
      </c>
      <c r="E45" s="13">
        <f>E46</f>
        <v>5196</v>
      </c>
      <c r="F45" s="13">
        <f>F46</f>
        <v>5196</v>
      </c>
      <c r="G45" s="319"/>
      <c r="H45" s="9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</row>
    <row r="46" spans="1:22" s="4" customFormat="1" ht="14.25" customHeight="1" x14ac:dyDescent="0.25">
      <c r="A46" s="21" t="s">
        <v>793</v>
      </c>
      <c r="B46" s="178">
        <f>SUM('2.működés'!C41)</f>
        <v>5196</v>
      </c>
      <c r="C46" s="178">
        <f>SUM('2.működés'!D41)</f>
        <v>5196</v>
      </c>
      <c r="D46" s="178">
        <f>SUM('2.működés'!E41)</f>
        <v>5196</v>
      </c>
      <c r="E46" s="178">
        <f>SUM('2.működés'!F41)</f>
        <v>5196</v>
      </c>
      <c r="F46" s="178">
        <f>SUM('2.működés'!G41)</f>
        <v>5196</v>
      </c>
      <c r="G46" s="319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</row>
    <row r="47" spans="1:22" s="4" customFormat="1" ht="14.25" hidden="1" customHeight="1" x14ac:dyDescent="0.25">
      <c r="A47" s="231" t="s">
        <v>491</v>
      </c>
      <c r="B47" s="274"/>
      <c r="C47" s="274"/>
      <c r="D47" s="274"/>
      <c r="E47" s="274"/>
      <c r="F47" s="274"/>
      <c r="G47" s="319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</row>
    <row r="48" spans="1:22" s="4" customFormat="1" ht="13.5" customHeight="1" x14ac:dyDescent="0.25">
      <c r="A48" s="21" t="s">
        <v>860</v>
      </c>
      <c r="B48" s="13">
        <f>SUM(B49:B50)</f>
        <v>17128</v>
      </c>
      <c r="C48" s="13">
        <f>SUM(C49:C50)</f>
        <v>17128</v>
      </c>
      <c r="D48" s="13">
        <f>SUM(D49:D50)</f>
        <v>17128</v>
      </c>
      <c r="E48" s="13">
        <f>SUM(E49:E50)</f>
        <v>17734</v>
      </c>
      <c r="F48" s="13">
        <f>SUM(F49:F50)</f>
        <v>17128</v>
      </c>
      <c r="G48" s="319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</row>
    <row r="49" spans="1:22" s="4" customFormat="1" ht="13.5" customHeight="1" x14ac:dyDescent="0.25">
      <c r="A49" s="21" t="s">
        <v>492</v>
      </c>
      <c r="B49" s="178">
        <f>SUM('2.működés'!C14+'2.működés'!C16+'2.működés'!C17)</f>
        <v>17128</v>
      </c>
      <c r="C49" s="178">
        <f>SUM('2.működés'!D14+'2.működés'!D16+'2.működés'!D17)</f>
        <v>17128</v>
      </c>
      <c r="D49" s="178">
        <f>SUM('2.működés'!E14+'2.működés'!E16+'2.működés'!E17)</f>
        <v>17128</v>
      </c>
      <c r="E49" s="178">
        <f>SUM('2.működés'!F14+'2.működés'!F16+'2.működés'!F17)+606</f>
        <v>17734</v>
      </c>
      <c r="F49" s="178">
        <f>SUM('2.működés'!G14+'2.működés'!G16+'2.működés'!G17)</f>
        <v>17128</v>
      </c>
      <c r="G49" s="319">
        <f>E49-D49</f>
        <v>606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</row>
    <row r="50" spans="1:22" s="4" customFormat="1" ht="13.5" hidden="1" customHeight="1" x14ac:dyDescent="0.25">
      <c r="A50" s="231" t="s">
        <v>493</v>
      </c>
      <c r="B50" s="274"/>
      <c r="C50" s="274"/>
      <c r="D50" s="274"/>
      <c r="E50" s="274"/>
      <c r="F50" s="274"/>
      <c r="G50" s="319">
        <f t="shared" ref="G50:G63" si="1">E50-D50</f>
        <v>0</v>
      </c>
      <c r="H50" s="504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</row>
    <row r="51" spans="1:22" s="4" customFormat="1" ht="18" hidden="1" customHeight="1" x14ac:dyDescent="0.25">
      <c r="A51" s="231"/>
      <c r="B51" s="196"/>
      <c r="C51" s="196"/>
      <c r="D51" s="196"/>
      <c r="E51" s="196"/>
      <c r="F51" s="196"/>
      <c r="G51" s="319">
        <f t="shared" si="1"/>
        <v>0</v>
      </c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</row>
    <row r="52" spans="1:22" s="4" customFormat="1" ht="15" customHeight="1" x14ac:dyDescent="0.25">
      <c r="A52" s="8" t="s">
        <v>457</v>
      </c>
      <c r="B52" s="13">
        <v>0</v>
      </c>
      <c r="C52" s="13">
        <v>16306</v>
      </c>
      <c r="D52" s="13">
        <v>16306</v>
      </c>
      <c r="E52" s="13">
        <v>16306</v>
      </c>
      <c r="F52" s="13">
        <v>0</v>
      </c>
      <c r="G52" s="319">
        <f t="shared" si="1"/>
        <v>0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</row>
    <row r="53" spans="1:22" s="4" customFormat="1" ht="15" hidden="1" customHeight="1" x14ac:dyDescent="0.25">
      <c r="A53" s="8"/>
      <c r="B53" s="13"/>
      <c r="C53" s="13"/>
      <c r="D53" s="13"/>
      <c r="E53" s="13"/>
      <c r="F53" s="13"/>
      <c r="G53" s="319">
        <f t="shared" si="1"/>
        <v>0</v>
      </c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</row>
    <row r="54" spans="1:22" s="4" customFormat="1" ht="13.5" customHeight="1" x14ac:dyDescent="0.25">
      <c r="A54" s="15" t="s">
        <v>514</v>
      </c>
      <c r="B54" s="167">
        <v>400</v>
      </c>
      <c r="C54" s="167">
        <v>400</v>
      </c>
      <c r="D54" s="167">
        <f>400-400</f>
        <v>0</v>
      </c>
      <c r="E54" s="167">
        <f>400-400</f>
        <v>0</v>
      </c>
      <c r="F54" s="167">
        <v>400</v>
      </c>
      <c r="G54" s="319">
        <f t="shared" si="1"/>
        <v>0</v>
      </c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</row>
    <row r="55" spans="1:22" s="4" customFormat="1" ht="14.25" hidden="1" customHeight="1" x14ac:dyDescent="0.25">
      <c r="A55" s="8"/>
      <c r="B55" s="13"/>
      <c r="C55" s="13"/>
      <c r="D55" s="13"/>
      <c r="E55" s="13"/>
      <c r="F55" s="13"/>
      <c r="G55" s="319">
        <f t="shared" si="1"/>
        <v>0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</row>
    <row r="56" spans="1:22" s="4" customFormat="1" ht="14.25" customHeight="1" x14ac:dyDescent="0.25">
      <c r="A56" s="17" t="s">
        <v>403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319">
        <f t="shared" si="1"/>
        <v>0</v>
      </c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</row>
    <row r="57" spans="1:22" s="4" customFormat="1" ht="14.25" customHeight="1" x14ac:dyDescent="0.25">
      <c r="A57" s="17" t="s">
        <v>26</v>
      </c>
      <c r="B57" s="5">
        <f>SUM(B58:B67)</f>
        <v>41200</v>
      </c>
      <c r="C57" s="5">
        <f>SUM(C58:C67)</f>
        <v>41200</v>
      </c>
      <c r="D57" s="5">
        <f>SUM(D58:D67)</f>
        <v>41600</v>
      </c>
      <c r="E57" s="5">
        <f>SUM(E58:E67)</f>
        <v>41860</v>
      </c>
      <c r="F57" s="5">
        <f>SUM(F58:F67)</f>
        <v>41200</v>
      </c>
      <c r="G57" s="319"/>
      <c r="H57" s="37"/>
      <c r="I57" s="37"/>
      <c r="J57" s="37"/>
      <c r="K57" s="37"/>
      <c r="L57" s="37"/>
      <c r="M57" s="37"/>
      <c r="N57" s="634"/>
      <c r="O57" s="37"/>
      <c r="P57" s="37"/>
      <c r="Q57" s="37"/>
      <c r="R57" s="37"/>
      <c r="S57" s="37"/>
      <c r="T57" s="37"/>
      <c r="U57" s="37"/>
      <c r="V57" s="37"/>
    </row>
    <row r="58" spans="1:22" s="4" customFormat="1" ht="13.5" customHeight="1" x14ac:dyDescent="0.25">
      <c r="A58" s="8" t="s">
        <v>872</v>
      </c>
      <c r="B58" s="13">
        <v>14500</v>
      </c>
      <c r="C58" s="13">
        <v>14500</v>
      </c>
      <c r="D58" s="13">
        <v>14500</v>
      </c>
      <c r="E58" s="13">
        <v>14500</v>
      </c>
      <c r="F58" s="13">
        <v>14500</v>
      </c>
      <c r="G58" s="319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</row>
    <row r="59" spans="1:22" s="4" customFormat="1" ht="13.5" hidden="1" customHeight="1" x14ac:dyDescent="0.25">
      <c r="A59" s="12" t="s">
        <v>928</v>
      </c>
      <c r="B59" s="32"/>
      <c r="C59" s="32"/>
      <c r="D59" s="32"/>
      <c r="E59" s="32"/>
      <c r="F59" s="32"/>
      <c r="G59" s="319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</row>
    <row r="60" spans="1:22" s="4" customFormat="1" ht="13.5" hidden="1" customHeight="1" x14ac:dyDescent="0.25">
      <c r="A60" s="12" t="s">
        <v>927</v>
      </c>
      <c r="B60" s="32"/>
      <c r="C60" s="32"/>
      <c r="D60" s="32"/>
      <c r="E60" s="32"/>
      <c r="F60" s="32"/>
      <c r="G60" s="319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</row>
    <row r="61" spans="1:22" ht="13.5" customHeight="1" x14ac:dyDescent="0.2">
      <c r="A61" s="166" t="s">
        <v>513</v>
      </c>
      <c r="B61" s="595">
        <v>23000</v>
      </c>
      <c r="C61" s="595">
        <v>23000</v>
      </c>
      <c r="D61" s="595">
        <v>23000</v>
      </c>
      <c r="E61" s="595">
        <v>23000</v>
      </c>
      <c r="F61" s="595">
        <v>23000</v>
      </c>
      <c r="G61" s="319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</row>
    <row r="62" spans="1:22" x14ac:dyDescent="0.2">
      <c r="A62" s="15" t="s">
        <v>1022</v>
      </c>
      <c r="B62" s="13">
        <v>3500</v>
      </c>
      <c r="C62" s="13">
        <v>3500</v>
      </c>
      <c r="D62" s="13">
        <f>3500+400</f>
        <v>3900</v>
      </c>
      <c r="E62" s="13">
        <f>3500+400+260</f>
        <v>4160</v>
      </c>
      <c r="F62" s="13">
        <v>3500</v>
      </c>
      <c r="G62" s="319">
        <f t="shared" si="1"/>
        <v>260</v>
      </c>
      <c r="H62" s="37"/>
      <c r="I62" s="37"/>
      <c r="J62" s="37"/>
      <c r="K62" s="37"/>
      <c r="L62" s="634"/>
      <c r="M62" s="37"/>
      <c r="N62" s="37"/>
      <c r="O62" s="37"/>
      <c r="P62" s="37"/>
      <c r="Q62" s="37"/>
      <c r="R62" s="37"/>
      <c r="S62" s="37"/>
      <c r="T62" s="37"/>
      <c r="U62" s="37"/>
      <c r="V62" s="37"/>
    </row>
    <row r="63" spans="1:22" ht="12.75" customHeight="1" x14ac:dyDescent="0.2">
      <c r="A63" s="8" t="s">
        <v>845</v>
      </c>
      <c r="B63" s="13">
        <v>200</v>
      </c>
      <c r="C63" s="13">
        <f>200-200</f>
        <v>0</v>
      </c>
      <c r="D63" s="13">
        <f>200-200</f>
        <v>0</v>
      </c>
      <c r="E63" s="13">
        <f>200-200</f>
        <v>0</v>
      </c>
      <c r="F63" s="13">
        <v>200</v>
      </c>
      <c r="G63" s="319">
        <f t="shared" si="1"/>
        <v>0</v>
      </c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</row>
    <row r="64" spans="1:22" ht="12.75" customHeight="1" x14ac:dyDescent="0.2">
      <c r="A64" s="8" t="s">
        <v>1274</v>
      </c>
      <c r="B64" s="13">
        <v>0</v>
      </c>
      <c r="C64" s="13">
        <v>59</v>
      </c>
      <c r="D64" s="13">
        <v>59</v>
      </c>
      <c r="E64" s="13">
        <v>59</v>
      </c>
      <c r="F64" s="13"/>
      <c r="G64" s="319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</row>
    <row r="65" spans="1:22" ht="12.75" customHeight="1" x14ac:dyDescent="0.2">
      <c r="A65" s="8" t="s">
        <v>1273</v>
      </c>
      <c r="B65" s="13">
        <v>0</v>
      </c>
      <c r="C65" s="13">
        <v>141</v>
      </c>
      <c r="D65" s="13">
        <v>141</v>
      </c>
      <c r="E65" s="13">
        <v>141</v>
      </c>
      <c r="F65" s="13"/>
      <c r="G65" s="319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</row>
    <row r="66" spans="1:22" ht="12.75" hidden="1" customHeight="1" x14ac:dyDescent="0.2">
      <c r="A66" s="8"/>
      <c r="B66" s="13"/>
      <c r="C66" s="13"/>
      <c r="D66" s="13"/>
      <c r="E66" s="13"/>
      <c r="F66" s="13"/>
      <c r="G66" s="319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</row>
    <row r="67" spans="1:22" ht="12.75" customHeight="1" thickBot="1" x14ac:dyDescent="0.25">
      <c r="A67" s="12"/>
      <c r="B67" s="32"/>
      <c r="C67" s="32"/>
      <c r="D67" s="32"/>
      <c r="E67" s="32"/>
      <c r="F67" s="32"/>
      <c r="G67" s="319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</row>
    <row r="68" spans="1:22" ht="16.5" thickBot="1" x14ac:dyDescent="0.25">
      <c r="A68" s="260" t="s">
        <v>454</v>
      </c>
      <c r="B68" s="317">
        <f>SUM(B69:B73)</f>
        <v>5664</v>
      </c>
      <c r="C68" s="317">
        <f>SUM(C69:C73)</f>
        <v>6183</v>
      </c>
      <c r="D68" s="317">
        <f>SUM(D69:D73)</f>
        <v>4138</v>
      </c>
      <c r="E68" s="317">
        <f>SUM(E69:E73)</f>
        <v>4138</v>
      </c>
      <c r="F68" s="317">
        <f>SUM(F69:F73)</f>
        <v>5664</v>
      </c>
      <c r="G68" s="319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</row>
    <row r="69" spans="1:22" ht="12.75" hidden="1" customHeight="1" x14ac:dyDescent="0.2">
      <c r="A69" s="19"/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319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</row>
    <row r="70" spans="1:22" x14ac:dyDescent="0.2">
      <c r="A70" s="8" t="s">
        <v>1179</v>
      </c>
      <c r="B70" s="13">
        <f>(3574+2090)</f>
        <v>5664</v>
      </c>
      <c r="C70" s="13">
        <f>(3574+2090)</f>
        <v>5664</v>
      </c>
      <c r="D70" s="13">
        <f>(3574+2090)-11-2034</f>
        <v>3619</v>
      </c>
      <c r="E70" s="13">
        <f>(3574+2090)-11-2034</f>
        <v>3619</v>
      </c>
      <c r="F70" s="13">
        <f>(3574+2090)</f>
        <v>5664</v>
      </c>
      <c r="G70" s="319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</row>
    <row r="71" spans="1:22" x14ac:dyDescent="0.2">
      <c r="A71" s="8" t="s">
        <v>1260</v>
      </c>
      <c r="B71" s="13">
        <v>0</v>
      </c>
      <c r="C71" s="13">
        <v>509</v>
      </c>
      <c r="D71" s="13">
        <v>509</v>
      </c>
      <c r="E71" s="13">
        <v>509</v>
      </c>
      <c r="F71" s="13">
        <v>0</v>
      </c>
      <c r="G71" s="319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</row>
    <row r="72" spans="1:22" ht="13.5" thickBot="1" x14ac:dyDescent="0.25">
      <c r="A72" s="8" t="s">
        <v>1428</v>
      </c>
      <c r="B72" s="13">
        <v>0</v>
      </c>
      <c r="C72" s="13">
        <v>10</v>
      </c>
      <c r="D72" s="13">
        <v>10</v>
      </c>
      <c r="E72" s="13">
        <v>10</v>
      </c>
      <c r="F72" s="13">
        <v>0</v>
      </c>
      <c r="G72" s="319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</row>
    <row r="73" spans="1:22" ht="13.5" hidden="1" customHeight="1" thickBot="1" x14ac:dyDescent="0.25">
      <c r="A73" s="8" t="s">
        <v>1045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319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</row>
    <row r="74" spans="1:22" ht="20.25" customHeight="1" thickBot="1" x14ac:dyDescent="0.3">
      <c r="A74" s="261" t="s">
        <v>455</v>
      </c>
      <c r="B74" s="258">
        <f>SUM(B9+B40+B68)</f>
        <v>471375</v>
      </c>
      <c r="C74" s="258">
        <f>SUM(C9+C40+C68)</f>
        <v>481578</v>
      </c>
      <c r="D74" s="258">
        <f>SUM(D9+D40+D68)</f>
        <v>483553</v>
      </c>
      <c r="E74" s="258">
        <f>SUM(E9+E40+E68)</f>
        <v>488104</v>
      </c>
      <c r="F74" s="259">
        <f>SUM(F9+F40+F68)</f>
        <v>477319</v>
      </c>
      <c r="G74" s="319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</row>
    <row r="75" spans="1:22" x14ac:dyDescent="0.2">
      <c r="A75" s="1"/>
      <c r="B75" s="37"/>
      <c r="C75" s="37"/>
      <c r="D75" s="37"/>
      <c r="E75" s="37"/>
      <c r="F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</row>
    <row r="76" spans="1:22" ht="15.75" x14ac:dyDescent="0.25">
      <c r="A76" s="163" t="s">
        <v>94</v>
      </c>
      <c r="B76" s="119">
        <v>0</v>
      </c>
      <c r="C76" s="119">
        <v>0</v>
      </c>
      <c r="D76" s="119">
        <v>0</v>
      </c>
      <c r="E76" s="119">
        <v>0</v>
      </c>
      <c r="F76" s="119">
        <v>0</v>
      </c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</row>
    <row r="77" spans="1:22" x14ac:dyDescent="0.2">
      <c r="A77" s="63" t="s">
        <v>95</v>
      </c>
      <c r="B77" s="62"/>
      <c r="C77" s="62"/>
      <c r="D77" s="544"/>
      <c r="E77" s="62"/>
      <c r="F77" s="62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</row>
    <row r="78" spans="1:22" x14ac:dyDescent="0.2">
      <c r="A78" s="63" t="s">
        <v>96</v>
      </c>
      <c r="B78" s="62"/>
      <c r="C78" s="62"/>
      <c r="D78" s="544"/>
      <c r="E78" s="62"/>
      <c r="F78" s="62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</row>
    <row r="79" spans="1:22" x14ac:dyDescent="0.2">
      <c r="A79" s="63" t="s">
        <v>97</v>
      </c>
      <c r="B79" s="59"/>
      <c r="C79" s="59"/>
      <c r="D79" s="33"/>
      <c r="E79" s="59"/>
      <c r="F79" s="59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</row>
    <row r="80" spans="1:22" x14ac:dyDescent="0.2">
      <c r="A80" s="63" t="s">
        <v>98</v>
      </c>
      <c r="B80" s="62"/>
      <c r="C80" s="62"/>
      <c r="D80" s="544"/>
      <c r="E80" s="62"/>
      <c r="F80" s="62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</row>
    <row r="81" spans="1:22" x14ac:dyDescent="0.2">
      <c r="A81" s="63" t="s">
        <v>105</v>
      </c>
      <c r="B81" s="59"/>
      <c r="C81" s="59"/>
      <c r="D81" s="33"/>
      <c r="E81" s="59"/>
      <c r="F81" s="59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</row>
    <row r="82" spans="1:22" x14ac:dyDescent="0.2">
      <c r="A82" s="62" t="s">
        <v>99</v>
      </c>
      <c r="B82" s="62"/>
      <c r="C82" s="62"/>
      <c r="D82" s="544"/>
      <c r="E82" s="62"/>
      <c r="F82" s="62"/>
    </row>
    <row r="83" spans="1:22" x14ac:dyDescent="0.2">
      <c r="A83" s="62" t="s">
        <v>100</v>
      </c>
      <c r="B83" s="62"/>
      <c r="C83" s="62"/>
      <c r="D83" s="544"/>
      <c r="E83" s="62"/>
      <c r="F83" s="62"/>
    </row>
    <row r="84" spans="1:22" x14ac:dyDescent="0.2">
      <c r="B84" s="76"/>
      <c r="C84" s="76"/>
      <c r="D84" s="76"/>
      <c r="E84" s="76"/>
      <c r="F84" s="76"/>
    </row>
    <row r="85" spans="1:22" x14ac:dyDescent="0.2">
      <c r="A85" s="270"/>
    </row>
  </sheetData>
  <mergeCells count="7">
    <mergeCell ref="B20:B29"/>
    <mergeCell ref="F20:F29"/>
    <mergeCell ref="A4:F4"/>
    <mergeCell ref="A5:F5"/>
    <mergeCell ref="C20:C29"/>
    <mergeCell ref="D20:D29"/>
    <mergeCell ref="E20:E29"/>
  </mergeCells>
  <phoneticPr fontId="12" type="noConversion"/>
  <pageMargins left="0.47244094488188981" right="0.19685039370078741" top="0.35433070866141736" bottom="0.39370078740157483" header="0.31496062992125984" footer="0.5118110236220472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1"/>
  <sheetViews>
    <sheetView zoomScale="80" zoomScaleNormal="80" workbookViewId="0">
      <selection activeCell="A45" sqref="A45:XFD45"/>
    </sheetView>
  </sheetViews>
  <sheetFormatPr defaultRowHeight="12.75" x14ac:dyDescent="0.2"/>
  <cols>
    <col min="1" max="1" width="51" style="69" customWidth="1"/>
    <col min="2" max="2" width="13" style="612" customWidth="1"/>
    <col min="3" max="3" width="12" style="612" customWidth="1"/>
    <col min="4" max="4" width="10.7109375" style="612" customWidth="1"/>
    <col min="5" max="6" width="10.42578125" style="612" customWidth="1"/>
    <col min="7" max="7" width="11.42578125" style="613" customWidth="1"/>
    <col min="8" max="8" width="9.85546875" style="612" customWidth="1"/>
    <col min="9" max="9" width="12" style="612" customWidth="1"/>
    <col min="10" max="10" width="11.42578125" style="612" customWidth="1"/>
    <col min="11" max="11" width="11.140625" style="612" customWidth="1"/>
    <col min="12" max="13" width="12.28515625" style="612" customWidth="1"/>
    <col min="14" max="16384" width="9.140625" style="69"/>
  </cols>
  <sheetData>
    <row r="1" spans="1:25" x14ac:dyDescent="0.2">
      <c r="A1" s="797" t="s">
        <v>259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25" x14ac:dyDescent="0.2">
      <c r="A2" s="775"/>
      <c r="B2" s="775"/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6" t="str">
        <f>'1.Bev-kiad.'!F2</f>
        <v>a 11/2023.(V.26.) önkormányzati rendelethez</v>
      </c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x14ac:dyDescent="0.2">
      <c r="A3" s="611"/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183" t="s">
        <v>1299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25" x14ac:dyDescent="0.2">
      <c r="A4" s="611"/>
      <c r="B4" s="611"/>
      <c r="C4" s="611"/>
      <c r="D4" s="611"/>
      <c r="E4" s="611"/>
      <c r="F4" s="611"/>
      <c r="G4" s="611"/>
      <c r="H4" s="611"/>
      <c r="I4" s="611"/>
      <c r="J4" s="611"/>
      <c r="K4" s="611"/>
      <c r="L4" s="611"/>
      <c r="M4" s="183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 ht="15" customHeight="1" x14ac:dyDescent="0.2">
      <c r="A5" s="798" t="s">
        <v>1139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5" ht="12.95" customHeight="1" thickBot="1" x14ac:dyDescent="0.25">
      <c r="M6" s="607" t="s">
        <v>0</v>
      </c>
    </row>
    <row r="7" spans="1:25" ht="16.5" customHeight="1" x14ac:dyDescent="0.2">
      <c r="A7" s="799"/>
      <c r="B7" s="801" t="s">
        <v>62</v>
      </c>
      <c r="C7" s="801"/>
      <c r="D7" s="801"/>
      <c r="E7" s="801"/>
      <c r="F7" s="801"/>
      <c r="G7" s="801"/>
      <c r="H7" s="801" t="s">
        <v>388</v>
      </c>
      <c r="I7" s="801"/>
      <c r="J7" s="801"/>
      <c r="K7" s="801"/>
      <c r="L7" s="801"/>
      <c r="M7" s="802" t="s">
        <v>63</v>
      </c>
    </row>
    <row r="8" spans="1:25" ht="27.75" customHeight="1" x14ac:dyDescent="0.2">
      <c r="A8" s="800"/>
      <c r="B8" s="796" t="s">
        <v>383</v>
      </c>
      <c r="C8" s="796" t="s">
        <v>430</v>
      </c>
      <c r="D8" s="796"/>
      <c r="E8" s="804" t="s">
        <v>498</v>
      </c>
      <c r="F8" s="796" t="s">
        <v>440</v>
      </c>
      <c r="G8" s="796" t="s">
        <v>6</v>
      </c>
      <c r="H8" s="796" t="s">
        <v>402</v>
      </c>
      <c r="I8" s="796" t="s">
        <v>384</v>
      </c>
      <c r="J8" s="796" t="s">
        <v>443</v>
      </c>
      <c r="K8" s="806" t="s">
        <v>502</v>
      </c>
      <c r="L8" s="796" t="s">
        <v>11</v>
      </c>
      <c r="M8" s="803"/>
    </row>
    <row r="9" spans="1:25" ht="39" thickBot="1" x14ac:dyDescent="0.25">
      <c r="A9" s="800"/>
      <c r="B9" s="796"/>
      <c r="C9" s="67" t="s">
        <v>496</v>
      </c>
      <c r="D9" s="67" t="s">
        <v>497</v>
      </c>
      <c r="E9" s="805"/>
      <c r="F9" s="796"/>
      <c r="G9" s="796"/>
      <c r="H9" s="796"/>
      <c r="I9" s="796"/>
      <c r="J9" s="796"/>
      <c r="K9" s="807"/>
      <c r="L9" s="796"/>
      <c r="M9" s="803"/>
    </row>
    <row r="10" spans="1:25" ht="18" customHeight="1" thickBot="1" x14ac:dyDescent="0.25">
      <c r="A10" s="124" t="s">
        <v>1141</v>
      </c>
      <c r="B10" s="132">
        <f t="shared" ref="B10:L10" si="0">B16+B23</f>
        <v>945442</v>
      </c>
      <c r="C10" s="132">
        <f t="shared" si="0"/>
        <v>0</v>
      </c>
      <c r="D10" s="132">
        <f t="shared" si="0"/>
        <v>0</v>
      </c>
      <c r="E10" s="132">
        <f t="shared" si="0"/>
        <v>0</v>
      </c>
      <c r="F10" s="132">
        <f t="shared" si="0"/>
        <v>217468</v>
      </c>
      <c r="G10" s="132">
        <f t="shared" si="0"/>
        <v>1162910</v>
      </c>
      <c r="H10" s="132">
        <f t="shared" si="0"/>
        <v>0</v>
      </c>
      <c r="I10" s="132">
        <f t="shared" si="0"/>
        <v>342476</v>
      </c>
      <c r="J10" s="132">
        <f t="shared" si="0"/>
        <v>574708</v>
      </c>
      <c r="K10" s="132">
        <f t="shared" si="0"/>
        <v>342000</v>
      </c>
      <c r="L10" s="132">
        <f t="shared" si="0"/>
        <v>1259184</v>
      </c>
      <c r="M10" s="126">
        <f>SUM(L10,G10)</f>
        <v>2422094</v>
      </c>
    </row>
    <row r="11" spans="1:25" ht="17.25" hidden="1" customHeight="1" thickBot="1" x14ac:dyDescent="0.25">
      <c r="A11" s="124" t="s">
        <v>1311</v>
      </c>
      <c r="B11" s="132">
        <f t="shared" ref="B11:L11" si="1">B17+B24</f>
        <v>985943</v>
      </c>
      <c r="C11" s="132">
        <f t="shared" si="1"/>
        <v>0</v>
      </c>
      <c r="D11" s="132">
        <f t="shared" si="1"/>
        <v>20516</v>
      </c>
      <c r="E11" s="132">
        <f t="shared" si="1"/>
        <v>0</v>
      </c>
      <c r="F11" s="132">
        <f t="shared" si="1"/>
        <v>217468</v>
      </c>
      <c r="G11" s="132">
        <f t="shared" si="1"/>
        <v>1223927</v>
      </c>
      <c r="H11" s="132">
        <f t="shared" si="1"/>
        <v>611298</v>
      </c>
      <c r="I11" s="132">
        <f t="shared" si="1"/>
        <v>37250</v>
      </c>
      <c r="J11" s="132">
        <f t="shared" si="1"/>
        <v>574708</v>
      </c>
      <c r="K11" s="132">
        <f t="shared" si="1"/>
        <v>342000</v>
      </c>
      <c r="L11" s="132">
        <f t="shared" si="1"/>
        <v>1565256</v>
      </c>
      <c r="M11" s="126">
        <f t="shared" ref="M11:M15" si="2">SUM(L11,G11)</f>
        <v>2789183</v>
      </c>
    </row>
    <row r="12" spans="1:25" ht="16.5" customHeight="1" thickBot="1" x14ac:dyDescent="0.25">
      <c r="A12" s="124" t="s">
        <v>1395</v>
      </c>
      <c r="B12" s="132">
        <f t="shared" ref="B12:L12" si="3">B18+B25</f>
        <v>1054277</v>
      </c>
      <c r="C12" s="132">
        <f t="shared" si="3"/>
        <v>0</v>
      </c>
      <c r="D12" s="132">
        <f t="shared" si="3"/>
        <v>21516</v>
      </c>
      <c r="E12" s="132">
        <f t="shared" si="3"/>
        <v>0</v>
      </c>
      <c r="F12" s="132">
        <f t="shared" si="3"/>
        <v>217468</v>
      </c>
      <c r="G12" s="132">
        <f t="shared" si="3"/>
        <v>1293261</v>
      </c>
      <c r="H12" s="132">
        <f t="shared" si="3"/>
        <v>642531</v>
      </c>
      <c r="I12" s="132">
        <f t="shared" si="3"/>
        <v>40261</v>
      </c>
      <c r="J12" s="132">
        <f t="shared" si="3"/>
        <v>574708</v>
      </c>
      <c r="K12" s="132">
        <f t="shared" si="3"/>
        <v>342000</v>
      </c>
      <c r="L12" s="132">
        <f t="shared" si="3"/>
        <v>1599500</v>
      </c>
      <c r="M12" s="126">
        <f t="shared" si="2"/>
        <v>2892761</v>
      </c>
    </row>
    <row r="13" spans="1:25" ht="16.5" customHeight="1" thickBot="1" x14ac:dyDescent="0.25">
      <c r="A13" s="124" t="s">
        <v>1469</v>
      </c>
      <c r="B13" s="132">
        <f t="shared" ref="B13:L13" si="4">B19+B26</f>
        <v>1090674</v>
      </c>
      <c r="C13" s="132">
        <f t="shared" si="4"/>
        <v>0</v>
      </c>
      <c r="D13" s="132">
        <f t="shared" si="4"/>
        <v>24184</v>
      </c>
      <c r="E13" s="132">
        <f t="shared" si="4"/>
        <v>19840</v>
      </c>
      <c r="F13" s="132">
        <f t="shared" si="4"/>
        <v>217468</v>
      </c>
      <c r="G13" s="132">
        <f t="shared" si="4"/>
        <v>1352166</v>
      </c>
      <c r="H13" s="132">
        <f t="shared" si="4"/>
        <v>642531</v>
      </c>
      <c r="I13" s="132">
        <f t="shared" si="4"/>
        <v>40261</v>
      </c>
      <c r="J13" s="132">
        <f t="shared" si="4"/>
        <v>574708</v>
      </c>
      <c r="K13" s="132">
        <f t="shared" si="4"/>
        <v>342000</v>
      </c>
      <c r="L13" s="132">
        <f t="shared" si="4"/>
        <v>1599500</v>
      </c>
      <c r="M13" s="126">
        <f t="shared" si="2"/>
        <v>2951666</v>
      </c>
    </row>
    <row r="14" spans="1:25" ht="16.5" hidden="1" customHeight="1" thickBot="1" x14ac:dyDescent="0.25">
      <c r="A14" s="124"/>
      <c r="B14" s="132">
        <f t="shared" ref="B14:L14" si="5">B20+B27</f>
        <v>0</v>
      </c>
      <c r="C14" s="132">
        <f t="shared" si="5"/>
        <v>0</v>
      </c>
      <c r="D14" s="132">
        <f t="shared" si="5"/>
        <v>0</v>
      </c>
      <c r="E14" s="132">
        <f t="shared" si="5"/>
        <v>0</v>
      </c>
      <c r="F14" s="132">
        <f t="shared" si="5"/>
        <v>0</v>
      </c>
      <c r="G14" s="132">
        <f t="shared" si="5"/>
        <v>0</v>
      </c>
      <c r="H14" s="132">
        <f t="shared" si="5"/>
        <v>0</v>
      </c>
      <c r="I14" s="132">
        <f t="shared" si="5"/>
        <v>0</v>
      </c>
      <c r="J14" s="132">
        <f t="shared" si="5"/>
        <v>0</v>
      </c>
      <c r="K14" s="132">
        <f t="shared" si="5"/>
        <v>0</v>
      </c>
      <c r="L14" s="132">
        <f t="shared" si="5"/>
        <v>0</v>
      </c>
      <c r="M14" s="126">
        <f t="shared" si="2"/>
        <v>0</v>
      </c>
    </row>
    <row r="15" spans="1:25" ht="16.5" hidden="1" customHeight="1" thickBot="1" x14ac:dyDescent="0.25">
      <c r="A15" s="124" t="s">
        <v>971</v>
      </c>
      <c r="B15" s="132">
        <f t="shared" ref="B15:L15" si="6">B21+B28</f>
        <v>1070212</v>
      </c>
      <c r="C15" s="132">
        <f t="shared" si="6"/>
        <v>0</v>
      </c>
      <c r="D15" s="132">
        <f t="shared" si="6"/>
        <v>20000</v>
      </c>
      <c r="E15" s="132">
        <f t="shared" si="6"/>
        <v>0</v>
      </c>
      <c r="F15" s="132">
        <f t="shared" si="6"/>
        <v>217468</v>
      </c>
      <c r="G15" s="132">
        <f t="shared" si="6"/>
        <v>1307680</v>
      </c>
      <c r="H15" s="132">
        <f t="shared" si="6"/>
        <v>642531</v>
      </c>
      <c r="I15" s="132">
        <f t="shared" si="6"/>
        <v>40261</v>
      </c>
      <c r="J15" s="132">
        <f t="shared" si="6"/>
        <v>574708</v>
      </c>
      <c r="K15" s="132">
        <f t="shared" si="6"/>
        <v>342000</v>
      </c>
      <c r="L15" s="132">
        <f t="shared" si="6"/>
        <v>1599500</v>
      </c>
      <c r="M15" s="126">
        <f t="shared" si="2"/>
        <v>2907180</v>
      </c>
    </row>
    <row r="16" spans="1:25" ht="16.5" customHeight="1" x14ac:dyDescent="0.2">
      <c r="A16" s="302" t="s">
        <v>1142</v>
      </c>
      <c r="B16" s="265">
        <f>SUM('7.finanszírozás.'!C10)</f>
        <v>945442</v>
      </c>
      <c r="C16" s="614"/>
      <c r="D16" s="265">
        <v>0</v>
      </c>
      <c r="E16" s="265">
        <f>'2.működés'!E108</f>
        <v>0</v>
      </c>
      <c r="F16" s="265">
        <f>SUM('2.működés'!C103)-3400</f>
        <v>217468</v>
      </c>
      <c r="G16" s="265">
        <f>SUM(B16:F16)</f>
        <v>1162910</v>
      </c>
      <c r="H16" s="265"/>
      <c r="I16" s="265"/>
      <c r="J16" s="265">
        <f>SUM('3.felh'!C37)</f>
        <v>574708</v>
      </c>
      <c r="K16" s="265"/>
      <c r="L16" s="265">
        <f>SUM(H16:K16)</f>
        <v>574708</v>
      </c>
      <c r="M16" s="615">
        <f>SUM(L16,G16)</f>
        <v>1737618</v>
      </c>
    </row>
    <row r="17" spans="1:13" ht="16.5" hidden="1" customHeight="1" x14ac:dyDescent="0.2">
      <c r="A17" s="302" t="s">
        <v>1312</v>
      </c>
      <c r="B17" s="265">
        <f>SUM('7.finanszírozás.'!C11-'2.működés'!D94)</f>
        <v>985943</v>
      </c>
      <c r="C17" s="614"/>
      <c r="D17" s="265">
        <f>SUM('2.működés'!D94)</f>
        <v>20516</v>
      </c>
      <c r="E17" s="265">
        <f>'2.működés'!D108</f>
        <v>0</v>
      </c>
      <c r="F17" s="265">
        <f>SUM('2.működés'!D103-'7.finanszírozás.'!D35)</f>
        <v>217468</v>
      </c>
      <c r="G17" s="265">
        <f t="shared" ref="G17:G29" si="7">SUM(B17:F17)</f>
        <v>1223927</v>
      </c>
      <c r="H17" s="265"/>
      <c r="I17" s="265"/>
      <c r="J17" s="265">
        <f>'1.Bev-kiad.'!D58</f>
        <v>574708</v>
      </c>
      <c r="K17" s="265"/>
      <c r="L17" s="265">
        <f t="shared" ref="L17:L29" si="8">SUM(H17:K17)</f>
        <v>574708</v>
      </c>
      <c r="M17" s="615">
        <f t="shared" ref="M17:M29" si="9">SUM(L17,G17)</f>
        <v>1798635</v>
      </c>
    </row>
    <row r="18" spans="1:13" ht="16.5" customHeight="1" x14ac:dyDescent="0.2">
      <c r="A18" s="302" t="s">
        <v>1392</v>
      </c>
      <c r="B18" s="265">
        <f>SUM('7.finanszírozás.'!C12-'2.működés'!E94)</f>
        <v>1054277</v>
      </c>
      <c r="C18" s="614"/>
      <c r="D18" s="265">
        <f>SUM('2.működés'!E94)</f>
        <v>21516</v>
      </c>
      <c r="E18" s="265">
        <f>'2.működés'!D109</f>
        <v>0</v>
      </c>
      <c r="F18" s="265">
        <f>SUM('2.működés'!E103-'7.finanszírozás.'!D36)</f>
        <v>217468</v>
      </c>
      <c r="G18" s="265">
        <f t="shared" ref="G18" si="10">SUM(B18:F18)</f>
        <v>1293261</v>
      </c>
      <c r="H18" s="265"/>
      <c r="I18" s="265"/>
      <c r="J18" s="265">
        <f>'1.Bev-kiad.'!E58</f>
        <v>574708</v>
      </c>
      <c r="K18" s="265"/>
      <c r="L18" s="265">
        <f t="shared" ref="L18" si="11">SUM(H18:K18)</f>
        <v>574708</v>
      </c>
      <c r="M18" s="615">
        <f t="shared" ref="M18" si="12">SUM(L18,G18)</f>
        <v>1867969</v>
      </c>
    </row>
    <row r="19" spans="1:13" ht="16.5" customHeight="1" x14ac:dyDescent="0.2">
      <c r="A19" s="302" t="s">
        <v>1465</v>
      </c>
      <c r="B19" s="265">
        <f>SUM('7.finanszírozás.'!C13-'2.működés'!F94)</f>
        <v>1090674</v>
      </c>
      <c r="C19" s="614"/>
      <c r="D19" s="265">
        <f>SUM('2.működés'!F94)</f>
        <v>24184</v>
      </c>
      <c r="E19" s="265">
        <f>'2.működés'!F108</f>
        <v>19840</v>
      </c>
      <c r="F19" s="265">
        <f>SUM('2.működés'!F103-'7.finanszírozás.'!D36)</f>
        <v>217468</v>
      </c>
      <c r="G19" s="265">
        <f t="shared" si="7"/>
        <v>1352166</v>
      </c>
      <c r="H19" s="265"/>
      <c r="I19" s="265"/>
      <c r="J19" s="265">
        <f>'1.Bev-kiad.'!F58</f>
        <v>574708</v>
      </c>
      <c r="K19" s="265"/>
      <c r="L19" s="265">
        <f t="shared" si="8"/>
        <v>574708</v>
      </c>
      <c r="M19" s="615">
        <f t="shared" si="9"/>
        <v>1926874</v>
      </c>
    </row>
    <row r="20" spans="1:13" ht="16.5" hidden="1" customHeight="1" x14ac:dyDescent="0.2">
      <c r="A20" s="302"/>
      <c r="B20" s="265"/>
      <c r="C20" s="614"/>
      <c r="D20" s="265"/>
      <c r="E20" s="265"/>
      <c r="F20" s="265"/>
      <c r="G20" s="265">
        <f t="shared" si="7"/>
        <v>0</v>
      </c>
      <c r="H20" s="265"/>
      <c r="I20" s="265"/>
      <c r="J20" s="265"/>
      <c r="K20" s="265"/>
      <c r="L20" s="265">
        <f t="shared" si="8"/>
        <v>0</v>
      </c>
      <c r="M20" s="615">
        <f>SUM(L20,G20)</f>
        <v>0</v>
      </c>
    </row>
    <row r="21" spans="1:13" ht="16.5" hidden="1" customHeight="1" x14ac:dyDescent="0.2">
      <c r="A21" s="302" t="s">
        <v>970</v>
      </c>
      <c r="B21" s="265">
        <f>SUM('7.finanszírozás.'!C15-'2.működés'!G98)</f>
        <v>1070212</v>
      </c>
      <c r="C21" s="614"/>
      <c r="D21" s="265">
        <f>SUM('2.működés'!G98)</f>
        <v>20000</v>
      </c>
      <c r="E21" s="265">
        <f>'2.működés'!G108</f>
        <v>0</v>
      </c>
      <c r="F21" s="265">
        <f>SUM('2.működés'!G103-'7.finanszírozás.'!D39)</f>
        <v>217468</v>
      </c>
      <c r="G21" s="265">
        <f>SUM(B21:F21)</f>
        <v>1307680</v>
      </c>
      <c r="H21" s="265"/>
      <c r="I21" s="265"/>
      <c r="J21" s="265">
        <f>'1.Bev-kiad.'!G58</f>
        <v>574708</v>
      </c>
      <c r="K21" s="265"/>
      <c r="L21" s="265">
        <f>SUM(H21:K21)</f>
        <v>574708</v>
      </c>
      <c r="M21" s="615">
        <f>SUM(L21,G21)</f>
        <v>1882388</v>
      </c>
    </row>
    <row r="22" spans="1:13" ht="16.5" hidden="1" customHeight="1" x14ac:dyDescent="0.2">
      <c r="B22" s="265"/>
      <c r="C22" s="614"/>
      <c r="D22" s="265"/>
      <c r="E22" s="265"/>
      <c r="F22" s="265"/>
      <c r="G22" s="265">
        <f t="shared" si="7"/>
        <v>0</v>
      </c>
      <c r="H22" s="265"/>
      <c r="I22" s="265"/>
      <c r="J22" s="265"/>
      <c r="K22" s="265"/>
      <c r="L22" s="265">
        <f t="shared" si="8"/>
        <v>0</v>
      </c>
      <c r="M22" s="615">
        <f>SUM(L22,G22)</f>
        <v>0</v>
      </c>
    </row>
    <row r="23" spans="1:13" ht="16.5" customHeight="1" x14ac:dyDescent="0.2">
      <c r="A23" s="302" t="s">
        <v>1143</v>
      </c>
      <c r="B23" s="131"/>
      <c r="C23" s="131"/>
      <c r="D23" s="131"/>
      <c r="E23" s="131"/>
      <c r="F23" s="131"/>
      <c r="G23" s="83">
        <f>SUM(B23:F23)</f>
        <v>0</v>
      </c>
      <c r="H23" s="167">
        <v>0</v>
      </c>
      <c r="I23" s="167">
        <f>SUM('3.felh'!C13+'3.felh'!C25+'3.felh'!C31)</f>
        <v>342476</v>
      </c>
      <c r="J23" s="84"/>
      <c r="K23" s="83">
        <f>SUM('3.felh'!C40)</f>
        <v>342000</v>
      </c>
      <c r="L23" s="83">
        <f>SUM(H23:K23)</f>
        <v>684476</v>
      </c>
      <c r="M23" s="303">
        <f>SUM(L23,G23)</f>
        <v>684476</v>
      </c>
    </row>
    <row r="24" spans="1:13" ht="16.5" hidden="1" customHeight="1" x14ac:dyDescent="0.2">
      <c r="A24" s="302" t="s">
        <v>1313</v>
      </c>
      <c r="B24" s="131"/>
      <c r="C24" s="131"/>
      <c r="D24" s="131"/>
      <c r="E24" s="131"/>
      <c r="F24" s="131"/>
      <c r="G24" s="83">
        <f>SUM(B24:F24)</f>
        <v>0</v>
      </c>
      <c r="H24" s="167">
        <f>'3.felh'!D13</f>
        <v>611298</v>
      </c>
      <c r="I24" s="167">
        <f>'3.felh'!D25+'3.felh'!D31</f>
        <v>37250</v>
      </c>
      <c r="J24" s="84"/>
      <c r="K24" s="83">
        <f>SUM('3.felh'!D40)</f>
        <v>342000</v>
      </c>
      <c r="L24" s="83">
        <f t="shared" si="8"/>
        <v>990548</v>
      </c>
      <c r="M24" s="303">
        <f t="shared" si="9"/>
        <v>990548</v>
      </c>
    </row>
    <row r="25" spans="1:13" ht="16.5" customHeight="1" x14ac:dyDescent="0.2">
      <c r="A25" s="302" t="s">
        <v>1394</v>
      </c>
      <c r="B25" s="131"/>
      <c r="C25" s="131"/>
      <c r="D25" s="131"/>
      <c r="E25" s="131"/>
      <c r="F25" s="131"/>
      <c r="G25" s="83"/>
      <c r="H25" s="167">
        <f>'3.felh'!E13</f>
        <v>642531</v>
      </c>
      <c r="I25" s="167">
        <f>'3.felh'!E25+'3.felh'!E31</f>
        <v>40261</v>
      </c>
      <c r="J25" s="84"/>
      <c r="K25" s="83">
        <f>SUM('3.felh'!E40)</f>
        <v>342000</v>
      </c>
      <c r="L25" s="83">
        <f t="shared" ref="L25" si="13">SUM(H25:K25)</f>
        <v>1024792</v>
      </c>
      <c r="M25" s="303">
        <f t="shared" ref="M25" si="14">SUM(L25,G25)</f>
        <v>1024792</v>
      </c>
    </row>
    <row r="26" spans="1:13" ht="16.5" customHeight="1" x14ac:dyDescent="0.2">
      <c r="A26" s="302" t="s">
        <v>1466</v>
      </c>
      <c r="B26" s="131"/>
      <c r="C26" s="131"/>
      <c r="D26" s="131"/>
      <c r="E26" s="131"/>
      <c r="F26" s="131"/>
      <c r="G26" s="83">
        <f t="shared" si="7"/>
        <v>0</v>
      </c>
      <c r="H26" s="167">
        <f>'3.felh'!F13</f>
        <v>642531</v>
      </c>
      <c r="I26" s="167">
        <f>'3.felh'!F25+'3.felh'!F31</f>
        <v>40261</v>
      </c>
      <c r="J26" s="84"/>
      <c r="K26" s="83">
        <f>SUM('3.felh'!F40)</f>
        <v>342000</v>
      </c>
      <c r="L26" s="83">
        <f t="shared" si="8"/>
        <v>1024792</v>
      </c>
      <c r="M26" s="303">
        <f t="shared" si="9"/>
        <v>1024792</v>
      </c>
    </row>
    <row r="27" spans="1:13" ht="16.5" hidden="1" customHeight="1" x14ac:dyDescent="0.2">
      <c r="A27" s="302"/>
      <c r="B27" s="131"/>
      <c r="C27" s="131"/>
      <c r="D27" s="131"/>
      <c r="E27" s="131"/>
      <c r="F27" s="131"/>
      <c r="G27" s="83">
        <f t="shared" si="7"/>
        <v>0</v>
      </c>
      <c r="H27" s="167"/>
      <c r="I27" s="167"/>
      <c r="J27" s="84"/>
      <c r="K27" s="83"/>
      <c r="L27" s="83">
        <f t="shared" si="8"/>
        <v>0</v>
      </c>
      <c r="M27" s="303">
        <f>SUM(L27,G27)</f>
        <v>0</v>
      </c>
    </row>
    <row r="28" spans="1:13" ht="16.5" hidden="1" customHeight="1" x14ac:dyDescent="0.2">
      <c r="A28" s="302" t="str">
        <f>A21</f>
        <v xml:space="preserve">       Teljesítés 2021.12.31.</v>
      </c>
      <c r="B28" s="131"/>
      <c r="C28" s="131"/>
      <c r="D28" s="131"/>
      <c r="E28" s="131"/>
      <c r="F28" s="131"/>
      <c r="G28" s="83">
        <f t="shared" si="7"/>
        <v>0</v>
      </c>
      <c r="H28" s="167">
        <f>'3.felh'!G13</f>
        <v>642531</v>
      </c>
      <c r="I28" s="167">
        <f>'3.felh'!G25+'3.felh'!G31</f>
        <v>40261</v>
      </c>
      <c r="J28" s="84"/>
      <c r="K28" s="83">
        <f>SUM('3.felh'!G40)</f>
        <v>342000</v>
      </c>
      <c r="L28" s="83">
        <f t="shared" si="8"/>
        <v>1024792</v>
      </c>
      <c r="M28" s="303">
        <f>SUM(L28,G27)</f>
        <v>1024792</v>
      </c>
    </row>
    <row r="29" spans="1:13" ht="19.5" customHeight="1" thickBot="1" x14ac:dyDescent="0.25">
      <c r="A29" s="616" t="s">
        <v>102</v>
      </c>
      <c r="B29" s="617"/>
      <c r="C29" s="617"/>
      <c r="D29" s="617"/>
      <c r="E29" s="617"/>
      <c r="F29" s="617"/>
      <c r="G29" s="83">
        <f t="shared" si="7"/>
        <v>0</v>
      </c>
      <c r="H29" s="617"/>
      <c r="I29" s="617"/>
      <c r="J29" s="617"/>
      <c r="K29" s="617"/>
      <c r="L29" s="83">
        <f t="shared" si="8"/>
        <v>0</v>
      </c>
      <c r="M29" s="303">
        <f t="shared" si="9"/>
        <v>0</v>
      </c>
    </row>
    <row r="30" spans="1:13" ht="15.75" customHeight="1" thickBot="1" x14ac:dyDescent="0.25">
      <c r="A30" s="124" t="s">
        <v>1144</v>
      </c>
      <c r="B30" s="132">
        <f>SUM(B36)</f>
        <v>58806</v>
      </c>
      <c r="C30" s="132">
        <f>SUM(C36)</f>
        <v>133793</v>
      </c>
      <c r="D30" s="132">
        <f>SUM(D38)</f>
        <v>0</v>
      </c>
      <c r="E30" s="132">
        <f>SUM(E36)</f>
        <v>46481</v>
      </c>
      <c r="F30" s="132">
        <f>SUM(F36)</f>
        <v>3400</v>
      </c>
      <c r="G30" s="132">
        <f>SUM(G36)</f>
        <v>242480</v>
      </c>
      <c r="H30" s="132"/>
      <c r="I30" s="132"/>
      <c r="J30" s="132"/>
      <c r="K30" s="132"/>
      <c r="L30" s="132">
        <v>0</v>
      </c>
      <c r="M30" s="126">
        <f>SUM(G30)</f>
        <v>242480</v>
      </c>
    </row>
    <row r="31" spans="1:13" ht="15.75" customHeight="1" thickBot="1" x14ac:dyDescent="0.25">
      <c r="A31" s="124" t="s">
        <v>1314</v>
      </c>
      <c r="B31" s="132">
        <f t="shared" ref="B31:C31" si="15">SUM(B37)</f>
        <v>58837</v>
      </c>
      <c r="C31" s="132">
        <f t="shared" si="15"/>
        <v>133793</v>
      </c>
      <c r="D31" s="132">
        <f t="shared" ref="D31:D35" si="16">SUM(D39)</f>
        <v>0</v>
      </c>
      <c r="E31" s="132">
        <f t="shared" ref="E31:G31" si="17">SUM(E37)</f>
        <v>49429</v>
      </c>
      <c r="F31" s="132">
        <f t="shared" si="17"/>
        <v>3400</v>
      </c>
      <c r="G31" s="132">
        <f t="shared" si="17"/>
        <v>245459</v>
      </c>
      <c r="H31" s="132"/>
      <c r="I31" s="132"/>
      <c r="J31" s="132"/>
      <c r="K31" s="132"/>
      <c r="L31" s="132">
        <v>0</v>
      </c>
      <c r="M31" s="126">
        <f t="shared" ref="M31:M35" si="18">SUM(G31)</f>
        <v>245459</v>
      </c>
    </row>
    <row r="32" spans="1:13" ht="15.75" customHeight="1" thickBot="1" x14ac:dyDescent="0.25">
      <c r="A32" s="124" t="s">
        <v>1396</v>
      </c>
      <c r="B32" s="132">
        <f t="shared" ref="B32:C32" si="19">SUM(B38)</f>
        <v>65410</v>
      </c>
      <c r="C32" s="132">
        <f t="shared" si="19"/>
        <v>133793</v>
      </c>
      <c r="D32" s="132">
        <f t="shared" si="16"/>
        <v>0</v>
      </c>
      <c r="E32" s="132">
        <f t="shared" ref="E32:G32" si="20">SUM(E38)</f>
        <v>54340</v>
      </c>
      <c r="F32" s="132">
        <f t="shared" si="20"/>
        <v>3400</v>
      </c>
      <c r="G32" s="132">
        <f t="shared" si="20"/>
        <v>256943</v>
      </c>
      <c r="H32" s="132"/>
      <c r="I32" s="132"/>
      <c r="J32" s="132"/>
      <c r="K32" s="132"/>
      <c r="L32" s="132"/>
      <c r="M32" s="126">
        <f t="shared" si="18"/>
        <v>256943</v>
      </c>
    </row>
    <row r="33" spans="1:13" ht="15.75" customHeight="1" thickBot="1" x14ac:dyDescent="0.25">
      <c r="A33" s="124" t="s">
        <v>1467</v>
      </c>
      <c r="B33" s="132">
        <f t="shared" ref="B33:C33" si="21">SUM(B39)</f>
        <v>65512</v>
      </c>
      <c r="C33" s="132">
        <f t="shared" si="21"/>
        <v>133793</v>
      </c>
      <c r="D33" s="132">
        <f t="shared" si="16"/>
        <v>0</v>
      </c>
      <c r="E33" s="132">
        <f t="shared" ref="E33:G33" si="22">SUM(E39)</f>
        <v>73255</v>
      </c>
      <c r="F33" s="132">
        <f t="shared" si="22"/>
        <v>3400</v>
      </c>
      <c r="G33" s="132">
        <f t="shared" si="22"/>
        <v>275960</v>
      </c>
      <c r="H33" s="132"/>
      <c r="I33" s="132"/>
      <c r="J33" s="132"/>
      <c r="K33" s="132"/>
      <c r="L33" s="132"/>
      <c r="M33" s="126">
        <f t="shared" si="18"/>
        <v>275960</v>
      </c>
    </row>
    <row r="34" spans="1:13" ht="15.75" hidden="1" customHeight="1" thickBot="1" x14ac:dyDescent="0.25">
      <c r="A34" s="124"/>
      <c r="B34" s="132">
        <f t="shared" ref="B34:C34" si="23">SUM(B40)</f>
        <v>0</v>
      </c>
      <c r="C34" s="132">
        <f t="shared" si="23"/>
        <v>0</v>
      </c>
      <c r="D34" s="132">
        <f t="shared" si="16"/>
        <v>0</v>
      </c>
      <c r="E34" s="132">
        <f t="shared" ref="E34:G34" si="24">SUM(E40)</f>
        <v>0</v>
      </c>
      <c r="F34" s="132">
        <f t="shared" si="24"/>
        <v>0</v>
      </c>
      <c r="G34" s="132">
        <f t="shared" si="24"/>
        <v>0</v>
      </c>
      <c r="H34" s="132"/>
      <c r="I34" s="132"/>
      <c r="J34" s="132"/>
      <c r="K34" s="132"/>
      <c r="L34" s="132"/>
      <c r="M34" s="126">
        <f t="shared" si="18"/>
        <v>0</v>
      </c>
    </row>
    <row r="35" spans="1:13" ht="15.75" hidden="1" customHeight="1" thickBot="1" x14ac:dyDescent="0.25">
      <c r="A35" s="124" t="s">
        <v>972</v>
      </c>
      <c r="B35" s="132">
        <f t="shared" ref="B35:C35" si="25">SUM(B41)</f>
        <v>50991</v>
      </c>
      <c r="C35" s="132">
        <f t="shared" si="25"/>
        <v>133793</v>
      </c>
      <c r="D35" s="132">
        <f t="shared" si="16"/>
        <v>0</v>
      </c>
      <c r="E35" s="132">
        <f t="shared" ref="E35:G35" si="26">SUM(E41)</f>
        <v>42714</v>
      </c>
      <c r="F35" s="132">
        <f t="shared" si="26"/>
        <v>3400</v>
      </c>
      <c r="G35" s="132">
        <f t="shared" si="26"/>
        <v>230898</v>
      </c>
      <c r="H35" s="132"/>
      <c r="I35" s="132"/>
      <c r="J35" s="132"/>
      <c r="K35" s="132"/>
      <c r="L35" s="132"/>
      <c r="M35" s="126">
        <f t="shared" si="18"/>
        <v>230898</v>
      </c>
    </row>
    <row r="36" spans="1:13" ht="15.75" customHeight="1" x14ac:dyDescent="0.2">
      <c r="A36" s="618" t="s">
        <v>1146</v>
      </c>
      <c r="B36" s="83">
        <f>SUM('7.finanszírozás.'!D10)</f>
        <v>58806</v>
      </c>
      <c r="C36" s="83">
        <f>SUM('7.finanszírozás.'!D46)</f>
        <v>133793</v>
      </c>
      <c r="D36" s="83"/>
      <c r="E36" s="83">
        <f>SUM('7.finanszírozás.'!D54)</f>
        <v>46481</v>
      </c>
      <c r="F36" s="83">
        <f>SUM('7.finanszírozás.'!D34)</f>
        <v>3400</v>
      </c>
      <c r="G36" s="83">
        <f t="shared" ref="G36:G43" si="27">SUM(B36:F36)</f>
        <v>242480</v>
      </c>
      <c r="H36" s="130"/>
      <c r="I36" s="130"/>
      <c r="J36" s="130"/>
      <c r="K36" s="130"/>
      <c r="L36" s="130">
        <v>0</v>
      </c>
      <c r="M36" s="303">
        <f t="shared" ref="M36:M43" si="28">SUM(G36)</f>
        <v>242480</v>
      </c>
    </row>
    <row r="37" spans="1:13" ht="15.75" hidden="1" customHeight="1" x14ac:dyDescent="0.2">
      <c r="A37" s="618" t="str">
        <f>A17</f>
        <v xml:space="preserve">       Kötelező (módosított előirányzat 2022.06. havi)</v>
      </c>
      <c r="B37" s="83">
        <f>SUM('7.finanszírozás.'!D11)</f>
        <v>58837</v>
      </c>
      <c r="C37" s="83">
        <f>SUM('7.finanszírozás.'!D47)</f>
        <v>133793</v>
      </c>
      <c r="D37" s="83"/>
      <c r="E37" s="83">
        <f>SUM('7.finanszírozás.'!D55)</f>
        <v>49429</v>
      </c>
      <c r="F37" s="83">
        <f>SUM('7.finanszírozás.'!D35)</f>
        <v>3400</v>
      </c>
      <c r="G37" s="83">
        <f t="shared" si="27"/>
        <v>245459</v>
      </c>
      <c r="H37" s="130"/>
      <c r="I37" s="130"/>
      <c r="J37" s="130"/>
      <c r="K37" s="130"/>
      <c r="L37" s="130">
        <v>0</v>
      </c>
      <c r="M37" s="303">
        <f t="shared" si="28"/>
        <v>245459</v>
      </c>
    </row>
    <row r="38" spans="1:13" ht="15.75" customHeight="1" x14ac:dyDescent="0.2">
      <c r="A38" s="618" t="str">
        <f>A18</f>
        <v xml:space="preserve">       Kötelező (módosított előirányzat 2022.10. havi)</v>
      </c>
      <c r="B38" s="83">
        <f>SUM('7.finanszírozás.'!D12)</f>
        <v>65410</v>
      </c>
      <c r="C38" s="83">
        <f>SUM('7.finanszírozás.'!D48)</f>
        <v>133793</v>
      </c>
      <c r="D38" s="83"/>
      <c r="E38" s="83">
        <f>SUM('7.finanszírozás.'!D56)</f>
        <v>54340</v>
      </c>
      <c r="F38" s="83">
        <f>SUM('7.finanszírozás.'!D36)</f>
        <v>3400</v>
      </c>
      <c r="G38" s="83">
        <f t="shared" si="27"/>
        <v>256943</v>
      </c>
      <c r="H38" s="130"/>
      <c r="I38" s="130"/>
      <c r="J38" s="130"/>
      <c r="K38" s="130"/>
      <c r="L38" s="130">
        <v>0</v>
      </c>
      <c r="M38" s="303">
        <f t="shared" si="28"/>
        <v>256943</v>
      </c>
    </row>
    <row r="39" spans="1:13" ht="15.75" customHeight="1" x14ac:dyDescent="0.2">
      <c r="A39" s="618" t="str">
        <f>A19</f>
        <v xml:space="preserve">       Kötelező (módosított előirányzat 2022.12.31)</v>
      </c>
      <c r="B39" s="83">
        <f>SUM('7.finanszírozás.'!D13)</f>
        <v>65512</v>
      </c>
      <c r="C39" s="83">
        <f>SUM('7.finanszírozás.'!D49)</f>
        <v>133793</v>
      </c>
      <c r="D39" s="83"/>
      <c r="E39" s="83">
        <f>SUM('7.finanszírozás.'!D57)</f>
        <v>73255</v>
      </c>
      <c r="F39" s="83">
        <f>SUM('7.finanszírozás.'!D37)</f>
        <v>3400</v>
      </c>
      <c r="G39" s="83">
        <f t="shared" si="27"/>
        <v>275960</v>
      </c>
      <c r="H39" s="130"/>
      <c r="I39" s="130"/>
      <c r="J39" s="130"/>
      <c r="K39" s="130"/>
      <c r="L39" s="130">
        <v>0</v>
      </c>
      <c r="M39" s="303">
        <f t="shared" si="28"/>
        <v>275960</v>
      </c>
    </row>
    <row r="40" spans="1:13" ht="15.75" hidden="1" customHeight="1" x14ac:dyDescent="0.2">
      <c r="A40" s="618"/>
      <c r="B40" s="83">
        <f>SUM('7.finanszírozás.'!D14)</f>
        <v>0</v>
      </c>
      <c r="C40" s="83">
        <f>SUM('7.finanszírozás.'!D50)</f>
        <v>0</v>
      </c>
      <c r="D40" s="83"/>
      <c r="E40" s="83">
        <f>SUM('7.finanszírozás.'!D58)</f>
        <v>0</v>
      </c>
      <c r="F40" s="83">
        <f>SUM('7.finanszírozás.'!D38)</f>
        <v>0</v>
      </c>
      <c r="G40" s="83">
        <f t="shared" si="27"/>
        <v>0</v>
      </c>
      <c r="H40" s="130"/>
      <c r="I40" s="130"/>
      <c r="J40" s="130"/>
      <c r="K40" s="130"/>
      <c r="L40" s="130">
        <v>0</v>
      </c>
      <c r="M40" s="303">
        <f t="shared" si="28"/>
        <v>0</v>
      </c>
    </row>
    <row r="41" spans="1:13" ht="15.75" hidden="1" customHeight="1" x14ac:dyDescent="0.2">
      <c r="A41" s="618" t="str">
        <f>A21</f>
        <v xml:space="preserve">       Teljesítés 2021.12.31.</v>
      </c>
      <c r="B41" s="83">
        <f>SUM('7.finanszírozás.'!D15)</f>
        <v>50991</v>
      </c>
      <c r="C41" s="83">
        <f>SUM('7.finanszírozás.'!D51)</f>
        <v>133793</v>
      </c>
      <c r="D41" s="83"/>
      <c r="E41" s="83">
        <f>SUM('7.finanszírozás.'!D59)</f>
        <v>42714</v>
      </c>
      <c r="F41" s="83">
        <f>SUM('7.finanszírozás.'!D39)</f>
        <v>3400</v>
      </c>
      <c r="G41" s="83">
        <f t="shared" si="27"/>
        <v>230898</v>
      </c>
      <c r="H41" s="130"/>
      <c r="I41" s="130"/>
      <c r="J41" s="130"/>
      <c r="K41" s="130"/>
      <c r="L41" s="130">
        <v>0</v>
      </c>
      <c r="M41" s="303">
        <f t="shared" si="28"/>
        <v>230898</v>
      </c>
    </row>
    <row r="42" spans="1:13" ht="20.25" customHeight="1" x14ac:dyDescent="0.2">
      <c r="A42" s="302" t="s">
        <v>1145</v>
      </c>
      <c r="B42" s="83"/>
      <c r="C42" s="83"/>
      <c r="D42" s="83"/>
      <c r="E42" s="83"/>
      <c r="F42" s="83"/>
      <c r="G42" s="83">
        <f t="shared" si="27"/>
        <v>0</v>
      </c>
      <c r="H42" s="83"/>
      <c r="I42" s="83"/>
      <c r="J42" s="83"/>
      <c r="K42" s="83"/>
      <c r="L42" s="83">
        <v>0</v>
      </c>
      <c r="M42" s="303">
        <f t="shared" si="28"/>
        <v>0</v>
      </c>
    </row>
    <row r="43" spans="1:13" ht="19.5" customHeight="1" thickBot="1" x14ac:dyDescent="0.25">
      <c r="A43" s="616" t="s">
        <v>1147</v>
      </c>
      <c r="B43" s="83"/>
      <c r="C43" s="83"/>
      <c r="D43" s="83"/>
      <c r="E43" s="83"/>
      <c r="F43" s="83"/>
      <c r="G43" s="83">
        <f t="shared" si="27"/>
        <v>0</v>
      </c>
      <c r="H43" s="83"/>
      <c r="I43" s="83"/>
      <c r="J43" s="83"/>
      <c r="K43" s="83"/>
      <c r="L43" s="83">
        <v>0</v>
      </c>
      <c r="M43" s="303">
        <f t="shared" si="28"/>
        <v>0</v>
      </c>
    </row>
    <row r="44" spans="1:13" ht="16.5" thickBot="1" x14ac:dyDescent="0.25">
      <c r="A44" s="619" t="s">
        <v>1316</v>
      </c>
      <c r="B44" s="134">
        <f t="shared" ref="B44:L44" si="29">SUM(B10+B30)</f>
        <v>1004248</v>
      </c>
      <c r="C44" s="134">
        <f t="shared" si="29"/>
        <v>133793</v>
      </c>
      <c r="D44" s="134">
        <f t="shared" si="29"/>
        <v>0</v>
      </c>
      <c r="E44" s="134">
        <f t="shared" si="29"/>
        <v>46481</v>
      </c>
      <c r="F44" s="134">
        <f t="shared" si="29"/>
        <v>220868</v>
      </c>
      <c r="G44" s="134">
        <f t="shared" si="29"/>
        <v>1405390</v>
      </c>
      <c r="H44" s="134">
        <f t="shared" si="29"/>
        <v>0</v>
      </c>
      <c r="I44" s="134">
        <f t="shared" si="29"/>
        <v>342476</v>
      </c>
      <c r="J44" s="134">
        <f t="shared" si="29"/>
        <v>574708</v>
      </c>
      <c r="K44" s="134">
        <f t="shared" si="29"/>
        <v>342000</v>
      </c>
      <c r="L44" s="134">
        <f t="shared" si="29"/>
        <v>1259184</v>
      </c>
      <c r="M44" s="135">
        <f>SUM(L44,G44)</f>
        <v>2664574</v>
      </c>
    </row>
    <row r="45" spans="1:13" ht="16.5" hidden="1" thickBot="1" x14ac:dyDescent="0.25">
      <c r="A45" s="619" t="s">
        <v>1315</v>
      </c>
      <c r="B45" s="134">
        <f t="shared" ref="B45:L45" si="30">SUM(B11+B31)</f>
        <v>1044780</v>
      </c>
      <c r="C45" s="134">
        <f t="shared" si="30"/>
        <v>133793</v>
      </c>
      <c r="D45" s="134">
        <f t="shared" si="30"/>
        <v>20516</v>
      </c>
      <c r="E45" s="134">
        <f t="shared" si="30"/>
        <v>49429</v>
      </c>
      <c r="F45" s="134">
        <f t="shared" si="30"/>
        <v>220868</v>
      </c>
      <c r="G45" s="134">
        <f t="shared" si="30"/>
        <v>1469386</v>
      </c>
      <c r="H45" s="134">
        <f t="shared" si="30"/>
        <v>611298</v>
      </c>
      <c r="I45" s="134">
        <f t="shared" si="30"/>
        <v>37250</v>
      </c>
      <c r="J45" s="134">
        <f t="shared" si="30"/>
        <v>574708</v>
      </c>
      <c r="K45" s="134">
        <f t="shared" si="30"/>
        <v>342000</v>
      </c>
      <c r="L45" s="134">
        <f t="shared" si="30"/>
        <v>1565256</v>
      </c>
      <c r="M45" s="135">
        <f t="shared" ref="M45:M49" si="31">SUM(L45,G45)</f>
        <v>3034642</v>
      </c>
    </row>
    <row r="46" spans="1:13" ht="16.5" thickBot="1" x14ac:dyDescent="0.25">
      <c r="A46" s="619" t="s">
        <v>1397</v>
      </c>
      <c r="B46" s="134">
        <f t="shared" ref="B46:L46" si="32">SUM(B12+B32)</f>
        <v>1119687</v>
      </c>
      <c r="C46" s="134">
        <f t="shared" si="32"/>
        <v>133793</v>
      </c>
      <c r="D46" s="134">
        <f t="shared" si="32"/>
        <v>21516</v>
      </c>
      <c r="E46" s="134">
        <f t="shared" si="32"/>
        <v>54340</v>
      </c>
      <c r="F46" s="134">
        <f t="shared" si="32"/>
        <v>220868</v>
      </c>
      <c r="G46" s="134">
        <f t="shared" si="32"/>
        <v>1550204</v>
      </c>
      <c r="H46" s="134">
        <f t="shared" si="32"/>
        <v>642531</v>
      </c>
      <c r="I46" s="134">
        <f t="shared" si="32"/>
        <v>40261</v>
      </c>
      <c r="J46" s="134">
        <f t="shared" si="32"/>
        <v>574708</v>
      </c>
      <c r="K46" s="134">
        <f t="shared" si="32"/>
        <v>342000</v>
      </c>
      <c r="L46" s="134">
        <f t="shared" si="32"/>
        <v>1599500</v>
      </c>
      <c r="M46" s="135">
        <f t="shared" si="31"/>
        <v>3149704</v>
      </c>
    </row>
    <row r="47" spans="1:13" ht="16.5" thickBot="1" x14ac:dyDescent="0.25">
      <c r="A47" s="619" t="s">
        <v>1468</v>
      </c>
      <c r="B47" s="134">
        <f t="shared" ref="B47:L47" si="33">SUM(B13+B33)</f>
        <v>1156186</v>
      </c>
      <c r="C47" s="134">
        <f t="shared" si="33"/>
        <v>133793</v>
      </c>
      <c r="D47" s="134">
        <f t="shared" si="33"/>
        <v>24184</v>
      </c>
      <c r="E47" s="134">
        <f t="shared" si="33"/>
        <v>93095</v>
      </c>
      <c r="F47" s="134">
        <f t="shared" si="33"/>
        <v>220868</v>
      </c>
      <c r="G47" s="134">
        <f t="shared" si="33"/>
        <v>1628126</v>
      </c>
      <c r="H47" s="134">
        <f t="shared" si="33"/>
        <v>642531</v>
      </c>
      <c r="I47" s="134">
        <f t="shared" si="33"/>
        <v>40261</v>
      </c>
      <c r="J47" s="134">
        <f t="shared" si="33"/>
        <v>574708</v>
      </c>
      <c r="K47" s="134">
        <f t="shared" si="33"/>
        <v>342000</v>
      </c>
      <c r="L47" s="134">
        <f t="shared" si="33"/>
        <v>1599500</v>
      </c>
      <c r="M47" s="135">
        <f t="shared" si="31"/>
        <v>3227626</v>
      </c>
    </row>
    <row r="48" spans="1:13" ht="16.5" hidden="1" thickBot="1" x14ac:dyDescent="0.25">
      <c r="A48" s="619"/>
      <c r="B48" s="134">
        <f t="shared" ref="B48:L48" si="34">SUM(B14+B34)</f>
        <v>0</v>
      </c>
      <c r="C48" s="134">
        <f t="shared" si="34"/>
        <v>0</v>
      </c>
      <c r="D48" s="134">
        <f t="shared" si="34"/>
        <v>0</v>
      </c>
      <c r="E48" s="134">
        <f t="shared" si="34"/>
        <v>0</v>
      </c>
      <c r="F48" s="134">
        <f t="shared" si="34"/>
        <v>0</v>
      </c>
      <c r="G48" s="134">
        <f t="shared" si="34"/>
        <v>0</v>
      </c>
      <c r="H48" s="134">
        <f t="shared" si="34"/>
        <v>0</v>
      </c>
      <c r="I48" s="134">
        <f t="shared" si="34"/>
        <v>0</v>
      </c>
      <c r="J48" s="134">
        <f t="shared" si="34"/>
        <v>0</v>
      </c>
      <c r="K48" s="134">
        <f t="shared" si="34"/>
        <v>0</v>
      </c>
      <c r="L48" s="134">
        <f t="shared" si="34"/>
        <v>0</v>
      </c>
      <c r="M48" s="135">
        <f t="shared" si="31"/>
        <v>0</v>
      </c>
    </row>
    <row r="49" spans="1:13" ht="16.5" hidden="1" thickBot="1" x14ac:dyDescent="0.25">
      <c r="A49" s="619" t="s">
        <v>969</v>
      </c>
      <c r="B49" s="134">
        <f t="shared" ref="B49:L49" si="35">SUM(B15+B35)</f>
        <v>1121203</v>
      </c>
      <c r="C49" s="134">
        <f t="shared" si="35"/>
        <v>133793</v>
      </c>
      <c r="D49" s="134">
        <f t="shared" si="35"/>
        <v>20000</v>
      </c>
      <c r="E49" s="134">
        <f t="shared" si="35"/>
        <v>42714</v>
      </c>
      <c r="F49" s="134">
        <f t="shared" si="35"/>
        <v>220868</v>
      </c>
      <c r="G49" s="134">
        <f t="shared" si="35"/>
        <v>1538578</v>
      </c>
      <c r="H49" s="134">
        <f t="shared" si="35"/>
        <v>642531</v>
      </c>
      <c r="I49" s="134">
        <f t="shared" si="35"/>
        <v>40261</v>
      </c>
      <c r="J49" s="134">
        <f t="shared" si="35"/>
        <v>574708</v>
      </c>
      <c r="K49" s="134">
        <f t="shared" si="35"/>
        <v>342000</v>
      </c>
      <c r="L49" s="134">
        <f t="shared" si="35"/>
        <v>1599500</v>
      </c>
      <c r="M49" s="135">
        <f t="shared" si="31"/>
        <v>3138078</v>
      </c>
    </row>
    <row r="50" spans="1:13" ht="12.95" customHeight="1" x14ac:dyDescent="0.2">
      <c r="A50" s="69" t="s">
        <v>429</v>
      </c>
      <c r="M50" s="612">
        <f>SUM('7.finanszírozás.'!F79)</f>
        <v>-207048</v>
      </c>
    </row>
    <row r="51" spans="1:13" ht="12.95" customHeight="1" x14ac:dyDescent="0.2">
      <c r="A51" s="69" t="s">
        <v>433</v>
      </c>
      <c r="M51" s="613">
        <f>SUM(M47+M50)</f>
        <v>3020578</v>
      </c>
    </row>
  </sheetData>
  <mergeCells count="16">
    <mergeCell ref="L8:L9"/>
    <mergeCell ref="A1:M1"/>
    <mergeCell ref="A5:M5"/>
    <mergeCell ref="A7:A9"/>
    <mergeCell ref="B7:G7"/>
    <mergeCell ref="H7:L7"/>
    <mergeCell ref="M7:M9"/>
    <mergeCell ref="B8:B9"/>
    <mergeCell ref="C8:D8"/>
    <mergeCell ref="E8:E9"/>
    <mergeCell ref="F8:F9"/>
    <mergeCell ref="G8:G9"/>
    <mergeCell ref="H8:H9"/>
    <mergeCell ref="I8:I9"/>
    <mergeCell ref="J8:J9"/>
    <mergeCell ref="K8:K9"/>
  </mergeCells>
  <pageMargins left="0.31496062992125984" right="0.31496062992125984" top="0.74803149606299213" bottom="0.74803149606299213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0"/>
  <sheetViews>
    <sheetView topLeftCell="A15" zoomScale="80" zoomScaleNormal="80" workbookViewId="0">
      <selection activeCell="A43" sqref="A43:XFD43"/>
    </sheetView>
  </sheetViews>
  <sheetFormatPr defaultRowHeight="12.75" x14ac:dyDescent="0.2"/>
  <cols>
    <col min="1" max="1" width="47.140625" style="71" customWidth="1"/>
    <col min="2" max="2" width="10" style="66" bestFit="1" customWidth="1"/>
    <col min="3" max="3" width="9.42578125" style="66" bestFit="1" customWidth="1"/>
    <col min="4" max="4" width="10" style="66" bestFit="1" customWidth="1"/>
    <col min="5" max="6" width="9.42578125" style="66" bestFit="1" customWidth="1"/>
    <col min="7" max="7" width="11.28515625" style="66" customWidth="1"/>
    <col min="8" max="8" width="12" style="66" customWidth="1"/>
    <col min="9" max="9" width="10.28515625" style="66" customWidth="1"/>
    <col min="10" max="10" width="11.42578125" style="66" customWidth="1"/>
    <col min="11" max="11" width="10" style="66" customWidth="1"/>
    <col min="12" max="12" width="11.42578125" style="66" customWidth="1"/>
    <col min="13" max="13" width="9.42578125" style="66" bestFit="1" customWidth="1"/>
    <col min="14" max="14" width="11.5703125" style="66" customWidth="1"/>
    <col min="15" max="15" width="12.140625" style="66" customWidth="1"/>
    <col min="16" max="16" width="7" style="65" bestFit="1" customWidth="1"/>
    <col min="17" max="16384" width="9.140625" style="65"/>
  </cols>
  <sheetData>
    <row r="1" spans="1:19" ht="15" customHeight="1" x14ac:dyDescent="0.2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2" t="s">
        <v>260</v>
      </c>
      <c r="P1" s="64"/>
      <c r="Q1" s="64"/>
      <c r="R1" s="64"/>
      <c r="S1" s="64"/>
    </row>
    <row r="2" spans="1:19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608" t="str">
        <f>'1.Bev-kiad.'!F2</f>
        <v>a 11/2023.(V.26.) önkormányzati rendelethez</v>
      </c>
      <c r="P2" s="64"/>
      <c r="Q2" s="64"/>
      <c r="R2" s="64"/>
      <c r="S2" s="64"/>
    </row>
    <row r="3" spans="1:19" ht="15" customHeight="1" x14ac:dyDescent="0.2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83" t="s">
        <v>1300</v>
      </c>
      <c r="P3" s="64"/>
      <c r="Q3" s="64"/>
      <c r="R3" s="64"/>
      <c r="S3" s="64"/>
    </row>
    <row r="4" spans="1:19" ht="38.25" customHeight="1" x14ac:dyDescent="0.2">
      <c r="A4" s="814" t="s">
        <v>1140</v>
      </c>
      <c r="B4" s="815"/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5"/>
      <c r="O4" s="815"/>
      <c r="P4" s="64"/>
      <c r="Q4" s="64"/>
      <c r="R4" s="64"/>
      <c r="S4" s="64"/>
    </row>
    <row r="5" spans="1:19" ht="13.5" thickBot="1" x14ac:dyDescent="0.25">
      <c r="A5" s="216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306" t="s">
        <v>506</v>
      </c>
    </row>
    <row r="6" spans="1:19" s="69" customFormat="1" ht="14.25" customHeight="1" x14ac:dyDescent="0.2">
      <c r="A6" s="799"/>
      <c r="B6" s="817" t="s">
        <v>35</v>
      </c>
      <c r="C6" s="818"/>
      <c r="D6" s="818"/>
      <c r="E6" s="818"/>
      <c r="F6" s="818"/>
      <c r="G6" s="818"/>
      <c r="H6" s="818"/>
      <c r="I6" s="819"/>
      <c r="J6" s="801" t="s">
        <v>36</v>
      </c>
      <c r="K6" s="801" t="s">
        <v>37</v>
      </c>
      <c r="L6" s="801"/>
      <c r="M6" s="801"/>
      <c r="N6" s="801"/>
      <c r="O6" s="802" t="s">
        <v>7</v>
      </c>
      <c r="P6" s="808"/>
    </row>
    <row r="7" spans="1:19" s="69" customFormat="1" ht="63.75" customHeight="1" x14ac:dyDescent="0.2">
      <c r="A7" s="800"/>
      <c r="B7" s="806" t="s">
        <v>38</v>
      </c>
      <c r="C7" s="806" t="s">
        <v>103</v>
      </c>
      <c r="D7" s="806" t="s">
        <v>39</v>
      </c>
      <c r="E7" s="806" t="s">
        <v>459</v>
      </c>
      <c r="F7" s="806" t="s">
        <v>40</v>
      </c>
      <c r="G7" s="812" t="s">
        <v>57</v>
      </c>
      <c r="H7" s="813"/>
      <c r="I7" s="806" t="s">
        <v>385</v>
      </c>
      <c r="J7" s="796"/>
      <c r="K7" s="806" t="s">
        <v>41</v>
      </c>
      <c r="L7" s="806" t="s">
        <v>42</v>
      </c>
      <c r="M7" s="806" t="s">
        <v>43</v>
      </c>
      <c r="N7" s="796" t="s">
        <v>12</v>
      </c>
      <c r="O7" s="803"/>
      <c r="P7" s="808"/>
    </row>
    <row r="8" spans="1:19" ht="35.25" customHeight="1" thickBot="1" x14ac:dyDescent="0.25">
      <c r="A8" s="816"/>
      <c r="B8" s="811"/>
      <c r="C8" s="811"/>
      <c r="D8" s="811"/>
      <c r="E8" s="811"/>
      <c r="F8" s="811"/>
      <c r="G8" s="222" t="s">
        <v>441</v>
      </c>
      <c r="H8" s="222" t="s">
        <v>442</v>
      </c>
      <c r="I8" s="811"/>
      <c r="J8" s="810"/>
      <c r="K8" s="811"/>
      <c r="L8" s="811"/>
      <c r="M8" s="811"/>
      <c r="N8" s="810"/>
      <c r="O8" s="809"/>
      <c r="P8" s="808"/>
    </row>
    <row r="9" spans="1:19" ht="21.75" customHeight="1" thickBot="1" x14ac:dyDescent="0.25">
      <c r="A9" s="301" t="str">
        <f>'5.Bev.össz'!A10</f>
        <v>Önkormányzat (eredeti előirányzat 2022)</v>
      </c>
      <c r="B9" s="127">
        <f t="shared" ref="B9:I9" si="0">B15+B21</f>
        <v>47204</v>
      </c>
      <c r="C9" s="127">
        <f t="shared" si="0"/>
        <v>6431</v>
      </c>
      <c r="D9" s="127">
        <f t="shared" si="0"/>
        <v>342213</v>
      </c>
      <c r="E9" s="127">
        <f t="shared" si="0"/>
        <v>9658</v>
      </c>
      <c r="F9" s="127">
        <f t="shared" si="0"/>
        <v>471375</v>
      </c>
      <c r="G9" s="127">
        <f t="shared" si="0"/>
        <v>180274</v>
      </c>
      <c r="H9" s="127">
        <f t="shared" si="0"/>
        <v>74071</v>
      </c>
      <c r="I9" s="127">
        <f t="shared" si="0"/>
        <v>50000</v>
      </c>
      <c r="J9" s="127">
        <f>B9+C9+D9+E9+F9+G9+H9+I9</f>
        <v>1181226</v>
      </c>
      <c r="K9" s="127">
        <f t="shared" ref="K9:M11" si="1">K15+K21</f>
        <v>455818</v>
      </c>
      <c r="L9" s="127">
        <f t="shared" si="1"/>
        <v>641826</v>
      </c>
      <c r="M9" s="127">
        <f t="shared" si="1"/>
        <v>143582</v>
      </c>
      <c r="N9" s="127">
        <f>K9+L9+M9</f>
        <v>1241226</v>
      </c>
      <c r="O9" s="128">
        <f>J9+N9</f>
        <v>2422452</v>
      </c>
      <c r="P9" s="305">
        <f>P15</f>
        <v>8</v>
      </c>
    </row>
    <row r="10" spans="1:19" ht="30" hidden="1" customHeight="1" thickBot="1" x14ac:dyDescent="0.25">
      <c r="A10" s="301" t="str">
        <f>'5.Bev.össz'!A11</f>
        <v>Önkormányzat (módosított előirányzat 2022.06.havi)</v>
      </c>
      <c r="B10" s="127">
        <f t="shared" ref="B10:I11" si="2">B16+B22</f>
        <v>48465</v>
      </c>
      <c r="C10" s="127">
        <f t="shared" si="2"/>
        <v>6526</v>
      </c>
      <c r="D10" s="127">
        <f t="shared" si="2"/>
        <v>370392</v>
      </c>
      <c r="E10" s="127">
        <f t="shared" si="2"/>
        <v>9658</v>
      </c>
      <c r="F10" s="127">
        <f t="shared" si="2"/>
        <v>481578</v>
      </c>
      <c r="G10" s="127">
        <f t="shared" si="2"/>
        <v>183222</v>
      </c>
      <c r="H10" s="127">
        <f t="shared" si="2"/>
        <v>74071</v>
      </c>
      <c r="I10" s="127">
        <f t="shared" si="2"/>
        <v>68881</v>
      </c>
      <c r="J10" s="127">
        <f t="shared" ref="J10:J14" si="3">B10+C10+D10+E10+F10+G10+H10+I10</f>
        <v>1242793</v>
      </c>
      <c r="K10" s="127">
        <f t="shared" si="1"/>
        <v>446741</v>
      </c>
      <c r="L10" s="127">
        <f t="shared" si="1"/>
        <v>729866</v>
      </c>
      <c r="M10" s="127">
        <f t="shared" si="1"/>
        <v>369783</v>
      </c>
      <c r="N10" s="127">
        <f>K10+L10+M10</f>
        <v>1546390</v>
      </c>
      <c r="O10" s="128">
        <f>J10+N10</f>
        <v>2789183</v>
      </c>
      <c r="P10" s="305">
        <f t="shared" ref="P10:P14" si="4">P16</f>
        <v>8</v>
      </c>
    </row>
    <row r="11" spans="1:19" ht="32.25" customHeight="1" thickBot="1" x14ac:dyDescent="0.25">
      <c r="A11" s="301" t="str">
        <f>'5.Bev.össz'!A12</f>
        <v>Önkormányzat (módosított előirányzat 2022.10.havi)</v>
      </c>
      <c r="B11" s="127">
        <f t="shared" si="2"/>
        <v>49563</v>
      </c>
      <c r="C11" s="127">
        <f t="shared" si="2"/>
        <v>6526</v>
      </c>
      <c r="D11" s="127">
        <f t="shared" si="2"/>
        <v>415969</v>
      </c>
      <c r="E11" s="127">
        <f t="shared" si="2"/>
        <v>9658</v>
      </c>
      <c r="F11" s="127">
        <f t="shared" si="2"/>
        <v>483553</v>
      </c>
      <c r="G11" s="127">
        <f t="shared" si="2"/>
        <v>188133</v>
      </c>
      <c r="H11" s="127">
        <f t="shared" si="2"/>
        <v>74071</v>
      </c>
      <c r="I11" s="127">
        <f t="shared" si="2"/>
        <v>89361</v>
      </c>
      <c r="J11" s="127">
        <f t="shared" ref="J11" si="5">B11+C11+D11+E11+F11+G11+H11+I11</f>
        <v>1316834</v>
      </c>
      <c r="K11" s="127">
        <f t="shared" si="1"/>
        <v>445808</v>
      </c>
      <c r="L11" s="127">
        <f t="shared" si="1"/>
        <v>870811</v>
      </c>
      <c r="M11" s="127">
        <f t="shared" si="1"/>
        <v>259308</v>
      </c>
      <c r="N11" s="127">
        <f>K11+L11+M11</f>
        <v>1575927</v>
      </c>
      <c r="O11" s="128">
        <f>J11+N11</f>
        <v>2892761</v>
      </c>
      <c r="P11" s="305">
        <f t="shared" si="4"/>
        <v>8</v>
      </c>
    </row>
    <row r="12" spans="1:19" ht="31.5" customHeight="1" thickBot="1" x14ac:dyDescent="0.25">
      <c r="A12" s="301" t="str">
        <f>'5.Bev.össz'!A13</f>
        <v>Önkormányzat (módosított előirányzat 2022.12.31)</v>
      </c>
      <c r="B12" s="127">
        <f t="shared" ref="B12:I12" si="6">B18+B24</f>
        <v>50078</v>
      </c>
      <c r="C12" s="127">
        <f t="shared" si="6"/>
        <v>6531</v>
      </c>
      <c r="D12" s="127">
        <f t="shared" si="6"/>
        <v>419178</v>
      </c>
      <c r="E12" s="127">
        <f t="shared" si="6"/>
        <v>11408</v>
      </c>
      <c r="F12" s="127">
        <f t="shared" si="6"/>
        <v>488104</v>
      </c>
      <c r="G12" s="127">
        <f t="shared" si="6"/>
        <v>207048</v>
      </c>
      <c r="H12" s="127">
        <f t="shared" si="6"/>
        <v>74071</v>
      </c>
      <c r="I12" s="127">
        <f t="shared" si="6"/>
        <v>119321</v>
      </c>
      <c r="J12" s="127">
        <f t="shared" si="3"/>
        <v>1375739</v>
      </c>
      <c r="K12" s="127">
        <f t="shared" ref="K12:M14" si="7">K18+K24</f>
        <v>446485</v>
      </c>
      <c r="L12" s="127">
        <f t="shared" si="7"/>
        <v>870811</v>
      </c>
      <c r="M12" s="127">
        <f t="shared" si="7"/>
        <v>258631</v>
      </c>
      <c r="N12" s="127">
        <f t="shared" ref="N12:N14" si="8">K12+L12+M12</f>
        <v>1575927</v>
      </c>
      <c r="O12" s="128">
        <f t="shared" ref="O12:O14" si="9">J12+N12</f>
        <v>2951666</v>
      </c>
      <c r="P12" s="305">
        <f t="shared" si="4"/>
        <v>8</v>
      </c>
    </row>
    <row r="13" spans="1:19" ht="21.75" hidden="1" customHeight="1" thickBot="1" x14ac:dyDescent="0.25">
      <c r="A13" s="301">
        <f>'5.Bev.össz'!A14</f>
        <v>0</v>
      </c>
      <c r="B13" s="127">
        <f t="shared" ref="B13:I13" si="10">B19+B25</f>
        <v>0</v>
      </c>
      <c r="C13" s="127">
        <f t="shared" si="10"/>
        <v>0</v>
      </c>
      <c r="D13" s="127">
        <f t="shared" si="10"/>
        <v>0</v>
      </c>
      <c r="E13" s="127">
        <f t="shared" si="10"/>
        <v>0</v>
      </c>
      <c r="F13" s="127">
        <f t="shared" si="10"/>
        <v>0</v>
      </c>
      <c r="G13" s="127">
        <f t="shared" si="10"/>
        <v>0</v>
      </c>
      <c r="H13" s="127">
        <f t="shared" si="10"/>
        <v>0</v>
      </c>
      <c r="I13" s="127">
        <f t="shared" si="10"/>
        <v>0</v>
      </c>
      <c r="J13" s="127">
        <f t="shared" si="3"/>
        <v>0</v>
      </c>
      <c r="K13" s="127">
        <f t="shared" si="7"/>
        <v>0</v>
      </c>
      <c r="L13" s="127">
        <f t="shared" si="7"/>
        <v>0</v>
      </c>
      <c r="M13" s="127">
        <f t="shared" si="7"/>
        <v>0</v>
      </c>
      <c r="N13" s="127">
        <f t="shared" si="8"/>
        <v>0</v>
      </c>
      <c r="O13" s="128">
        <f t="shared" si="9"/>
        <v>0</v>
      </c>
      <c r="P13" s="305">
        <f t="shared" si="4"/>
        <v>0</v>
      </c>
    </row>
    <row r="14" spans="1:19" ht="13.5" hidden="1" thickBot="1" x14ac:dyDescent="0.25">
      <c r="A14" s="301" t="str">
        <f>'5.Bev.össz'!A15</f>
        <v>Önkormányzat: Teljesítés 2021.12.31.</v>
      </c>
      <c r="B14" s="127">
        <f t="shared" ref="B14:I14" si="11">B20+B26</f>
        <v>47535</v>
      </c>
      <c r="C14" s="127">
        <f t="shared" si="11"/>
        <v>6461</v>
      </c>
      <c r="D14" s="127">
        <f t="shared" si="11"/>
        <v>159591</v>
      </c>
      <c r="E14" s="127">
        <f t="shared" si="11"/>
        <v>9300</v>
      </c>
      <c r="F14" s="127">
        <f t="shared" si="11"/>
        <v>477319</v>
      </c>
      <c r="G14" s="127">
        <f t="shared" si="11"/>
        <v>176507</v>
      </c>
      <c r="H14" s="127">
        <f t="shared" si="11"/>
        <v>74071</v>
      </c>
      <c r="I14" s="127">
        <f t="shared" si="11"/>
        <v>50000</v>
      </c>
      <c r="J14" s="127">
        <f t="shared" si="3"/>
        <v>1000784</v>
      </c>
      <c r="K14" s="127">
        <f t="shared" si="7"/>
        <v>445808</v>
      </c>
      <c r="L14" s="127">
        <f t="shared" si="7"/>
        <v>870811</v>
      </c>
      <c r="M14" s="127">
        <f t="shared" si="7"/>
        <v>259308</v>
      </c>
      <c r="N14" s="127">
        <f t="shared" si="8"/>
        <v>1575927</v>
      </c>
      <c r="O14" s="128">
        <f t="shared" si="9"/>
        <v>2576711</v>
      </c>
      <c r="P14" s="305">
        <f t="shared" si="4"/>
        <v>16</v>
      </c>
    </row>
    <row r="15" spans="1:19" x14ac:dyDescent="0.2">
      <c r="A15" s="310" t="str">
        <f>'5.Bev.össz'!A16</f>
        <v xml:space="preserve">       Kötelező (eredeti előirányzat 2022)</v>
      </c>
      <c r="B15" s="129">
        <f>SUM('7.finanszírozás.'!C98)</f>
        <v>47204</v>
      </c>
      <c r="C15" s="129">
        <f>SUM('7.finanszírozás.'!C105)</f>
        <v>6431</v>
      </c>
      <c r="D15" s="129">
        <f>SUM('7.finanszírozás.'!C112)</f>
        <v>342213</v>
      </c>
      <c r="E15" s="129">
        <f>SUM('7.finanszírozás.'!C128)</f>
        <v>9658</v>
      </c>
      <c r="F15" s="129">
        <f>SUM('4. Átadott p.eszk.'!B74-'4. Átadott p.eszk.'!B62-'4. Átadott p.eszk.'!B63)</f>
        <v>467675</v>
      </c>
      <c r="G15" s="129">
        <f>SUM('7.finanszírozás.'!F54+'7.finanszírozás.'!F46)</f>
        <v>180274</v>
      </c>
      <c r="H15" s="129">
        <f>SUM('1.Bev-kiad.'!C78)</f>
        <v>74071</v>
      </c>
      <c r="I15" s="129">
        <f>SUM('2.működés'!C125)</f>
        <v>50000</v>
      </c>
      <c r="J15" s="137">
        <f>SUM(B15:I15)</f>
        <v>1177526</v>
      </c>
      <c r="K15" s="129">
        <f>SUM('3.felh'!C45)</f>
        <v>455818</v>
      </c>
      <c r="L15" s="129">
        <f>SUM('3.felh'!C66)</f>
        <v>641826</v>
      </c>
      <c r="M15" s="129">
        <f>SUM('3.felh'!C78)</f>
        <v>143582</v>
      </c>
      <c r="N15" s="137">
        <f>SUM(K15:M15)</f>
        <v>1241226</v>
      </c>
      <c r="O15" s="311">
        <f>SUM(J15+N15)</f>
        <v>2418752</v>
      </c>
      <c r="P15" s="304">
        <v>8</v>
      </c>
    </row>
    <row r="16" spans="1:19" hidden="1" x14ac:dyDescent="0.2">
      <c r="A16" s="310" t="str">
        <f>'5.Bev.össz'!A17</f>
        <v xml:space="preserve">       Kötelező (módosított előirányzat 2022.06. havi)</v>
      </c>
      <c r="B16" s="129">
        <f>SUM('7.finanszírozás.'!C99)</f>
        <v>48465</v>
      </c>
      <c r="C16" s="129">
        <f>SUM('7.finanszírozás.'!C106)</f>
        <v>6526</v>
      </c>
      <c r="D16" s="129">
        <f>SUM('7.finanszírozás.'!C113)</f>
        <v>370392</v>
      </c>
      <c r="E16" s="129">
        <f>SUM('7.finanszírozás.'!C127)</f>
        <v>9658</v>
      </c>
      <c r="F16" s="129">
        <f>SUM('4. Átadott p.eszk.'!C74)-'4. Átadott p.eszk.'!C62</f>
        <v>478078</v>
      </c>
      <c r="G16" s="129">
        <f>SUM('7.finanszírozás.'!E47+'7.finanszírozás.'!E55)</f>
        <v>183222</v>
      </c>
      <c r="H16" s="129">
        <f>SUM('1.Bev-kiad.'!D78)</f>
        <v>74071</v>
      </c>
      <c r="I16" s="129">
        <f>SUM('2.működés'!D125)</f>
        <v>68881</v>
      </c>
      <c r="J16" s="137">
        <f>SUM(B16:I16)</f>
        <v>1239293</v>
      </c>
      <c r="K16" s="129">
        <f>SUM('3.felh'!D45)</f>
        <v>446741</v>
      </c>
      <c r="L16" s="129">
        <f>SUM('3.felh'!D66)</f>
        <v>729866</v>
      </c>
      <c r="M16" s="129">
        <f>'3.felh'!D78</f>
        <v>369783</v>
      </c>
      <c r="N16" s="137">
        <f>SUM(K16:M16)</f>
        <v>1546390</v>
      </c>
      <c r="O16" s="311">
        <f>SUM(J22+N16)</f>
        <v>1549890</v>
      </c>
      <c r="P16" s="304">
        <v>8</v>
      </c>
    </row>
    <row r="17" spans="1:16" ht="15.75" customHeight="1" x14ac:dyDescent="0.2">
      <c r="A17" s="310" t="str">
        <f>'5.Bev.össz'!A18</f>
        <v xml:space="preserve">       Kötelező (módosított előirányzat 2022.10. havi)</v>
      </c>
      <c r="B17" s="129">
        <f>SUM('7.finanszírozás.'!C100)</f>
        <v>49563</v>
      </c>
      <c r="C17" s="129">
        <f>SUM('7.finanszírozás.'!C107)</f>
        <v>6526</v>
      </c>
      <c r="D17" s="129">
        <f>SUM('7.finanszírozás.'!C114)</f>
        <v>415969</v>
      </c>
      <c r="E17" s="129">
        <f>SUM('7.finanszírozás.'!C128)</f>
        <v>9658</v>
      </c>
      <c r="F17" s="129">
        <f>SUM('4. Átadott p.eszk.'!D74)-'4. Átadott p.eszk.'!D62</f>
        <v>479653</v>
      </c>
      <c r="G17" s="129">
        <f>SUM('7.finanszírozás.'!E48+'7.finanszírozás.'!E56)</f>
        <v>188133</v>
      </c>
      <c r="H17" s="129">
        <f>SUM('1.Bev-kiad.'!E78)</f>
        <v>74071</v>
      </c>
      <c r="I17" s="129">
        <f>SUM('2.működés'!E125)</f>
        <v>89361</v>
      </c>
      <c r="J17" s="137">
        <f>SUM(B17:I17)</f>
        <v>1312934</v>
      </c>
      <c r="K17" s="129">
        <f>SUM('3.felh'!E45)</f>
        <v>445808</v>
      </c>
      <c r="L17" s="129">
        <f>SUM('3.felh'!E66)</f>
        <v>870811</v>
      </c>
      <c r="M17" s="129">
        <f>'3.felh'!E78</f>
        <v>259308</v>
      </c>
      <c r="N17" s="137">
        <f>SUM(K17:M17)</f>
        <v>1575927</v>
      </c>
      <c r="O17" s="311">
        <f>SUM(J23+N17)</f>
        <v>1579827</v>
      </c>
      <c r="P17" s="304">
        <v>8</v>
      </c>
    </row>
    <row r="18" spans="1:16" x14ac:dyDescent="0.2">
      <c r="A18" s="310" t="str">
        <f>'5.Bev.össz'!A19</f>
        <v xml:space="preserve">       Kötelező (módosított előirányzat 2022.12.31)</v>
      </c>
      <c r="B18" s="129">
        <f>SUM('7.finanszírozás.'!C101)</f>
        <v>50078</v>
      </c>
      <c r="C18" s="129">
        <f>SUM('7.finanszírozás.'!C108)</f>
        <v>6531</v>
      </c>
      <c r="D18" s="129">
        <f>SUM('7.finanszírozás.'!C115)</f>
        <v>419178</v>
      </c>
      <c r="E18" s="129">
        <f>SUM('7.finanszírozás.'!C129)</f>
        <v>11408</v>
      </c>
      <c r="F18" s="129">
        <f>SUM('4. Átadott p.eszk.'!E74)-'4. Átadott p.eszk.'!E62</f>
        <v>483944</v>
      </c>
      <c r="G18" s="129">
        <f>SUM('7.finanszírozás.'!E49+'7.finanszírozás.'!E57)</f>
        <v>207048</v>
      </c>
      <c r="H18" s="129">
        <f>SUM('1.Bev-kiad.'!F78)</f>
        <v>74071</v>
      </c>
      <c r="I18" s="129">
        <f>SUM('2.működés'!F125)</f>
        <v>119321</v>
      </c>
      <c r="J18" s="137">
        <f>SUM(B18:I18)</f>
        <v>1371579</v>
      </c>
      <c r="K18" s="129">
        <f>SUM('3.felh'!F45)</f>
        <v>446485</v>
      </c>
      <c r="L18" s="129">
        <f>SUM('3.felh'!F66)</f>
        <v>870811</v>
      </c>
      <c r="M18" s="129">
        <f>'3.felh'!F78</f>
        <v>258631</v>
      </c>
      <c r="N18" s="137">
        <f t="shared" ref="N18:N26" si="12">SUM(K18:M18)</f>
        <v>1575927</v>
      </c>
      <c r="O18" s="311">
        <f t="shared" ref="O18:O26" si="13">SUM(J18+N18)</f>
        <v>2947506</v>
      </c>
      <c r="P18" s="304">
        <v>8</v>
      </c>
    </row>
    <row r="19" spans="1:16" hidden="1" x14ac:dyDescent="0.2">
      <c r="A19" s="310">
        <f>'5.Bev.össz'!A20</f>
        <v>0</v>
      </c>
      <c r="B19" s="129"/>
      <c r="C19" s="129"/>
      <c r="D19" s="129"/>
      <c r="E19" s="129"/>
      <c r="F19" s="129">
        <v>0</v>
      </c>
      <c r="G19" s="129"/>
      <c r="H19" s="129"/>
      <c r="I19" s="129"/>
      <c r="J19" s="137">
        <f>SUM(B19:I19)</f>
        <v>0</v>
      </c>
      <c r="K19" s="129"/>
      <c r="L19" s="129"/>
      <c r="M19" s="129"/>
      <c r="N19" s="137">
        <f t="shared" si="12"/>
        <v>0</v>
      </c>
      <c r="O19" s="311">
        <f t="shared" si="13"/>
        <v>0</v>
      </c>
      <c r="P19" s="304"/>
    </row>
    <row r="20" spans="1:16" hidden="1" x14ac:dyDescent="0.2">
      <c r="A20" s="310" t="str">
        <f>'5.Bev.össz'!A21</f>
        <v xml:space="preserve">       Teljesítés 2021.12.31.</v>
      </c>
      <c r="B20" s="129">
        <f>SUM('7.finanszírozás.'!C103)</f>
        <v>47535</v>
      </c>
      <c r="C20" s="129">
        <f>SUM('7.finanszírozás.'!C110)</f>
        <v>6461</v>
      </c>
      <c r="D20" s="129">
        <f>SUM('7.finanszírozás.'!C117)</f>
        <v>159591</v>
      </c>
      <c r="E20" s="129">
        <f>SUM('7.finanszírozás.'!C131)</f>
        <v>9300</v>
      </c>
      <c r="F20" s="129">
        <f>SUM('4. Átadott p.eszk.'!F9)</f>
        <v>337731</v>
      </c>
      <c r="G20" s="129">
        <f>SUM('7.finanszírozás.'!E51+'7.finanszírozás.'!E59)</f>
        <v>176507</v>
      </c>
      <c r="H20" s="129">
        <f>SUM('1.Bev-kiad.'!G78)</f>
        <v>74071</v>
      </c>
      <c r="I20" s="129">
        <f>SUM('2.működés'!G125)</f>
        <v>50000</v>
      </c>
      <c r="J20" s="137">
        <f t="shared" ref="J20:J26" si="14">SUM(B20:I20)</f>
        <v>861196</v>
      </c>
      <c r="K20" s="129"/>
      <c r="L20" s="129"/>
      <c r="M20" s="129"/>
      <c r="N20" s="137">
        <f t="shared" si="12"/>
        <v>0</v>
      </c>
      <c r="O20" s="311">
        <f t="shared" si="13"/>
        <v>861196</v>
      </c>
      <c r="P20" s="304">
        <v>16</v>
      </c>
    </row>
    <row r="21" spans="1:16" x14ac:dyDescent="0.2">
      <c r="A21" s="310" t="str">
        <f>'5.Bev.össz'!A23</f>
        <v xml:space="preserve">       Nem kötelező (eredeti előirányzat 2022)</v>
      </c>
      <c r="B21" s="70"/>
      <c r="C21" s="70"/>
      <c r="D21" s="70"/>
      <c r="E21" s="70"/>
      <c r="F21" s="68">
        <f>SUM('4. Átadott p.eszk.'!B62+'4. Átadott p.eszk.'!B63)</f>
        <v>3700</v>
      </c>
      <c r="G21" s="68"/>
      <c r="H21" s="68"/>
      <c r="I21" s="68"/>
      <c r="J21" s="137">
        <f>SUM(B21:I21)</f>
        <v>3700</v>
      </c>
      <c r="K21" s="129">
        <v>0</v>
      </c>
      <c r="L21" s="129">
        <v>0</v>
      </c>
      <c r="M21" s="129">
        <v>0</v>
      </c>
      <c r="N21" s="137">
        <f>SUM(K21:M21)</f>
        <v>0</v>
      </c>
      <c r="O21" s="311">
        <f>SUM(J21+N21)</f>
        <v>3700</v>
      </c>
      <c r="P21" s="308"/>
    </row>
    <row r="22" spans="1:16" hidden="1" x14ac:dyDescent="0.2">
      <c r="A22" s="310" t="str">
        <f>'5.Bev.össz'!A24</f>
        <v xml:space="preserve">       Nem kötelező (módosított előirányzat 2022.06. havi)</v>
      </c>
      <c r="B22" s="68"/>
      <c r="C22" s="68"/>
      <c r="D22" s="68"/>
      <c r="E22" s="68"/>
      <c r="F22" s="68">
        <f>'4. Átadott p.eszk.'!C62</f>
        <v>3500</v>
      </c>
      <c r="G22" s="68"/>
      <c r="H22" s="68"/>
      <c r="I22" s="68"/>
      <c r="J22" s="137">
        <f t="shared" si="14"/>
        <v>3500</v>
      </c>
      <c r="K22" s="129">
        <v>0</v>
      </c>
      <c r="L22" s="129">
        <v>0</v>
      </c>
      <c r="M22" s="129">
        <v>0</v>
      </c>
      <c r="N22" s="137">
        <v>0</v>
      </c>
      <c r="O22" s="311">
        <f>SUM(J22+N22)</f>
        <v>3500</v>
      </c>
      <c r="P22" s="308"/>
    </row>
    <row r="23" spans="1:16" ht="27" customHeight="1" x14ac:dyDescent="0.2">
      <c r="A23" s="310" t="str">
        <f>'5.Bev.össz'!A25</f>
        <v xml:space="preserve">       Nem kötelező (módosított előirányzat 2022.10. havi)</v>
      </c>
      <c r="B23" s="70"/>
      <c r="C23" s="70"/>
      <c r="D23" s="70"/>
      <c r="E23" s="70"/>
      <c r="F23" s="68">
        <f>'4. Átadott p.eszk.'!D62</f>
        <v>3900</v>
      </c>
      <c r="G23" s="68"/>
      <c r="H23" s="68"/>
      <c r="I23" s="68"/>
      <c r="J23" s="137">
        <f t="shared" ref="J23" si="15">SUM(B23:I23)</f>
        <v>3900</v>
      </c>
      <c r="K23" s="129">
        <v>0</v>
      </c>
      <c r="L23" s="129">
        <v>0</v>
      </c>
      <c r="M23" s="129">
        <v>0</v>
      </c>
      <c r="N23" s="137">
        <v>0</v>
      </c>
      <c r="O23" s="311">
        <f>SUM(J23+N23)</f>
        <v>3900</v>
      </c>
      <c r="P23" s="308"/>
    </row>
    <row r="24" spans="1:16" ht="27.75" customHeight="1" x14ac:dyDescent="0.2">
      <c r="A24" s="310" t="str">
        <f>'5.Bev.össz'!A26</f>
        <v xml:space="preserve">       Nem kötelező (módosított előirányzat 2022.12.31)</v>
      </c>
      <c r="B24" s="70"/>
      <c r="C24" s="70"/>
      <c r="D24" s="70"/>
      <c r="E24" s="70"/>
      <c r="F24" s="68">
        <f>'4. Átadott p.eszk.'!E62</f>
        <v>4160</v>
      </c>
      <c r="G24" s="68"/>
      <c r="H24" s="68"/>
      <c r="I24" s="68"/>
      <c r="J24" s="137">
        <f t="shared" si="14"/>
        <v>4160</v>
      </c>
      <c r="K24" s="129">
        <v>0</v>
      </c>
      <c r="L24" s="129">
        <v>0</v>
      </c>
      <c r="M24" s="129">
        <v>0</v>
      </c>
      <c r="N24" s="137">
        <f t="shared" si="12"/>
        <v>0</v>
      </c>
      <c r="O24" s="311">
        <f t="shared" si="13"/>
        <v>4160</v>
      </c>
      <c r="P24" s="308"/>
    </row>
    <row r="25" spans="1:16" hidden="1" x14ac:dyDescent="0.2">
      <c r="A25" s="310">
        <f>'5.Bev.össz'!A27</f>
        <v>0</v>
      </c>
      <c r="B25" s="70"/>
      <c r="C25" s="70"/>
      <c r="D25" s="70"/>
      <c r="E25" s="70"/>
      <c r="F25" s="68"/>
      <c r="G25" s="68"/>
      <c r="H25" s="68"/>
      <c r="I25" s="68"/>
      <c r="J25" s="137">
        <f t="shared" si="14"/>
        <v>0</v>
      </c>
      <c r="K25" s="129"/>
      <c r="L25" s="129"/>
      <c r="M25" s="129"/>
      <c r="N25" s="137">
        <f t="shared" si="12"/>
        <v>0</v>
      </c>
      <c r="O25" s="311">
        <f t="shared" si="13"/>
        <v>0</v>
      </c>
      <c r="P25" s="308"/>
    </row>
    <row r="26" spans="1:16" hidden="1" x14ac:dyDescent="0.2">
      <c r="A26" s="310" t="str">
        <f>'5.Bev.össz'!A28</f>
        <v xml:space="preserve">       Teljesítés 2021.12.31.</v>
      </c>
      <c r="B26" s="70"/>
      <c r="C26" s="70"/>
      <c r="D26" s="70"/>
      <c r="E26" s="70"/>
      <c r="F26" s="68">
        <f>SUM('4. Átadott p.eszk.'!F40+'4. Átadott p.eszk.'!F68)</f>
        <v>139588</v>
      </c>
      <c r="G26" s="70"/>
      <c r="H26" s="70"/>
      <c r="I26" s="70"/>
      <c r="J26" s="137">
        <f t="shared" si="14"/>
        <v>139588</v>
      </c>
      <c r="K26" s="598">
        <f>SUM('3.felh'!G45)</f>
        <v>445808</v>
      </c>
      <c r="L26" s="598">
        <f>SUM('3.felh'!G66)</f>
        <v>870811</v>
      </c>
      <c r="M26" s="598">
        <f>SUM('3.felh'!G78)</f>
        <v>259308</v>
      </c>
      <c r="N26" s="137">
        <f t="shared" si="12"/>
        <v>1575927</v>
      </c>
      <c r="O26" s="311">
        <f t="shared" si="13"/>
        <v>1715515</v>
      </c>
      <c r="P26" s="308"/>
    </row>
    <row r="27" spans="1:16" ht="15.75" customHeight="1" thickBot="1" x14ac:dyDescent="0.25">
      <c r="A27" s="312" t="str">
        <f>'5.Bev.össz'!A29</f>
        <v xml:space="preserve">       Államigazgatási feladatok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311"/>
      <c r="P27" s="308"/>
    </row>
    <row r="28" spans="1:16" s="69" customFormat="1" ht="21" customHeight="1" thickBot="1" x14ac:dyDescent="0.25">
      <c r="A28" s="301" t="str">
        <f>'5.Bev.össz'!A30</f>
        <v>KÖH (eredeti előirányzat 2022)</v>
      </c>
      <c r="B28" s="132">
        <f t="shared" ref="B28:J28" si="16">SUM(B34)</f>
        <v>191084</v>
      </c>
      <c r="C28" s="132">
        <f t="shared" si="16"/>
        <v>25390</v>
      </c>
      <c r="D28" s="132">
        <f t="shared" si="16"/>
        <v>25006</v>
      </c>
      <c r="E28" s="132">
        <f t="shared" si="16"/>
        <v>0</v>
      </c>
      <c r="F28" s="132">
        <f t="shared" si="16"/>
        <v>0</v>
      </c>
      <c r="G28" s="132">
        <f t="shared" si="16"/>
        <v>0</v>
      </c>
      <c r="H28" s="132">
        <f t="shared" si="16"/>
        <v>0</v>
      </c>
      <c r="I28" s="132">
        <f t="shared" si="16"/>
        <v>0</v>
      </c>
      <c r="J28" s="125">
        <f t="shared" si="16"/>
        <v>241480</v>
      </c>
      <c r="K28" s="125">
        <f>K34</f>
        <v>1000</v>
      </c>
      <c r="L28" s="125">
        <f>L34</f>
        <v>0</v>
      </c>
      <c r="M28" s="125">
        <f>M34</f>
        <v>0</v>
      </c>
      <c r="N28" s="125">
        <f>K28+L28+M28</f>
        <v>1000</v>
      </c>
      <c r="O28" s="138">
        <f>(N28+J28)</f>
        <v>242480</v>
      </c>
      <c r="P28" s="307">
        <f>P34</f>
        <v>40</v>
      </c>
    </row>
    <row r="29" spans="1:16" s="69" customFormat="1" ht="21" hidden="1" customHeight="1" thickBot="1" x14ac:dyDescent="0.25">
      <c r="A29" s="301" t="str">
        <f>'5.Bev.össz'!A31</f>
        <v>KÖH (módosított előirányzat 2022.06. havi)</v>
      </c>
      <c r="B29" s="132">
        <f t="shared" ref="B29:J30" si="17">SUM(B35)</f>
        <v>197223</v>
      </c>
      <c r="C29" s="132">
        <f t="shared" si="17"/>
        <v>25390</v>
      </c>
      <c r="D29" s="132">
        <f t="shared" si="17"/>
        <v>21846</v>
      </c>
      <c r="E29" s="132">
        <f t="shared" si="17"/>
        <v>0</v>
      </c>
      <c r="F29" s="132">
        <f t="shared" si="17"/>
        <v>0</v>
      </c>
      <c r="G29" s="132">
        <f t="shared" si="17"/>
        <v>0</v>
      </c>
      <c r="H29" s="132">
        <f t="shared" si="17"/>
        <v>0</v>
      </c>
      <c r="I29" s="132">
        <f t="shared" si="17"/>
        <v>0</v>
      </c>
      <c r="J29" s="125">
        <f t="shared" si="17"/>
        <v>244459</v>
      </c>
      <c r="K29" s="125">
        <f t="shared" ref="K29:M33" si="18">K35</f>
        <v>1000</v>
      </c>
      <c r="L29" s="125">
        <f t="shared" si="18"/>
        <v>0</v>
      </c>
      <c r="M29" s="125">
        <f t="shared" si="18"/>
        <v>0</v>
      </c>
      <c r="N29" s="125">
        <f t="shared" ref="N29:N33" si="19">K29+L29+M29</f>
        <v>1000</v>
      </c>
      <c r="O29" s="138">
        <f t="shared" ref="O29:O33" si="20">(N29+J29)</f>
        <v>245459</v>
      </c>
      <c r="P29" s="307">
        <f t="shared" ref="P29:P33" si="21">P35</f>
        <v>40</v>
      </c>
    </row>
    <row r="30" spans="1:16" s="69" customFormat="1" ht="21" customHeight="1" thickBot="1" x14ac:dyDescent="0.25">
      <c r="A30" s="301" t="str">
        <f>'5.Bev.össz'!A32</f>
        <v>KÖH (módosított előirányzat 2022.10. havi)</v>
      </c>
      <c r="B30" s="132">
        <f t="shared" si="17"/>
        <v>205057</v>
      </c>
      <c r="C30" s="132">
        <f t="shared" si="17"/>
        <v>26955</v>
      </c>
      <c r="D30" s="132">
        <f t="shared" si="17"/>
        <v>23931</v>
      </c>
      <c r="E30" s="132">
        <f t="shared" si="17"/>
        <v>0</v>
      </c>
      <c r="F30" s="132">
        <f t="shared" si="17"/>
        <v>0</v>
      </c>
      <c r="G30" s="132">
        <f t="shared" si="17"/>
        <v>0</v>
      </c>
      <c r="H30" s="132">
        <f t="shared" si="17"/>
        <v>0</v>
      </c>
      <c r="I30" s="132">
        <f t="shared" si="17"/>
        <v>0</v>
      </c>
      <c r="J30" s="125">
        <f t="shared" si="17"/>
        <v>255943</v>
      </c>
      <c r="K30" s="125">
        <f t="shared" si="18"/>
        <v>1000</v>
      </c>
      <c r="L30" s="125">
        <f t="shared" si="18"/>
        <v>0</v>
      </c>
      <c r="M30" s="125">
        <f t="shared" si="18"/>
        <v>0</v>
      </c>
      <c r="N30" s="125">
        <f t="shared" ref="N30" si="22">K30+L30+M30</f>
        <v>1000</v>
      </c>
      <c r="O30" s="138">
        <f t="shared" ref="O30" si="23">(N30+J30)</f>
        <v>256943</v>
      </c>
      <c r="P30" s="307">
        <f t="shared" si="21"/>
        <v>40</v>
      </c>
    </row>
    <row r="31" spans="1:16" s="69" customFormat="1" ht="21" customHeight="1" thickBot="1" x14ac:dyDescent="0.25">
      <c r="A31" s="301" t="str">
        <f>'5.Bev.össz'!A33</f>
        <v>KÖH (módosított előirányzat 2022.12.31)</v>
      </c>
      <c r="B31" s="132">
        <f t="shared" ref="B31:J31" si="24">SUM(B37)</f>
        <v>217887</v>
      </c>
      <c r="C31" s="132">
        <f t="shared" si="24"/>
        <v>28612</v>
      </c>
      <c r="D31" s="132">
        <f t="shared" si="24"/>
        <v>28461</v>
      </c>
      <c r="E31" s="132">
        <f t="shared" si="24"/>
        <v>0</v>
      </c>
      <c r="F31" s="132">
        <f t="shared" si="24"/>
        <v>0</v>
      </c>
      <c r="G31" s="132">
        <f t="shared" si="24"/>
        <v>0</v>
      </c>
      <c r="H31" s="132">
        <f t="shared" si="24"/>
        <v>0</v>
      </c>
      <c r="I31" s="132">
        <f t="shared" si="24"/>
        <v>0</v>
      </c>
      <c r="J31" s="125">
        <f t="shared" si="24"/>
        <v>274960</v>
      </c>
      <c r="K31" s="125">
        <f t="shared" si="18"/>
        <v>1000</v>
      </c>
      <c r="L31" s="125">
        <f t="shared" si="18"/>
        <v>0</v>
      </c>
      <c r="M31" s="125">
        <f t="shared" si="18"/>
        <v>0</v>
      </c>
      <c r="N31" s="125">
        <f t="shared" si="19"/>
        <v>1000</v>
      </c>
      <c r="O31" s="138">
        <f t="shared" si="20"/>
        <v>275960</v>
      </c>
      <c r="P31" s="307">
        <f t="shared" si="21"/>
        <v>38</v>
      </c>
    </row>
    <row r="32" spans="1:16" s="69" customFormat="1" ht="13.5" hidden="1" thickBot="1" x14ac:dyDescent="0.25">
      <c r="A32" s="301">
        <f>'5.Bev.össz'!A34</f>
        <v>0</v>
      </c>
      <c r="B32" s="132">
        <f t="shared" ref="B32:J32" si="25">SUM(B38)</f>
        <v>0</v>
      </c>
      <c r="C32" s="132">
        <f t="shared" si="25"/>
        <v>0</v>
      </c>
      <c r="D32" s="132">
        <f t="shared" si="25"/>
        <v>0</v>
      </c>
      <c r="E32" s="132">
        <f t="shared" si="25"/>
        <v>0</v>
      </c>
      <c r="F32" s="132">
        <f t="shared" si="25"/>
        <v>0</v>
      </c>
      <c r="G32" s="132">
        <f t="shared" si="25"/>
        <v>0</v>
      </c>
      <c r="H32" s="132">
        <f t="shared" si="25"/>
        <v>0</v>
      </c>
      <c r="I32" s="132">
        <f t="shared" si="25"/>
        <v>0</v>
      </c>
      <c r="J32" s="125">
        <f t="shared" si="25"/>
        <v>0</v>
      </c>
      <c r="K32" s="125">
        <f t="shared" si="18"/>
        <v>0</v>
      </c>
      <c r="L32" s="125">
        <f t="shared" si="18"/>
        <v>0</v>
      </c>
      <c r="M32" s="125">
        <f t="shared" si="18"/>
        <v>0</v>
      </c>
      <c r="N32" s="125">
        <f t="shared" si="19"/>
        <v>0</v>
      </c>
      <c r="O32" s="138">
        <f t="shared" si="20"/>
        <v>0</v>
      </c>
      <c r="P32" s="307">
        <f t="shared" si="21"/>
        <v>0</v>
      </c>
    </row>
    <row r="33" spans="1:17" s="69" customFormat="1" ht="13.5" hidden="1" thickBot="1" x14ac:dyDescent="0.25">
      <c r="A33" s="301" t="str">
        <f>'5.Bev.össz'!A35</f>
        <v>KÖH: Teljesítés 2021.12.31.</v>
      </c>
      <c r="B33" s="132">
        <f t="shared" ref="B33:J33" si="26">SUM(B39)</f>
        <v>186140</v>
      </c>
      <c r="C33" s="132">
        <f t="shared" si="26"/>
        <v>25047</v>
      </c>
      <c r="D33" s="132">
        <f t="shared" si="26"/>
        <v>25784</v>
      </c>
      <c r="E33" s="132">
        <f t="shared" si="26"/>
        <v>0</v>
      </c>
      <c r="F33" s="132">
        <f t="shared" si="26"/>
        <v>0</v>
      </c>
      <c r="G33" s="132">
        <f t="shared" si="26"/>
        <v>0</v>
      </c>
      <c r="H33" s="132">
        <f t="shared" si="26"/>
        <v>0</v>
      </c>
      <c r="I33" s="132">
        <f t="shared" si="26"/>
        <v>0</v>
      </c>
      <c r="J33" s="125">
        <f t="shared" si="26"/>
        <v>236971</v>
      </c>
      <c r="K33" s="125">
        <f t="shared" si="18"/>
        <v>1007</v>
      </c>
      <c r="L33" s="125">
        <f t="shared" si="18"/>
        <v>0</v>
      </c>
      <c r="M33" s="125">
        <f t="shared" si="18"/>
        <v>0</v>
      </c>
      <c r="N33" s="125">
        <f t="shared" si="19"/>
        <v>1007</v>
      </c>
      <c r="O33" s="138">
        <f t="shared" si="20"/>
        <v>237978</v>
      </c>
      <c r="P33" s="307">
        <f t="shared" si="21"/>
        <v>40</v>
      </c>
    </row>
    <row r="34" spans="1:17" s="69" customFormat="1" x14ac:dyDescent="0.2">
      <c r="A34" s="302" t="str">
        <f>A15</f>
        <v xml:space="preserve">       Kötelező (eredeti előirányzat 2022)</v>
      </c>
      <c r="B34" s="68">
        <f>SUM('7.finanszírozás.'!D98)</f>
        <v>191084</v>
      </c>
      <c r="C34" s="68">
        <f>SUM('7.finanszírozás.'!D105)</f>
        <v>25390</v>
      </c>
      <c r="D34" s="68">
        <f>SUM('7.finanszírozás.'!D112)</f>
        <v>25006</v>
      </c>
      <c r="E34" s="68"/>
      <c r="F34" s="68">
        <f>'7.finanszírozás.'!D135</f>
        <v>0</v>
      </c>
      <c r="G34" s="68"/>
      <c r="H34" s="68"/>
      <c r="I34" s="68"/>
      <c r="J34" s="136">
        <f>SUM(B34:I34)</f>
        <v>241480</v>
      </c>
      <c r="K34" s="68">
        <f>'7.finanszírozás.'!D121</f>
        <v>1000</v>
      </c>
      <c r="L34" s="68"/>
      <c r="M34" s="68"/>
      <c r="N34" s="137">
        <f>SUM(K34:M34)</f>
        <v>1000</v>
      </c>
      <c r="O34" s="303">
        <f>SUM(J34+N34)</f>
        <v>242480</v>
      </c>
      <c r="P34" s="304">
        <v>40</v>
      </c>
    </row>
    <row r="35" spans="1:17" s="69" customFormat="1" hidden="1" x14ac:dyDescent="0.2">
      <c r="A35" s="302" t="str">
        <f>'5.Bev.össz'!A37</f>
        <v xml:space="preserve">       Kötelező (módosított előirányzat 2022.06. havi)</v>
      </c>
      <c r="B35" s="68">
        <f>SUM('7.finanszírozás.'!D99)</f>
        <v>197223</v>
      </c>
      <c r="C35" s="68">
        <f>SUM('7.finanszírozás.'!D106)</f>
        <v>25390</v>
      </c>
      <c r="D35" s="68">
        <f>SUM('7.finanszírozás.'!D113)</f>
        <v>21846</v>
      </c>
      <c r="E35" s="68"/>
      <c r="F35" s="68">
        <f>'7.finanszírozás.'!D134</f>
        <v>0</v>
      </c>
      <c r="G35" s="68"/>
      <c r="H35" s="68"/>
      <c r="I35" s="68"/>
      <c r="J35" s="136">
        <f t="shared" ref="J35:J39" si="27">SUM(B35:I35)</f>
        <v>244459</v>
      </c>
      <c r="K35" s="68">
        <f>'7.finanszírozás.'!D120</f>
        <v>1000</v>
      </c>
      <c r="L35" s="68"/>
      <c r="M35" s="68"/>
      <c r="N35" s="137">
        <f t="shared" ref="N35:N39" si="28">SUM(K35:M35)</f>
        <v>1000</v>
      </c>
      <c r="O35" s="303">
        <f t="shared" ref="O35:O39" si="29">SUM(J35+N35)</f>
        <v>245459</v>
      </c>
      <c r="P35" s="304">
        <v>40</v>
      </c>
    </row>
    <row r="36" spans="1:17" s="69" customFormat="1" ht="15.75" customHeight="1" x14ac:dyDescent="0.2">
      <c r="A36" s="302" t="str">
        <f>'5.Bev.össz'!A38</f>
        <v xml:space="preserve">       Kötelező (módosított előirányzat 2022.10. havi)</v>
      </c>
      <c r="B36" s="68">
        <f>SUM('7.finanszírozás.'!D100)</f>
        <v>205057</v>
      </c>
      <c r="C36" s="68">
        <f>SUM('7.finanszírozás.'!D107)</f>
        <v>26955</v>
      </c>
      <c r="D36" s="68">
        <f>SUM('7.finanszírozás.'!D114)</f>
        <v>23931</v>
      </c>
      <c r="E36" s="68"/>
      <c r="F36" s="68">
        <f>'7.finanszírozás.'!D135</f>
        <v>0</v>
      </c>
      <c r="G36" s="68"/>
      <c r="H36" s="68"/>
      <c r="I36" s="68"/>
      <c r="J36" s="136">
        <f t="shared" ref="J36" si="30">SUM(B36:I36)</f>
        <v>255943</v>
      </c>
      <c r="K36" s="68">
        <f>'7.finanszírozás.'!D121</f>
        <v>1000</v>
      </c>
      <c r="L36" s="68"/>
      <c r="M36" s="68"/>
      <c r="N36" s="137">
        <f t="shared" ref="N36" si="31">SUM(K36:M36)</f>
        <v>1000</v>
      </c>
      <c r="O36" s="303">
        <f t="shared" ref="O36" si="32">SUM(J36+N36)</f>
        <v>256943</v>
      </c>
      <c r="P36" s="304">
        <v>40</v>
      </c>
    </row>
    <row r="37" spans="1:17" s="69" customFormat="1" x14ac:dyDescent="0.2">
      <c r="A37" s="302" t="str">
        <f>'5.Bev.össz'!A39</f>
        <v xml:space="preserve">       Kötelező (módosított előirányzat 2022.12.31)</v>
      </c>
      <c r="B37" s="68">
        <f>SUM('7.finanszírozás.'!D101)</f>
        <v>217887</v>
      </c>
      <c r="C37" s="68">
        <f>SUM('7.finanszírozás.'!D108)</f>
        <v>28612</v>
      </c>
      <c r="D37" s="68">
        <f>SUM('7.finanszírozás.'!D115)</f>
        <v>28461</v>
      </c>
      <c r="E37" s="68"/>
      <c r="F37" s="68">
        <f>'7.finanszírozás.'!D136</f>
        <v>0</v>
      </c>
      <c r="G37" s="68"/>
      <c r="H37" s="68"/>
      <c r="I37" s="68"/>
      <c r="J37" s="136">
        <f t="shared" si="27"/>
        <v>274960</v>
      </c>
      <c r="K37" s="68">
        <f>'7.finanszírozás.'!D122</f>
        <v>1000</v>
      </c>
      <c r="L37" s="68"/>
      <c r="M37" s="68"/>
      <c r="N37" s="137">
        <f t="shared" si="28"/>
        <v>1000</v>
      </c>
      <c r="O37" s="303">
        <f t="shared" si="29"/>
        <v>275960</v>
      </c>
      <c r="P37" s="304">
        <v>38</v>
      </c>
    </row>
    <row r="38" spans="1:17" s="69" customFormat="1" hidden="1" x14ac:dyDescent="0.2">
      <c r="A38" s="302">
        <f>'5.Bev.össz'!A40</f>
        <v>0</v>
      </c>
      <c r="B38" s="68">
        <f>SUM('7.finanszírozás.'!D102)</f>
        <v>0</v>
      </c>
      <c r="C38" s="68">
        <f>SUM('7.finanszírozás.'!D109)</f>
        <v>0</v>
      </c>
      <c r="D38" s="68">
        <f>SUM('7.finanszírozás.'!D116)</f>
        <v>0</v>
      </c>
      <c r="E38" s="68"/>
      <c r="F38" s="68">
        <f>'7.finanszírozás.'!D137</f>
        <v>0</v>
      </c>
      <c r="G38" s="68"/>
      <c r="H38" s="68"/>
      <c r="I38" s="68"/>
      <c r="J38" s="136">
        <f t="shared" si="27"/>
        <v>0</v>
      </c>
      <c r="K38" s="68">
        <f>'7.finanszírozás.'!D123</f>
        <v>0</v>
      </c>
      <c r="L38" s="68"/>
      <c r="M38" s="68"/>
      <c r="N38" s="137">
        <f t="shared" si="28"/>
        <v>0</v>
      </c>
      <c r="O38" s="303">
        <f t="shared" si="29"/>
        <v>0</v>
      </c>
      <c r="P38" s="304"/>
    </row>
    <row r="39" spans="1:17" s="69" customFormat="1" hidden="1" x14ac:dyDescent="0.2">
      <c r="A39" s="302" t="str">
        <f>'5.Bev.össz'!A41</f>
        <v xml:space="preserve">       Teljesítés 2021.12.31.</v>
      </c>
      <c r="B39" s="68">
        <f>SUM('7.finanszírozás.'!D103)</f>
        <v>186140</v>
      </c>
      <c r="C39" s="68">
        <f>SUM('7.finanszírozás.'!D110)</f>
        <v>25047</v>
      </c>
      <c r="D39" s="68">
        <f>SUM('7.finanszírozás.'!D117)</f>
        <v>25784</v>
      </c>
      <c r="E39" s="68"/>
      <c r="F39" s="68">
        <f>'7.finanszírozás.'!D138</f>
        <v>0</v>
      </c>
      <c r="G39" s="68"/>
      <c r="H39" s="68"/>
      <c r="I39" s="68"/>
      <c r="J39" s="136">
        <f t="shared" si="27"/>
        <v>236971</v>
      </c>
      <c r="K39" s="68">
        <f>'7.finanszírozás.'!D124</f>
        <v>1007</v>
      </c>
      <c r="L39" s="68"/>
      <c r="M39" s="68"/>
      <c r="N39" s="137">
        <f t="shared" si="28"/>
        <v>1007</v>
      </c>
      <c r="O39" s="303">
        <f t="shared" si="29"/>
        <v>237978</v>
      </c>
      <c r="P39" s="304">
        <v>40</v>
      </c>
    </row>
    <row r="40" spans="1:17" s="69" customFormat="1" ht="15.75" customHeight="1" x14ac:dyDescent="0.2">
      <c r="A40" s="302" t="str">
        <f>'5.Bev.össz'!A42</f>
        <v xml:space="preserve">       Nem kötelező (eredeti előirányzat 2022. év)</v>
      </c>
      <c r="B40" s="68"/>
      <c r="C40" s="68"/>
      <c r="D40" s="68"/>
      <c r="E40" s="68"/>
      <c r="F40" s="68"/>
      <c r="G40" s="68"/>
      <c r="H40" s="68"/>
      <c r="I40" s="68"/>
      <c r="J40" s="136"/>
      <c r="K40" s="68"/>
      <c r="L40" s="68"/>
      <c r="M40" s="68"/>
      <c r="N40" s="137"/>
      <c r="O40" s="303"/>
      <c r="P40" s="304"/>
    </row>
    <row r="41" spans="1:17" s="69" customFormat="1" ht="31.5" customHeight="1" thickBot="1" x14ac:dyDescent="0.25">
      <c r="A41" s="302" t="str">
        <f>'5.Bev.össz'!A43</f>
        <v xml:space="preserve">       Államigazgatási feladatok (eredeti előirányzat 2022. év)</v>
      </c>
      <c r="B41" s="598"/>
      <c r="C41" s="598"/>
      <c r="D41" s="598"/>
      <c r="E41" s="598"/>
      <c r="F41" s="598"/>
      <c r="G41" s="598"/>
      <c r="H41" s="598"/>
      <c r="I41" s="598"/>
      <c r="J41" s="597"/>
      <c r="K41" s="598"/>
      <c r="L41" s="598"/>
      <c r="M41" s="598"/>
      <c r="N41" s="597"/>
      <c r="O41" s="596"/>
      <c r="P41" s="304"/>
    </row>
    <row r="42" spans="1:17" s="69" customFormat="1" ht="35.25" customHeight="1" thickBot="1" x14ac:dyDescent="0.25">
      <c r="A42" s="133" t="str">
        <f>'5.Bev.össz'!A44</f>
        <v>Önk.mindösszesen (eredeti előirányzat 2022)</v>
      </c>
      <c r="B42" s="134">
        <f t="shared" ref="B42:O42" si="33">SUM(B9+B28)</f>
        <v>238288</v>
      </c>
      <c r="C42" s="134">
        <f t="shared" si="33"/>
        <v>31821</v>
      </c>
      <c r="D42" s="134">
        <f t="shared" si="33"/>
        <v>367219</v>
      </c>
      <c r="E42" s="134">
        <f t="shared" si="33"/>
        <v>9658</v>
      </c>
      <c r="F42" s="134">
        <f t="shared" si="33"/>
        <v>471375</v>
      </c>
      <c r="G42" s="134">
        <f t="shared" si="33"/>
        <v>180274</v>
      </c>
      <c r="H42" s="134">
        <f t="shared" si="33"/>
        <v>74071</v>
      </c>
      <c r="I42" s="134">
        <f t="shared" si="33"/>
        <v>50000</v>
      </c>
      <c r="J42" s="134">
        <f t="shared" si="33"/>
        <v>1422706</v>
      </c>
      <c r="K42" s="134">
        <f t="shared" si="33"/>
        <v>456818</v>
      </c>
      <c r="L42" s="134">
        <f t="shared" si="33"/>
        <v>641826</v>
      </c>
      <c r="M42" s="134">
        <f t="shared" si="33"/>
        <v>143582</v>
      </c>
      <c r="N42" s="134">
        <f t="shared" si="33"/>
        <v>1242226</v>
      </c>
      <c r="O42" s="135">
        <f t="shared" si="33"/>
        <v>2664932</v>
      </c>
      <c r="P42" s="309">
        <f>P9+P28</f>
        <v>48</v>
      </c>
      <c r="Q42" s="223"/>
    </row>
    <row r="43" spans="1:17" s="69" customFormat="1" ht="32.25" hidden="1" thickBot="1" x14ac:dyDescent="0.25">
      <c r="A43" s="133" t="str">
        <f>'5.Bev.össz'!A45</f>
        <v>Önk.mindösszesen (módosított ei. 2022.06. havi)</v>
      </c>
      <c r="B43" s="134">
        <f t="shared" ref="B43:O44" si="34">SUM(B10+B29)</f>
        <v>245688</v>
      </c>
      <c r="C43" s="134">
        <f t="shared" si="34"/>
        <v>31916</v>
      </c>
      <c r="D43" s="134">
        <f t="shared" si="34"/>
        <v>392238</v>
      </c>
      <c r="E43" s="134">
        <f t="shared" si="34"/>
        <v>9658</v>
      </c>
      <c r="F43" s="134">
        <f t="shared" si="34"/>
        <v>481578</v>
      </c>
      <c r="G43" s="134">
        <f t="shared" si="34"/>
        <v>183222</v>
      </c>
      <c r="H43" s="134">
        <f t="shared" si="34"/>
        <v>74071</v>
      </c>
      <c r="I43" s="134">
        <f t="shared" si="34"/>
        <v>68881</v>
      </c>
      <c r="J43" s="134">
        <f t="shared" si="34"/>
        <v>1487252</v>
      </c>
      <c r="K43" s="134">
        <f t="shared" si="34"/>
        <v>447741</v>
      </c>
      <c r="L43" s="134">
        <f t="shared" si="34"/>
        <v>729866</v>
      </c>
      <c r="M43" s="134">
        <f t="shared" si="34"/>
        <v>369783</v>
      </c>
      <c r="N43" s="134">
        <f t="shared" si="34"/>
        <v>1547390</v>
      </c>
      <c r="O43" s="135">
        <f t="shared" si="34"/>
        <v>3034642</v>
      </c>
      <c r="P43" s="309">
        <f t="shared" ref="P43:P47" si="35">P10+P29</f>
        <v>48</v>
      </c>
      <c r="Q43" s="223"/>
    </row>
    <row r="44" spans="1:17" s="69" customFormat="1" ht="29.25" customHeight="1" thickBot="1" x14ac:dyDescent="0.25">
      <c r="A44" s="133" t="str">
        <f>'5.Bev.össz'!A46</f>
        <v>Önk.mindösszesen (módosított ei. 2022.10. havi)</v>
      </c>
      <c r="B44" s="134">
        <f t="shared" si="34"/>
        <v>254620</v>
      </c>
      <c r="C44" s="134">
        <f t="shared" si="34"/>
        <v>33481</v>
      </c>
      <c r="D44" s="134">
        <f t="shared" si="34"/>
        <v>439900</v>
      </c>
      <c r="E44" s="134">
        <f t="shared" si="34"/>
        <v>9658</v>
      </c>
      <c r="F44" s="134">
        <f t="shared" si="34"/>
        <v>483553</v>
      </c>
      <c r="G44" s="134">
        <f t="shared" si="34"/>
        <v>188133</v>
      </c>
      <c r="H44" s="134">
        <f t="shared" si="34"/>
        <v>74071</v>
      </c>
      <c r="I44" s="134">
        <f t="shared" si="34"/>
        <v>89361</v>
      </c>
      <c r="J44" s="134">
        <f t="shared" si="34"/>
        <v>1572777</v>
      </c>
      <c r="K44" s="134">
        <f t="shared" si="34"/>
        <v>446808</v>
      </c>
      <c r="L44" s="134">
        <f t="shared" si="34"/>
        <v>870811</v>
      </c>
      <c r="M44" s="134">
        <f t="shared" si="34"/>
        <v>259308</v>
      </c>
      <c r="N44" s="134">
        <f t="shared" si="34"/>
        <v>1576927</v>
      </c>
      <c r="O44" s="135">
        <f t="shared" si="34"/>
        <v>3149704</v>
      </c>
      <c r="P44" s="309">
        <f t="shared" si="35"/>
        <v>48</v>
      </c>
      <c r="Q44" s="223"/>
    </row>
    <row r="45" spans="1:17" s="69" customFormat="1" ht="24" customHeight="1" thickBot="1" x14ac:dyDescent="0.25">
      <c r="A45" s="133" t="str">
        <f>'5.Bev.össz'!A47</f>
        <v>Önk.mindösszesen (módosított ei. 2022.12.31)</v>
      </c>
      <c r="B45" s="134">
        <f t="shared" ref="B45:O45" si="36">SUM(B12+B31)</f>
        <v>267965</v>
      </c>
      <c r="C45" s="134">
        <f t="shared" si="36"/>
        <v>35143</v>
      </c>
      <c r="D45" s="134">
        <f t="shared" si="36"/>
        <v>447639</v>
      </c>
      <c r="E45" s="134">
        <f t="shared" si="36"/>
        <v>11408</v>
      </c>
      <c r="F45" s="134">
        <f t="shared" si="36"/>
        <v>488104</v>
      </c>
      <c r="G45" s="134">
        <f t="shared" si="36"/>
        <v>207048</v>
      </c>
      <c r="H45" s="134">
        <f t="shared" si="36"/>
        <v>74071</v>
      </c>
      <c r="I45" s="134">
        <f t="shared" si="36"/>
        <v>119321</v>
      </c>
      <c r="J45" s="134">
        <f t="shared" si="36"/>
        <v>1650699</v>
      </c>
      <c r="K45" s="134">
        <f t="shared" si="36"/>
        <v>447485</v>
      </c>
      <c r="L45" s="134">
        <f t="shared" si="36"/>
        <v>870811</v>
      </c>
      <c r="M45" s="134">
        <f t="shared" si="36"/>
        <v>258631</v>
      </c>
      <c r="N45" s="134">
        <f t="shared" si="36"/>
        <v>1576927</v>
      </c>
      <c r="O45" s="135">
        <f t="shared" si="36"/>
        <v>3227626</v>
      </c>
      <c r="P45" s="309">
        <f t="shared" si="35"/>
        <v>46</v>
      </c>
      <c r="Q45" s="223"/>
    </row>
    <row r="46" spans="1:17" s="69" customFormat="1" ht="24" hidden="1" customHeight="1" thickBot="1" x14ac:dyDescent="0.25">
      <c r="A46" s="133">
        <f>'5.Bev.össz'!A48</f>
        <v>0</v>
      </c>
      <c r="B46" s="134">
        <f t="shared" ref="B46:O46" si="37">SUM(B13+B32)</f>
        <v>0</v>
      </c>
      <c r="C46" s="134">
        <f t="shared" si="37"/>
        <v>0</v>
      </c>
      <c r="D46" s="134">
        <f t="shared" si="37"/>
        <v>0</v>
      </c>
      <c r="E46" s="134">
        <f t="shared" si="37"/>
        <v>0</v>
      </c>
      <c r="F46" s="134">
        <f t="shared" si="37"/>
        <v>0</v>
      </c>
      <c r="G46" s="134">
        <f t="shared" si="37"/>
        <v>0</v>
      </c>
      <c r="H46" s="134">
        <f t="shared" si="37"/>
        <v>0</v>
      </c>
      <c r="I46" s="134">
        <f t="shared" si="37"/>
        <v>0</v>
      </c>
      <c r="J46" s="134">
        <f t="shared" si="37"/>
        <v>0</v>
      </c>
      <c r="K46" s="134">
        <f t="shared" si="37"/>
        <v>0</v>
      </c>
      <c r="L46" s="134">
        <f t="shared" si="37"/>
        <v>0</v>
      </c>
      <c r="M46" s="134">
        <f t="shared" si="37"/>
        <v>0</v>
      </c>
      <c r="N46" s="134">
        <f t="shared" si="37"/>
        <v>0</v>
      </c>
      <c r="O46" s="135">
        <f t="shared" si="37"/>
        <v>0</v>
      </c>
      <c r="P46" s="309">
        <f t="shared" si="35"/>
        <v>0</v>
      </c>
      <c r="Q46" s="223"/>
    </row>
    <row r="47" spans="1:17" s="69" customFormat="1" ht="15.75" hidden="1" customHeight="1" thickBot="1" x14ac:dyDescent="0.25">
      <c r="A47" s="133" t="str">
        <f>'5.Bev.össz'!A49</f>
        <v>Önk.mindösszesen (Teljesítés 2021.12.31.)</v>
      </c>
      <c r="B47" s="134">
        <f t="shared" ref="B47:O47" si="38">SUM(B14+B33)</f>
        <v>233675</v>
      </c>
      <c r="C47" s="134">
        <f t="shared" si="38"/>
        <v>31508</v>
      </c>
      <c r="D47" s="134">
        <f t="shared" si="38"/>
        <v>185375</v>
      </c>
      <c r="E47" s="134">
        <f t="shared" si="38"/>
        <v>9300</v>
      </c>
      <c r="F47" s="134">
        <f t="shared" si="38"/>
        <v>477319</v>
      </c>
      <c r="G47" s="134">
        <f t="shared" si="38"/>
        <v>176507</v>
      </c>
      <c r="H47" s="134">
        <f t="shared" si="38"/>
        <v>74071</v>
      </c>
      <c r="I47" s="134">
        <f t="shared" si="38"/>
        <v>50000</v>
      </c>
      <c r="J47" s="134">
        <f t="shared" si="38"/>
        <v>1237755</v>
      </c>
      <c r="K47" s="134">
        <f t="shared" si="38"/>
        <v>446815</v>
      </c>
      <c r="L47" s="134">
        <f t="shared" si="38"/>
        <v>870811</v>
      </c>
      <c r="M47" s="134">
        <f t="shared" si="38"/>
        <v>259308</v>
      </c>
      <c r="N47" s="134">
        <f t="shared" si="38"/>
        <v>1576934</v>
      </c>
      <c r="O47" s="135">
        <f t="shared" si="38"/>
        <v>2814689</v>
      </c>
      <c r="P47" s="309">
        <f t="shared" si="35"/>
        <v>56</v>
      </c>
      <c r="Q47" s="223"/>
    </row>
    <row r="48" spans="1:17" x14ac:dyDescent="0.2">
      <c r="A48" s="71" t="s">
        <v>429</v>
      </c>
      <c r="O48" s="66">
        <f>SUM('7.finanszírozás.'!F93)</f>
        <v>-207048</v>
      </c>
    </row>
    <row r="49" spans="1:15" x14ac:dyDescent="0.2">
      <c r="A49" s="71" t="s">
        <v>434</v>
      </c>
      <c r="O49" s="613">
        <f>SUM(O45+O48)</f>
        <v>3020578</v>
      </c>
    </row>
    <row r="50" spans="1:15" hidden="1" x14ac:dyDescent="0.2">
      <c r="A50" s="71" t="s">
        <v>432</v>
      </c>
    </row>
    <row r="60" spans="1:15" x14ac:dyDescent="0.2">
      <c r="D60" s="66" t="s">
        <v>947</v>
      </c>
    </row>
  </sheetData>
  <mergeCells count="18">
    <mergeCell ref="I7:I8"/>
    <mergeCell ref="G7:H7"/>
    <mergeCell ref="A4:O4"/>
    <mergeCell ref="A6:A8"/>
    <mergeCell ref="B6:I6"/>
    <mergeCell ref="J6:J8"/>
    <mergeCell ref="B7:B8"/>
    <mergeCell ref="C7:C8"/>
    <mergeCell ref="D7:D8"/>
    <mergeCell ref="E7:E8"/>
    <mergeCell ref="F7:F8"/>
    <mergeCell ref="P6:P8"/>
    <mergeCell ref="K6:N6"/>
    <mergeCell ref="O6:O8"/>
    <mergeCell ref="N7:N8"/>
    <mergeCell ref="K7:K8"/>
    <mergeCell ref="L7:L8"/>
    <mergeCell ref="M7:M8"/>
  </mergeCells>
  <printOptions horizontalCentered="1"/>
  <pageMargins left="0.15748031496062992" right="0.15748031496062992" top="0.15748031496062992" bottom="0.15748031496062992" header="0.15748031496062992" footer="0.11811023622047245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53"/>
  <sheetViews>
    <sheetView tabSelected="1" topLeftCell="A57" zoomScaleNormal="100" zoomScaleSheetLayoutView="70" workbookViewId="0">
      <selection activeCell="C150" sqref="C150"/>
    </sheetView>
  </sheetViews>
  <sheetFormatPr defaultRowHeight="12.75" x14ac:dyDescent="0.2"/>
  <cols>
    <col min="1" max="1" width="2" style="54" customWidth="1"/>
    <col min="2" max="2" width="43.85546875" customWidth="1"/>
    <col min="3" max="5" width="16.140625" customWidth="1"/>
    <col min="6" max="6" width="18.28515625" customWidth="1"/>
    <col min="7" max="7" width="8.7109375" style="9" hidden="1" customWidth="1"/>
    <col min="8" max="8" width="9.140625" hidden="1" customWidth="1"/>
    <col min="9" max="9" width="13.42578125" hidden="1" customWidth="1"/>
    <col min="11" max="11" width="13.7109375" customWidth="1"/>
  </cols>
  <sheetData>
    <row r="1" spans="2:8" x14ac:dyDescent="0.2">
      <c r="B1" s="3"/>
      <c r="C1" s="3"/>
      <c r="D1" s="3"/>
      <c r="E1" s="3"/>
      <c r="F1" s="112" t="s">
        <v>261</v>
      </c>
    </row>
    <row r="2" spans="2:8" x14ac:dyDescent="0.2">
      <c r="B2" s="3"/>
      <c r="C2" s="3"/>
      <c r="D2" s="3"/>
      <c r="E2" s="3"/>
      <c r="F2" s="608" t="str">
        <f>'1.Bev-kiad.'!F2</f>
        <v>a 11/2023.(V.26.) önkormányzati rendelethez</v>
      </c>
    </row>
    <row r="3" spans="2:8" ht="12" customHeight="1" x14ac:dyDescent="0.2">
      <c r="B3" s="3"/>
      <c r="C3" s="3"/>
      <c r="D3" s="3"/>
      <c r="E3" s="3"/>
      <c r="F3" s="183" t="s">
        <v>1301</v>
      </c>
    </row>
    <row r="4" spans="2:8" hidden="1" x14ac:dyDescent="0.2">
      <c r="B4" s="3"/>
      <c r="C4" s="3"/>
      <c r="D4" s="3"/>
      <c r="E4" s="3"/>
      <c r="F4" s="183"/>
    </row>
    <row r="5" spans="2:8" ht="42.75" customHeight="1" x14ac:dyDescent="0.2">
      <c r="B5" s="822" t="s">
        <v>1148</v>
      </c>
      <c r="C5" s="823"/>
      <c r="D5" s="823"/>
      <c r="E5" s="823"/>
      <c r="F5" s="823"/>
    </row>
    <row r="6" spans="2:8" ht="11.25" customHeight="1" thickBot="1" x14ac:dyDescent="0.25">
      <c r="B6" s="3"/>
      <c r="C6" s="3"/>
      <c r="D6" s="3"/>
      <c r="E6" s="3"/>
      <c r="F6" s="58" t="s">
        <v>0</v>
      </c>
    </row>
    <row r="7" spans="2:8" ht="12.75" customHeight="1" x14ac:dyDescent="0.2">
      <c r="B7" s="824" t="s">
        <v>46</v>
      </c>
      <c r="C7" s="826" t="s">
        <v>44</v>
      </c>
      <c r="D7" s="290" t="s">
        <v>45</v>
      </c>
      <c r="E7" s="826" t="s">
        <v>101</v>
      </c>
      <c r="F7" s="820" t="s">
        <v>48</v>
      </c>
      <c r="G7" s="28"/>
    </row>
    <row r="8" spans="2:8" ht="21.75" customHeight="1" thickBot="1" x14ac:dyDescent="0.25">
      <c r="B8" s="825"/>
      <c r="C8" s="827"/>
      <c r="D8" s="72" t="s">
        <v>49</v>
      </c>
      <c r="E8" s="827"/>
      <c r="F8" s="821"/>
      <c r="G8" s="28"/>
    </row>
    <row r="9" spans="2:8" ht="13.5" customHeight="1" x14ac:dyDescent="0.2">
      <c r="B9" s="278" t="s">
        <v>431</v>
      </c>
      <c r="C9" s="117"/>
      <c r="D9" s="118"/>
      <c r="E9" s="118"/>
      <c r="F9" s="118"/>
      <c r="G9" s="28"/>
    </row>
    <row r="10" spans="2:8" x14ac:dyDescent="0.2">
      <c r="B10" s="224" t="s">
        <v>904</v>
      </c>
      <c r="C10" s="240">
        <f>SUM('2.működés'!C8)-E10</f>
        <v>945442</v>
      </c>
      <c r="D10" s="240">
        <f>SUM('9.Hivatal'!R92+'9.Hivatal'!R93+'9.Hivatal'!R94+'9.Hivatal'!R96)</f>
        <v>58806</v>
      </c>
      <c r="E10" s="240">
        <f t="shared" ref="E10:E15" si="0">SUM(D10:D10)</f>
        <v>58806</v>
      </c>
      <c r="F10" s="240">
        <f t="shared" ref="F10:F15" si="1">SUM(C10+E10)</f>
        <v>1004248</v>
      </c>
      <c r="G10" s="28"/>
      <c r="H10" s="76"/>
    </row>
    <row r="11" spans="2:8" hidden="1" x14ac:dyDescent="0.2">
      <c r="B11" s="224" t="s">
        <v>1310</v>
      </c>
      <c r="C11" s="240">
        <f>SUM('2.működés'!D8)-E11</f>
        <v>1006459</v>
      </c>
      <c r="D11" s="240">
        <f>SUM('9.Hivatal'!S92+'9.Hivatal'!S93+'9.Hivatal'!S94+'9.Hivatal'!S96)</f>
        <v>58837</v>
      </c>
      <c r="E11" s="240">
        <f>SUM(D11:D11)</f>
        <v>58837</v>
      </c>
      <c r="F11" s="240">
        <f>SUM(C11+E11)</f>
        <v>1065296</v>
      </c>
      <c r="G11" s="28"/>
      <c r="H11" s="76"/>
    </row>
    <row r="12" spans="2:8" x14ac:dyDescent="0.2">
      <c r="B12" s="224" t="s">
        <v>1393</v>
      </c>
      <c r="C12" s="240">
        <f>SUM('2.működés'!E8)-E12</f>
        <v>1075793</v>
      </c>
      <c r="D12" s="240">
        <f>SUM('9.Hivatal'!T92+'9.Hivatal'!T93+'9.Hivatal'!T94+'9.Hivatal'!T96+'9.Hivatal'!T98)</f>
        <v>65410</v>
      </c>
      <c r="E12" s="240">
        <f t="shared" si="0"/>
        <v>65410</v>
      </c>
      <c r="F12" s="240">
        <f t="shared" si="1"/>
        <v>1141203</v>
      </c>
      <c r="G12" s="28"/>
      <c r="H12" s="76"/>
    </row>
    <row r="13" spans="2:8" x14ac:dyDescent="0.2">
      <c r="B13" s="224" t="s">
        <v>1470</v>
      </c>
      <c r="C13" s="240">
        <f>SUM('2.működés'!F8)-E13</f>
        <v>1114858</v>
      </c>
      <c r="D13" s="240">
        <f>SUM('9.Hivatal'!U92+'9.Hivatal'!U93+'9.Hivatal'!U94)+'9.Hivatal'!U96+'9.Hivatal'!U98+'9.Hivatal'!U97</f>
        <v>65512</v>
      </c>
      <c r="E13" s="240">
        <f t="shared" si="0"/>
        <v>65512</v>
      </c>
      <c r="F13" s="240">
        <f t="shared" si="1"/>
        <v>1180370</v>
      </c>
      <c r="G13" s="28"/>
      <c r="H13" s="76"/>
    </row>
    <row r="14" spans="2:8" hidden="1" x14ac:dyDescent="0.2">
      <c r="B14" s="224" t="s">
        <v>517</v>
      </c>
      <c r="C14" s="240"/>
      <c r="D14" s="240"/>
      <c r="E14" s="240"/>
      <c r="F14" s="240"/>
      <c r="G14" s="28"/>
      <c r="H14" s="76"/>
    </row>
    <row r="15" spans="2:8" ht="13.5" hidden="1" customHeight="1" x14ac:dyDescent="0.2">
      <c r="B15" s="224" t="s">
        <v>968</v>
      </c>
      <c r="C15" s="240">
        <f>SUM('2.működés'!G8)-E15</f>
        <v>1090212</v>
      </c>
      <c r="D15" s="240">
        <f>SUM('9.Hivatal'!V92+'9.Hivatal'!V93+'9.Hivatal'!V94)</f>
        <v>50991</v>
      </c>
      <c r="E15" s="240">
        <f t="shared" si="0"/>
        <v>50991</v>
      </c>
      <c r="F15" s="240">
        <f t="shared" si="1"/>
        <v>1141203</v>
      </c>
      <c r="G15" s="28"/>
      <c r="H15" s="215"/>
    </row>
    <row r="16" spans="2:8" x14ac:dyDescent="0.2">
      <c r="B16" s="224"/>
      <c r="C16" s="240"/>
      <c r="D16" s="240"/>
      <c r="E16" s="240"/>
      <c r="F16" s="240"/>
      <c r="G16" s="28"/>
    </row>
    <row r="17" spans="2:9" ht="13.5" customHeight="1" x14ac:dyDescent="0.2">
      <c r="B17" s="276" t="s">
        <v>388</v>
      </c>
      <c r="C17" s="241"/>
      <c r="D17" s="241"/>
      <c r="E17" s="241"/>
      <c r="F17" s="240"/>
      <c r="G17" s="28"/>
      <c r="H17" s="76"/>
    </row>
    <row r="18" spans="2:9" ht="13.5" customHeight="1" x14ac:dyDescent="0.2">
      <c r="B18" s="224" t="str">
        <f t="shared" ref="B18:B23" si="2">B10</f>
        <v>2022. évi eredeti előirányzat</v>
      </c>
      <c r="C18" s="240">
        <f>'1.Bev-kiad.'!C16+'1.Bev-kiad.'!C40+'1.Bev-kiad.'!C50</f>
        <v>342476</v>
      </c>
      <c r="D18" s="241">
        <v>0</v>
      </c>
      <c r="E18" s="240">
        <v>0</v>
      </c>
      <c r="F18" s="240">
        <f t="shared" ref="F18:F23" si="3">SUM(C18+E18)</f>
        <v>342476</v>
      </c>
      <c r="G18" s="28"/>
      <c r="H18" s="76"/>
    </row>
    <row r="19" spans="2:9" ht="13.5" hidden="1" customHeight="1" x14ac:dyDescent="0.2">
      <c r="B19" s="224" t="str">
        <f t="shared" si="2"/>
        <v>Módosított előirányzat 2022.06.hó</v>
      </c>
      <c r="C19" s="240">
        <f>'1.Bev-kiad.'!D16+'1.Bev-kiad.'!D40+'1.Bev-kiad.'!D50</f>
        <v>648548</v>
      </c>
      <c r="D19" s="241">
        <v>0</v>
      </c>
      <c r="E19" s="240">
        <f>SUM(D19:D19)</f>
        <v>0</v>
      </c>
      <c r="F19" s="240">
        <f t="shared" si="3"/>
        <v>648548</v>
      </c>
      <c r="G19" s="28"/>
      <c r="H19" s="76"/>
    </row>
    <row r="20" spans="2:9" ht="13.5" customHeight="1" x14ac:dyDescent="0.2">
      <c r="B20" s="224" t="str">
        <f t="shared" si="2"/>
        <v>Módosított előirányzat 2022.10.hó</v>
      </c>
      <c r="C20" s="240">
        <f>'1.Bev-kiad.'!E16+'1.Bev-kiad.'!E40+'1.Bev-kiad.'!E50</f>
        <v>682792</v>
      </c>
      <c r="D20" s="241">
        <v>0</v>
      </c>
      <c r="E20" s="240">
        <f>SUM(D20:D20)</f>
        <v>0</v>
      </c>
      <c r="F20" s="240">
        <f t="shared" si="3"/>
        <v>682792</v>
      </c>
      <c r="G20" s="28"/>
      <c r="H20" s="76"/>
    </row>
    <row r="21" spans="2:9" ht="13.5" customHeight="1" x14ac:dyDescent="0.2">
      <c r="B21" s="224" t="str">
        <f t="shared" si="2"/>
        <v>Módosított előirányzat 2022.12.31</v>
      </c>
      <c r="C21" s="240">
        <f>'1.Bev-kiad.'!F16+'1.Bev-kiad.'!F40+'1.Bev-kiad.'!F50</f>
        <v>682792</v>
      </c>
      <c r="D21" s="241">
        <v>0</v>
      </c>
      <c r="E21" s="240">
        <f>SUM(D21:D21)</f>
        <v>0</v>
      </c>
      <c r="F21" s="240">
        <f t="shared" si="3"/>
        <v>682792</v>
      </c>
      <c r="G21" s="28"/>
      <c r="H21" s="76"/>
    </row>
    <row r="22" spans="2:9" ht="13.5" hidden="1" customHeight="1" x14ac:dyDescent="0.2">
      <c r="B22" s="224" t="str">
        <f t="shared" si="2"/>
        <v>Beszámoló előtti ei.mód.</v>
      </c>
      <c r="C22" s="240"/>
      <c r="D22" s="241">
        <v>0</v>
      </c>
      <c r="E22" s="240">
        <f>SUM(D22:D22)</f>
        <v>0</v>
      </c>
      <c r="F22" s="240">
        <f t="shared" si="3"/>
        <v>0</v>
      </c>
      <c r="G22" s="28"/>
      <c r="H22" s="76"/>
    </row>
    <row r="23" spans="2:9" ht="13.5" hidden="1" customHeight="1" x14ac:dyDescent="0.2">
      <c r="B23" s="224" t="str">
        <f t="shared" si="2"/>
        <v>Teljesítés 2021.12.31.</v>
      </c>
      <c r="C23" s="240">
        <f>'1.Bev-kiad.'!G16+'1.Bev-kiad.'!G40+'1.Bev-kiad.'!G50</f>
        <v>682792</v>
      </c>
      <c r="D23" s="241">
        <v>0</v>
      </c>
      <c r="E23" s="240">
        <f>SUM(D23:D23)</f>
        <v>0</v>
      </c>
      <c r="F23" s="240">
        <f t="shared" si="3"/>
        <v>682792</v>
      </c>
      <c r="G23" s="28"/>
      <c r="H23" s="76"/>
    </row>
    <row r="24" spans="2:9" x14ac:dyDescent="0.2">
      <c r="B24" s="224"/>
      <c r="C24" s="240"/>
      <c r="D24" s="241"/>
      <c r="E24" s="241"/>
      <c r="F24" s="240"/>
      <c r="G24" s="28"/>
      <c r="H24" s="76"/>
    </row>
    <row r="25" spans="2:9" ht="15.75" customHeight="1" x14ac:dyDescent="0.2">
      <c r="B25" s="276" t="s">
        <v>50</v>
      </c>
      <c r="C25" s="241"/>
      <c r="D25" s="241"/>
      <c r="E25" s="241"/>
      <c r="F25" s="241"/>
      <c r="G25" s="29"/>
      <c r="I25" s="76"/>
    </row>
    <row r="26" spans="2:9" x14ac:dyDescent="0.2">
      <c r="B26" s="224" t="str">
        <f t="shared" ref="B26:B31" si="4">B18</f>
        <v>2022. évi eredeti előirányzat</v>
      </c>
      <c r="C26" s="240">
        <f>SUM(C34+C62)</f>
        <v>1134176</v>
      </c>
      <c r="D26" s="240">
        <f t="shared" ref="D26:D31" si="5">SUM(D46+D54+D34)</f>
        <v>183674</v>
      </c>
      <c r="E26" s="240">
        <f t="shared" ref="E26:E31" si="6">SUM(D26:D26)</f>
        <v>183674</v>
      </c>
      <c r="F26" s="240">
        <f t="shared" ref="F26:F31" si="7">SUM(C26+E26)</f>
        <v>1317850</v>
      </c>
      <c r="G26" s="165"/>
    </row>
    <row r="27" spans="2:9" hidden="1" x14ac:dyDescent="0.2">
      <c r="B27" s="224" t="str">
        <f t="shared" si="4"/>
        <v>Módosított előirányzat 2022.06.hó</v>
      </c>
      <c r="C27" s="240">
        <f>SUM(C35+C63)</f>
        <v>1134176</v>
      </c>
      <c r="D27" s="240">
        <f t="shared" si="5"/>
        <v>186622</v>
      </c>
      <c r="E27" s="240">
        <f t="shared" si="6"/>
        <v>186622</v>
      </c>
      <c r="F27" s="240">
        <f t="shared" si="7"/>
        <v>1320798</v>
      </c>
      <c r="G27" s="165"/>
    </row>
    <row r="28" spans="2:9" x14ac:dyDescent="0.2">
      <c r="B28" s="224" t="str">
        <f t="shared" si="4"/>
        <v>Módosított előirányzat 2022.10.hó</v>
      </c>
      <c r="C28" s="240">
        <f>SUM(C36+C64)</f>
        <v>1134176</v>
      </c>
      <c r="D28" s="240">
        <f t="shared" si="5"/>
        <v>191533</v>
      </c>
      <c r="E28" s="240">
        <f t="shared" si="6"/>
        <v>191533</v>
      </c>
      <c r="F28" s="240">
        <f t="shared" si="7"/>
        <v>1325709</v>
      </c>
      <c r="G28" s="28"/>
    </row>
    <row r="29" spans="2:9" x14ac:dyDescent="0.2">
      <c r="B29" s="224" t="str">
        <f t="shared" si="4"/>
        <v>Módosított előirányzat 2022.12.31</v>
      </c>
      <c r="C29" s="240">
        <f>SUM(C37+C65)+C42</f>
        <v>1154016</v>
      </c>
      <c r="D29" s="240">
        <f t="shared" si="5"/>
        <v>210448</v>
      </c>
      <c r="E29" s="240">
        <f t="shared" si="6"/>
        <v>210448</v>
      </c>
      <c r="F29" s="240">
        <f t="shared" si="7"/>
        <v>1364464</v>
      </c>
      <c r="G29" s="28"/>
    </row>
    <row r="30" spans="2:9" hidden="1" x14ac:dyDescent="0.2">
      <c r="B30" s="224" t="str">
        <f t="shared" si="4"/>
        <v>Beszámoló előtti ei.mód.</v>
      </c>
      <c r="C30" s="240">
        <f>SUM(C38+C66)</f>
        <v>342000</v>
      </c>
      <c r="D30" s="240">
        <f t="shared" si="5"/>
        <v>0</v>
      </c>
      <c r="E30" s="240">
        <f t="shared" si="6"/>
        <v>0</v>
      </c>
      <c r="F30" s="240">
        <f t="shared" si="7"/>
        <v>342000</v>
      </c>
      <c r="G30" s="28"/>
    </row>
    <row r="31" spans="2:9" hidden="1" x14ac:dyDescent="0.2">
      <c r="B31" s="224" t="str">
        <f t="shared" si="4"/>
        <v>Teljesítés 2021.12.31.</v>
      </c>
      <c r="C31" s="240">
        <f>SUM(C39+C67)</f>
        <v>792176</v>
      </c>
      <c r="D31" s="240">
        <f t="shared" si="5"/>
        <v>179907</v>
      </c>
      <c r="E31" s="240">
        <f t="shared" si="6"/>
        <v>179907</v>
      </c>
      <c r="F31" s="240">
        <f t="shared" si="7"/>
        <v>972083</v>
      </c>
      <c r="G31" s="165"/>
    </row>
    <row r="32" spans="2:9" x14ac:dyDescent="0.2">
      <c r="B32" s="224"/>
      <c r="C32" s="240"/>
      <c r="D32" s="240"/>
      <c r="E32" s="240"/>
      <c r="F32" s="240"/>
      <c r="G32" s="29"/>
    </row>
    <row r="33" spans="2:9" ht="14.25" customHeight="1" x14ac:dyDescent="0.2">
      <c r="B33" s="287" t="s">
        <v>445</v>
      </c>
      <c r="C33" s="241"/>
      <c r="D33" s="240"/>
      <c r="E33" s="240"/>
      <c r="F33" s="240"/>
      <c r="G33" s="29"/>
    </row>
    <row r="34" spans="2:9" ht="14.25" customHeight="1" x14ac:dyDescent="0.2">
      <c r="B34" s="224" t="str">
        <f t="shared" ref="B34:B39" si="8">B26</f>
        <v>2022. évi eredeti előirányzat</v>
      </c>
      <c r="C34" s="241">
        <f>SUM('1.Bev-kiad.'!C56)-D34</f>
        <v>792176</v>
      </c>
      <c r="D34" s="241">
        <f>SUM('9.Hivatal'!R95)</f>
        <v>3400</v>
      </c>
      <c r="E34" s="240">
        <f t="shared" ref="E34:E39" si="9">SUM(D34:D34)</f>
        <v>3400</v>
      </c>
      <c r="F34" s="240">
        <f t="shared" ref="F34:F43" si="10">SUM(C34+E34)</f>
        <v>795576</v>
      </c>
      <c r="G34" s="29"/>
    </row>
    <row r="35" spans="2:9" ht="14.25" hidden="1" customHeight="1" x14ac:dyDescent="0.2">
      <c r="B35" s="224" t="str">
        <f t="shared" si="8"/>
        <v>Módosított előirányzat 2022.06.hó</v>
      </c>
      <c r="C35" s="241">
        <f>SUM('1.Bev-kiad.'!D56)-D35</f>
        <v>792176</v>
      </c>
      <c r="D35" s="241">
        <f>SUM('9.Hivatal'!S95)</f>
        <v>3400</v>
      </c>
      <c r="E35" s="240">
        <f t="shared" si="9"/>
        <v>3400</v>
      </c>
      <c r="F35" s="240">
        <f t="shared" si="10"/>
        <v>795576</v>
      </c>
      <c r="G35" s="29"/>
    </row>
    <row r="36" spans="2:9" ht="14.25" customHeight="1" x14ac:dyDescent="0.2">
      <c r="B36" s="224" t="str">
        <f t="shared" si="8"/>
        <v>Módosított előirányzat 2022.10.hó</v>
      </c>
      <c r="C36" s="241">
        <f>SUM('1.Bev-kiad.'!E56)-D36</f>
        <v>792176</v>
      </c>
      <c r="D36" s="241">
        <f>SUM('9.Hivatal'!T95)</f>
        <v>3400</v>
      </c>
      <c r="E36" s="240">
        <f t="shared" si="9"/>
        <v>3400</v>
      </c>
      <c r="F36" s="240">
        <f t="shared" si="10"/>
        <v>795576</v>
      </c>
      <c r="G36" s="29"/>
    </row>
    <row r="37" spans="2:9" ht="14.25" customHeight="1" x14ac:dyDescent="0.2">
      <c r="B37" s="224" t="str">
        <f t="shared" si="8"/>
        <v>Módosított előirányzat 2022.12.31</v>
      </c>
      <c r="C37" s="241">
        <f>SUM('1.Bev-kiad.'!F56)-D37</f>
        <v>792176</v>
      </c>
      <c r="D37" s="241">
        <f>SUM('9.Hivatal'!U95)</f>
        <v>3400</v>
      </c>
      <c r="E37" s="240">
        <f t="shared" si="9"/>
        <v>3400</v>
      </c>
      <c r="F37" s="240">
        <f t="shared" si="10"/>
        <v>795576</v>
      </c>
      <c r="G37" s="29"/>
    </row>
    <row r="38" spans="2:9" ht="14.25" hidden="1" customHeight="1" x14ac:dyDescent="0.2">
      <c r="B38" s="224" t="str">
        <f t="shared" si="8"/>
        <v>Beszámoló előtti ei.mód.</v>
      </c>
      <c r="C38" s="241"/>
      <c r="D38" s="241"/>
      <c r="E38" s="240">
        <f t="shared" si="9"/>
        <v>0</v>
      </c>
      <c r="F38" s="240">
        <f t="shared" si="10"/>
        <v>0</v>
      </c>
      <c r="G38" s="29"/>
    </row>
    <row r="39" spans="2:9" ht="14.25" hidden="1" customHeight="1" x14ac:dyDescent="0.2">
      <c r="B39" s="224" t="str">
        <f t="shared" si="8"/>
        <v>Teljesítés 2021.12.31.</v>
      </c>
      <c r="C39" s="241">
        <f>SUM('1.Bev-kiad.'!G56)-D39</f>
        <v>792176</v>
      </c>
      <c r="D39" s="241">
        <f>SUM('9.Hivatal'!V95)</f>
        <v>3400</v>
      </c>
      <c r="E39" s="240">
        <f t="shared" si="9"/>
        <v>3400</v>
      </c>
      <c r="F39" s="240">
        <f t="shared" si="10"/>
        <v>795576</v>
      </c>
      <c r="G39" s="29"/>
    </row>
    <row r="40" spans="2:9" ht="14.25" customHeight="1" x14ac:dyDescent="0.2">
      <c r="B40" s="224"/>
      <c r="C40" s="241"/>
      <c r="D40" s="241"/>
      <c r="E40" s="240"/>
      <c r="F40" s="240"/>
      <c r="G40" s="29"/>
    </row>
    <row r="41" spans="2:9" ht="14.25" customHeight="1" x14ac:dyDescent="0.2">
      <c r="B41" s="287" t="s">
        <v>1471</v>
      </c>
      <c r="C41" s="241"/>
      <c r="D41" s="241"/>
      <c r="E41" s="240"/>
      <c r="F41" s="240"/>
      <c r="G41" s="29"/>
    </row>
    <row r="42" spans="2:9" ht="14.25" customHeight="1" x14ac:dyDescent="0.2">
      <c r="B42" s="224" t="str">
        <f>B37</f>
        <v>Módosított előirányzat 2022.12.31</v>
      </c>
      <c r="C42" s="241">
        <f>'1.Bev-kiad.'!F59</f>
        <v>19840</v>
      </c>
      <c r="D42" s="241"/>
      <c r="E42" s="240"/>
      <c r="F42" s="240">
        <f t="shared" si="10"/>
        <v>19840</v>
      </c>
      <c r="G42" s="29"/>
    </row>
    <row r="43" spans="2:9" ht="14.25" hidden="1" customHeight="1" x14ac:dyDescent="0.2">
      <c r="B43" s="224"/>
      <c r="C43" s="241"/>
      <c r="D43" s="241"/>
      <c r="E43" s="240"/>
      <c r="F43" s="240">
        <f t="shared" si="10"/>
        <v>0</v>
      </c>
      <c r="G43" s="29"/>
    </row>
    <row r="44" spans="2:9" x14ac:dyDescent="0.2">
      <c r="B44" s="224"/>
      <c r="C44" s="241"/>
      <c r="D44" s="241"/>
      <c r="E44" s="240"/>
      <c r="F44" s="240"/>
      <c r="G44" s="29"/>
    </row>
    <row r="45" spans="2:9" x14ac:dyDescent="0.2">
      <c r="B45" s="288" t="s">
        <v>906</v>
      </c>
      <c r="C45" s="241"/>
      <c r="D45" s="241"/>
      <c r="E45" s="241"/>
      <c r="F45" s="241"/>
      <c r="G45" s="75"/>
    </row>
    <row r="46" spans="2:9" x14ac:dyDescent="0.2">
      <c r="B46" s="224" t="str">
        <f t="shared" ref="B46:B51" si="11">B34</f>
        <v>2022. évi eredeti előirányzat</v>
      </c>
      <c r="C46" s="241"/>
      <c r="D46" s="241">
        <f>SUM('9.Hivatal'!R91)</f>
        <v>133793</v>
      </c>
      <c r="E46" s="240">
        <f t="shared" ref="E46:E51" si="12">SUM(D46:D46)</f>
        <v>133793</v>
      </c>
      <c r="F46" s="240">
        <f t="shared" ref="F46:F51" si="13">SUM(C46+E46)</f>
        <v>133793</v>
      </c>
      <c r="G46" s="165"/>
      <c r="H46" s="29"/>
      <c r="I46" s="29"/>
    </row>
    <row r="47" spans="2:9" hidden="1" x14ac:dyDescent="0.2">
      <c r="B47" s="224" t="str">
        <f t="shared" si="11"/>
        <v>Módosított előirányzat 2022.06.hó</v>
      </c>
      <c r="C47" s="241"/>
      <c r="D47" s="241">
        <f>SUM('9.Hivatal'!S91)</f>
        <v>133793</v>
      </c>
      <c r="E47" s="240">
        <f t="shared" si="12"/>
        <v>133793</v>
      </c>
      <c r="F47" s="240">
        <f t="shared" si="13"/>
        <v>133793</v>
      </c>
      <c r="G47" s="165"/>
      <c r="H47" s="29"/>
      <c r="I47" s="29"/>
    </row>
    <row r="48" spans="2:9" x14ac:dyDescent="0.2">
      <c r="B48" s="224" t="str">
        <f t="shared" si="11"/>
        <v>Módosított előirányzat 2022.10.hó</v>
      </c>
      <c r="C48" s="241"/>
      <c r="D48" s="241">
        <f>SUM('9.Hivatal'!T91)</f>
        <v>133793</v>
      </c>
      <c r="E48" s="240">
        <f t="shared" si="12"/>
        <v>133793</v>
      </c>
      <c r="F48" s="240">
        <f t="shared" si="13"/>
        <v>133793</v>
      </c>
      <c r="G48" s="165"/>
      <c r="H48" s="29"/>
      <c r="I48" s="29"/>
    </row>
    <row r="49" spans="2:11" x14ac:dyDescent="0.2">
      <c r="B49" s="224" t="str">
        <f t="shared" si="11"/>
        <v>Módosított előirányzat 2022.12.31</v>
      </c>
      <c r="C49" s="241"/>
      <c r="D49" s="241">
        <f>SUM('9.Hivatal'!U91)</f>
        <v>133793</v>
      </c>
      <c r="E49" s="240">
        <f t="shared" si="12"/>
        <v>133793</v>
      </c>
      <c r="F49" s="240">
        <f t="shared" si="13"/>
        <v>133793</v>
      </c>
      <c r="G49" s="165"/>
      <c r="H49" s="29"/>
      <c r="I49" s="29"/>
    </row>
    <row r="50" spans="2:11" hidden="1" x14ac:dyDescent="0.2">
      <c r="B50" s="224" t="str">
        <f t="shared" si="11"/>
        <v>Beszámoló előtti ei.mód.</v>
      </c>
      <c r="C50" s="241"/>
      <c r="D50" s="241">
        <v>0</v>
      </c>
      <c r="E50" s="240">
        <f t="shared" si="12"/>
        <v>0</v>
      </c>
      <c r="F50" s="240">
        <f t="shared" si="13"/>
        <v>0</v>
      </c>
      <c r="G50" s="165"/>
      <c r="H50" s="29"/>
      <c r="I50" s="29"/>
    </row>
    <row r="51" spans="2:11" ht="13.5" hidden="1" customHeight="1" x14ac:dyDescent="0.2">
      <c r="B51" s="224" t="str">
        <f t="shared" si="11"/>
        <v>Teljesítés 2021.12.31.</v>
      </c>
      <c r="C51" s="241"/>
      <c r="D51" s="241">
        <f>SUM('9.Hivatal'!V91)</f>
        <v>133793</v>
      </c>
      <c r="E51" s="240">
        <f t="shared" si="12"/>
        <v>133793</v>
      </c>
      <c r="F51" s="240">
        <f t="shared" si="13"/>
        <v>133793</v>
      </c>
      <c r="G51" s="165"/>
      <c r="H51" s="29"/>
      <c r="I51" s="29"/>
    </row>
    <row r="52" spans="2:11" x14ac:dyDescent="0.2">
      <c r="B52" s="224"/>
      <c r="C52" s="241"/>
      <c r="D52" s="241"/>
      <c r="E52" s="240"/>
      <c r="F52" s="240"/>
      <c r="G52" s="29"/>
      <c r="H52" s="29"/>
      <c r="I52" s="29"/>
    </row>
    <row r="53" spans="2:11" ht="26.25" customHeight="1" x14ac:dyDescent="0.2">
      <c r="B53" s="288" t="s">
        <v>51</v>
      </c>
      <c r="C53" s="241"/>
      <c r="D53" s="241"/>
      <c r="E53" s="241"/>
      <c r="F53" s="241"/>
      <c r="G53" s="28"/>
      <c r="H53" s="28"/>
      <c r="I53" s="28"/>
    </row>
    <row r="54" spans="2:11" x14ac:dyDescent="0.2">
      <c r="B54" s="224" t="str">
        <f t="shared" ref="B54:B59" si="14">B46</f>
        <v>2022. évi eredeti előirányzat</v>
      </c>
      <c r="C54" s="241"/>
      <c r="D54" s="241">
        <f>SUM('9.Hivatal'!R100)</f>
        <v>46481</v>
      </c>
      <c r="E54" s="240">
        <f t="shared" ref="E54:E59" si="15">SUM(D54:D54)</f>
        <v>46481</v>
      </c>
      <c r="F54" s="240">
        <f t="shared" ref="F54:F59" si="16">SUM(E54)</f>
        <v>46481</v>
      </c>
      <c r="G54" s="29">
        <f t="shared" ref="G54:G59" si="17">SUM(E70-E10-E34)</f>
        <v>180274</v>
      </c>
      <c r="H54" s="29"/>
      <c r="I54" s="29"/>
    </row>
    <row r="55" spans="2:11" hidden="1" x14ac:dyDescent="0.2">
      <c r="B55" s="224" t="str">
        <f t="shared" si="14"/>
        <v>Módosított előirányzat 2022.06.hó</v>
      </c>
      <c r="C55" s="241"/>
      <c r="D55" s="241">
        <f>SUM('9.Hivatal'!S100)</f>
        <v>49429</v>
      </c>
      <c r="E55" s="240">
        <f t="shared" si="15"/>
        <v>49429</v>
      </c>
      <c r="F55" s="240">
        <f t="shared" si="16"/>
        <v>49429</v>
      </c>
      <c r="G55" s="29">
        <f t="shared" si="17"/>
        <v>183222</v>
      </c>
      <c r="H55" s="29"/>
      <c r="I55" s="29"/>
    </row>
    <row r="56" spans="2:11" x14ac:dyDescent="0.2">
      <c r="B56" s="224" t="str">
        <f t="shared" si="14"/>
        <v>Módosított előirányzat 2022.10.hó</v>
      </c>
      <c r="C56" s="241"/>
      <c r="D56" s="241">
        <f>SUM('9.Hivatal'!T100)</f>
        <v>54340</v>
      </c>
      <c r="E56" s="240">
        <f t="shared" si="15"/>
        <v>54340</v>
      </c>
      <c r="F56" s="240">
        <f t="shared" si="16"/>
        <v>54340</v>
      </c>
      <c r="G56" s="29">
        <f t="shared" si="17"/>
        <v>188133</v>
      </c>
      <c r="H56" s="29"/>
      <c r="I56" s="29"/>
    </row>
    <row r="57" spans="2:11" x14ac:dyDescent="0.2">
      <c r="B57" s="224" t="str">
        <f t="shared" si="14"/>
        <v>Módosított előirányzat 2022.12.31</v>
      </c>
      <c r="C57" s="241"/>
      <c r="D57" s="241">
        <f>SUM('9.Hivatal'!U100)</f>
        <v>73255</v>
      </c>
      <c r="E57" s="240">
        <f t="shared" si="15"/>
        <v>73255</v>
      </c>
      <c r="F57" s="240">
        <f t="shared" si="16"/>
        <v>73255</v>
      </c>
      <c r="G57" s="29">
        <f t="shared" si="17"/>
        <v>207048</v>
      </c>
      <c r="H57" s="29"/>
      <c r="I57" s="29"/>
    </row>
    <row r="58" spans="2:11" hidden="1" x14ac:dyDescent="0.2">
      <c r="B58" s="224" t="str">
        <f t="shared" si="14"/>
        <v>Beszámoló előtti ei.mód.</v>
      </c>
      <c r="C58" s="241"/>
      <c r="D58" s="241">
        <v>0</v>
      </c>
      <c r="E58" s="240">
        <f t="shared" si="15"/>
        <v>0</v>
      </c>
      <c r="F58" s="240">
        <f t="shared" si="16"/>
        <v>0</v>
      </c>
      <c r="G58" s="29">
        <f t="shared" si="17"/>
        <v>0</v>
      </c>
      <c r="H58" s="29"/>
      <c r="I58" s="29"/>
    </row>
    <row r="59" spans="2:11" ht="13.5" hidden="1" customHeight="1" x14ac:dyDescent="0.2">
      <c r="B59" s="224" t="str">
        <f t="shared" si="14"/>
        <v>Teljesítés 2021.12.31.</v>
      </c>
      <c r="C59" s="241"/>
      <c r="D59" s="241">
        <f>SUM('9.Hivatal'!V100)</f>
        <v>42714</v>
      </c>
      <c r="E59" s="240">
        <f t="shared" si="15"/>
        <v>42714</v>
      </c>
      <c r="F59" s="240">
        <f t="shared" si="16"/>
        <v>42714</v>
      </c>
      <c r="G59" s="29">
        <f t="shared" si="17"/>
        <v>176507</v>
      </c>
      <c r="H59" s="29"/>
      <c r="I59" s="29"/>
    </row>
    <row r="60" spans="2:11" x14ac:dyDescent="0.2">
      <c r="B60" s="224"/>
      <c r="C60" s="241"/>
      <c r="D60" s="241"/>
      <c r="E60" s="240"/>
      <c r="F60" s="240"/>
      <c r="G60" s="29"/>
      <c r="H60" s="29"/>
      <c r="I60" s="29"/>
    </row>
    <row r="61" spans="2:11" ht="13.5" customHeight="1" x14ac:dyDescent="0.2">
      <c r="B61" s="288" t="s">
        <v>505</v>
      </c>
      <c r="C61" s="279"/>
      <c r="D61" s="279"/>
      <c r="E61" s="280"/>
      <c r="F61" s="280"/>
      <c r="G61" s="29"/>
      <c r="H61" s="29"/>
      <c r="I61" s="29"/>
    </row>
    <row r="62" spans="2:11" ht="14.25" customHeight="1" x14ac:dyDescent="0.2">
      <c r="B62" s="299" t="str">
        <f t="shared" ref="B62:B67" si="18">B54</f>
        <v>2022. évi eredeti előirányzat</v>
      </c>
      <c r="C62" s="279">
        <f>SUM('1.Bev-kiad.'!C60)</f>
        <v>342000</v>
      </c>
      <c r="D62" s="279"/>
      <c r="E62" s="280"/>
      <c r="F62" s="240">
        <f t="shared" ref="F62:F67" si="19">SUM(C62+E62)</f>
        <v>342000</v>
      </c>
      <c r="G62" s="29"/>
      <c r="H62" s="29"/>
      <c r="I62" s="29"/>
      <c r="K62" s="76"/>
    </row>
    <row r="63" spans="2:11" ht="13.5" hidden="1" customHeight="1" x14ac:dyDescent="0.2">
      <c r="B63" s="299" t="str">
        <f t="shared" si="18"/>
        <v>Módosított előirányzat 2022.06.hó</v>
      </c>
      <c r="C63" s="279">
        <f>'1.Bev-kiad.'!D60</f>
        <v>342000</v>
      </c>
      <c r="D63" s="279"/>
      <c r="E63" s="280"/>
      <c r="F63" s="74">
        <f t="shared" si="19"/>
        <v>342000</v>
      </c>
      <c r="G63" s="29"/>
      <c r="H63" s="29"/>
      <c r="I63" s="29"/>
    </row>
    <row r="64" spans="2:11" ht="13.5" customHeight="1" x14ac:dyDescent="0.2">
      <c r="B64" s="299" t="str">
        <f t="shared" si="18"/>
        <v>Módosított előirányzat 2022.10.hó</v>
      </c>
      <c r="C64" s="279">
        <f>'1.Bev-kiad.'!E60</f>
        <v>342000</v>
      </c>
      <c r="D64" s="279"/>
      <c r="E64" s="280"/>
      <c r="F64" s="74">
        <f t="shared" si="19"/>
        <v>342000</v>
      </c>
      <c r="G64" s="29"/>
      <c r="H64" s="29"/>
      <c r="I64" s="29"/>
    </row>
    <row r="65" spans="2:9" ht="13.5" customHeight="1" x14ac:dyDescent="0.2">
      <c r="B65" s="299" t="str">
        <f t="shared" si="18"/>
        <v>Módosított előirányzat 2022.12.31</v>
      </c>
      <c r="C65" s="279">
        <f>'1.Bev-kiad.'!F60</f>
        <v>342000</v>
      </c>
      <c r="D65" s="279"/>
      <c r="E65" s="280"/>
      <c r="F65" s="74">
        <f t="shared" si="19"/>
        <v>342000</v>
      </c>
      <c r="G65" s="29"/>
      <c r="H65" s="29"/>
      <c r="I65" s="29"/>
    </row>
    <row r="66" spans="2:9" ht="13.5" hidden="1" customHeight="1" x14ac:dyDescent="0.2">
      <c r="B66" s="299" t="str">
        <f t="shared" si="18"/>
        <v>Beszámoló előtti ei.mód.</v>
      </c>
      <c r="C66" s="279">
        <f>'1.Bev-kiad.'!G60</f>
        <v>342000</v>
      </c>
      <c r="D66" s="279"/>
      <c r="E66" s="280"/>
      <c r="F66" s="74">
        <f t="shared" si="19"/>
        <v>342000</v>
      </c>
      <c r="G66" s="29"/>
      <c r="H66" s="29"/>
      <c r="I66" s="29"/>
    </row>
    <row r="67" spans="2:9" ht="13.5" hidden="1" customHeight="1" x14ac:dyDescent="0.2">
      <c r="B67" s="299" t="str">
        <f t="shared" si="18"/>
        <v>Teljesítés 2021.12.31.</v>
      </c>
      <c r="C67" s="279">
        <f>'1.Bev-kiad.'!H60</f>
        <v>0</v>
      </c>
      <c r="D67" s="279"/>
      <c r="E67" s="280"/>
      <c r="F67" s="74">
        <f t="shared" si="19"/>
        <v>0</v>
      </c>
      <c r="G67" s="29"/>
      <c r="H67" s="29"/>
      <c r="I67" s="29"/>
    </row>
    <row r="68" spans="2:9" ht="13.5" customHeight="1" thickBot="1" x14ac:dyDescent="0.25">
      <c r="B68" s="299"/>
      <c r="C68" s="279"/>
      <c r="D68" s="279"/>
      <c r="E68" s="280"/>
      <c r="F68" s="74"/>
      <c r="G68" s="29"/>
      <c r="H68" s="29"/>
      <c r="I68" s="29"/>
    </row>
    <row r="69" spans="2:9" ht="14.25" customHeight="1" x14ac:dyDescent="0.2">
      <c r="B69" s="113" t="s">
        <v>52</v>
      </c>
      <c r="C69" s="242"/>
      <c r="D69" s="242"/>
      <c r="E69" s="242"/>
      <c r="F69" s="247"/>
      <c r="G69" s="29"/>
      <c r="H69" s="76"/>
    </row>
    <row r="70" spans="2:9" ht="14.25" customHeight="1" x14ac:dyDescent="0.2">
      <c r="B70" s="214" t="str">
        <f t="shared" ref="B70:B75" si="20">B10</f>
        <v>2022. évi eredeti előirányzat</v>
      </c>
      <c r="C70" s="244">
        <f t="shared" ref="C70:C75" si="21">SUM(C10+C26+C18)</f>
        <v>2422094</v>
      </c>
      <c r="D70" s="244">
        <f t="shared" ref="D70:D75" si="22">SUM(D10+D26)</f>
        <v>242480</v>
      </c>
      <c r="E70" s="244">
        <f t="shared" ref="E70:E75" si="23">SUM(D70:D70)</f>
        <v>242480</v>
      </c>
      <c r="F70" s="248">
        <f t="shared" ref="F70:F75" si="24">SUM(C70+E70)</f>
        <v>2664574</v>
      </c>
      <c r="G70" s="165"/>
      <c r="H70" s="215"/>
      <c r="I70" s="76"/>
    </row>
    <row r="71" spans="2:9" ht="14.25" hidden="1" customHeight="1" x14ac:dyDescent="0.2">
      <c r="B71" s="214" t="str">
        <f t="shared" si="20"/>
        <v>Módosított előirányzat 2022.06.hó</v>
      </c>
      <c r="C71" s="244">
        <f t="shared" si="21"/>
        <v>2789183</v>
      </c>
      <c r="D71" s="244">
        <f t="shared" si="22"/>
        <v>245459</v>
      </c>
      <c r="E71" s="244">
        <f t="shared" si="23"/>
        <v>245459</v>
      </c>
      <c r="F71" s="248">
        <f t="shared" si="24"/>
        <v>3034642</v>
      </c>
      <c r="G71" s="165"/>
      <c r="H71" s="215"/>
    </row>
    <row r="72" spans="2:9" ht="14.25" customHeight="1" x14ac:dyDescent="0.2">
      <c r="B72" s="214" t="str">
        <f t="shared" si="20"/>
        <v>Módosított előirányzat 2022.10.hó</v>
      </c>
      <c r="C72" s="244">
        <f t="shared" si="21"/>
        <v>2892761</v>
      </c>
      <c r="D72" s="244">
        <f t="shared" si="22"/>
        <v>256943</v>
      </c>
      <c r="E72" s="244">
        <f t="shared" si="23"/>
        <v>256943</v>
      </c>
      <c r="F72" s="248">
        <f t="shared" si="24"/>
        <v>3149704</v>
      </c>
      <c r="G72" s="165"/>
      <c r="H72" s="215"/>
    </row>
    <row r="73" spans="2:9" ht="14.25" customHeight="1" x14ac:dyDescent="0.2">
      <c r="B73" s="214" t="str">
        <f t="shared" si="20"/>
        <v>Módosított előirányzat 2022.12.31</v>
      </c>
      <c r="C73" s="244">
        <f t="shared" si="21"/>
        <v>2951666</v>
      </c>
      <c r="D73" s="244">
        <f t="shared" si="22"/>
        <v>275960</v>
      </c>
      <c r="E73" s="244">
        <f t="shared" si="23"/>
        <v>275960</v>
      </c>
      <c r="F73" s="248">
        <f t="shared" si="24"/>
        <v>3227626</v>
      </c>
      <c r="G73" s="165"/>
      <c r="H73" s="215"/>
    </row>
    <row r="74" spans="2:9" ht="14.25" hidden="1" customHeight="1" x14ac:dyDescent="0.2">
      <c r="B74" s="214" t="str">
        <f t="shared" si="20"/>
        <v>Beszámoló előtti ei.mód.</v>
      </c>
      <c r="C74" s="244">
        <f t="shared" si="21"/>
        <v>342000</v>
      </c>
      <c r="D74" s="244">
        <f t="shared" si="22"/>
        <v>0</v>
      </c>
      <c r="E74" s="244">
        <f t="shared" si="23"/>
        <v>0</v>
      </c>
      <c r="F74" s="248">
        <f t="shared" si="24"/>
        <v>342000</v>
      </c>
      <c r="G74" s="165"/>
      <c r="H74" s="215"/>
    </row>
    <row r="75" spans="2:9" hidden="1" x14ac:dyDescent="0.2">
      <c r="B75" s="214" t="str">
        <f t="shared" si="20"/>
        <v>Teljesítés 2021.12.31.</v>
      </c>
      <c r="C75" s="244">
        <f t="shared" si="21"/>
        <v>2565180</v>
      </c>
      <c r="D75" s="244">
        <f t="shared" si="22"/>
        <v>230898</v>
      </c>
      <c r="E75" s="244">
        <f t="shared" si="23"/>
        <v>230898</v>
      </c>
      <c r="F75" s="248">
        <f t="shared" si="24"/>
        <v>2796078</v>
      </c>
      <c r="G75" s="165"/>
      <c r="H75" s="215"/>
    </row>
    <row r="76" spans="2:9" ht="14.25" customHeight="1" x14ac:dyDescent="0.2">
      <c r="B76" s="300" t="s">
        <v>53</v>
      </c>
      <c r="C76" s="244"/>
      <c r="D76" s="244"/>
      <c r="E76" s="244"/>
      <c r="F76" s="248">
        <f t="shared" ref="F76:F81" si="25">-E46-E54</f>
        <v>-180274</v>
      </c>
      <c r="G76" s="28"/>
    </row>
    <row r="77" spans="2:9" ht="12.75" hidden="1" customHeight="1" x14ac:dyDescent="0.2">
      <c r="B77" s="300" t="str">
        <f>B71</f>
        <v>Módosított előirányzat 2022.06.hó</v>
      </c>
      <c r="C77" s="244"/>
      <c r="D77" s="244"/>
      <c r="E77" s="244"/>
      <c r="F77" s="248">
        <f t="shared" si="25"/>
        <v>-183222</v>
      </c>
      <c r="G77" s="28"/>
    </row>
    <row r="78" spans="2:9" ht="12.75" customHeight="1" x14ac:dyDescent="0.2">
      <c r="B78" s="300" t="str">
        <f>B72</f>
        <v>Módosított előirányzat 2022.10.hó</v>
      </c>
      <c r="C78" s="243"/>
      <c r="D78" s="243"/>
      <c r="E78" s="243"/>
      <c r="F78" s="248">
        <f t="shared" si="25"/>
        <v>-188133</v>
      </c>
      <c r="G78" s="28"/>
    </row>
    <row r="79" spans="2:9" ht="12.75" customHeight="1" thickBot="1" x14ac:dyDescent="0.25">
      <c r="B79" s="300" t="str">
        <f>B73</f>
        <v>Módosított előirányzat 2022.12.31</v>
      </c>
      <c r="C79" s="243"/>
      <c r="D79" s="243"/>
      <c r="E79" s="243"/>
      <c r="F79" s="248">
        <f t="shared" si="25"/>
        <v>-207048</v>
      </c>
      <c r="G79" s="28"/>
    </row>
    <row r="80" spans="2:9" ht="12.75" hidden="1" customHeight="1" x14ac:dyDescent="0.2">
      <c r="B80" s="300" t="str">
        <f>B74</f>
        <v>Beszámoló előtti ei.mód.</v>
      </c>
      <c r="C80" s="243"/>
      <c r="D80" s="243"/>
      <c r="E80" s="243"/>
      <c r="F80" s="248">
        <f t="shared" si="25"/>
        <v>0</v>
      </c>
      <c r="G80" s="28"/>
    </row>
    <row r="81" spans="2:11" ht="13.5" hidden="1" thickBot="1" x14ac:dyDescent="0.25">
      <c r="B81" s="300" t="str">
        <f>B75</f>
        <v>Teljesítés 2021.12.31.</v>
      </c>
      <c r="C81" s="243"/>
      <c r="D81" s="243"/>
      <c r="E81" s="243"/>
      <c r="F81" s="248">
        <f t="shared" si="25"/>
        <v>-176507</v>
      </c>
      <c r="G81" s="28"/>
    </row>
    <row r="82" spans="2:11" ht="13.5" thickBot="1" x14ac:dyDescent="0.25">
      <c r="B82" s="77" t="s">
        <v>54</v>
      </c>
      <c r="C82" s="245"/>
      <c r="D82" s="245"/>
      <c r="E82" s="245"/>
      <c r="F82" s="249">
        <f>SUM(F73+F79)</f>
        <v>3020578</v>
      </c>
      <c r="G82" s="28"/>
      <c r="I82" s="76"/>
      <c r="K82" s="76"/>
    </row>
    <row r="83" spans="2:11" ht="14.25" customHeight="1" x14ac:dyDescent="0.2">
      <c r="B83" s="289" t="s">
        <v>55</v>
      </c>
      <c r="C83" s="246"/>
      <c r="D83" s="246"/>
      <c r="E83" s="246"/>
      <c r="F83" s="250"/>
      <c r="G83" s="29"/>
      <c r="J83" s="76"/>
    </row>
    <row r="84" spans="2:11" x14ac:dyDescent="0.2">
      <c r="B84" s="214" t="str">
        <f t="shared" ref="B84:B95" si="26">B70</f>
        <v>2022. évi eredeti előirányzat</v>
      </c>
      <c r="C84" s="244">
        <f t="shared" ref="C84:C89" si="27">SUM(C98+C105+C112+C119+C126+C133+C140+C147)</f>
        <v>2422094</v>
      </c>
      <c r="D84" s="244">
        <f t="shared" ref="D84:D89" si="28">SUM(D98+D105+D112+D119+D133)</f>
        <v>242480</v>
      </c>
      <c r="E84" s="244">
        <f t="shared" ref="E84:E89" si="29">SUM(D84:D84)</f>
        <v>242480</v>
      </c>
      <c r="F84" s="248">
        <f t="shared" ref="F84:F89" si="30">SUM(C84+E84)</f>
        <v>2664574</v>
      </c>
      <c r="G84" s="165">
        <f t="shared" ref="G84:G89" si="31">SUM(F98+F105+F112+F119+F126+F133+F140+F147)</f>
        <v>2664574</v>
      </c>
      <c r="H84" s="215">
        <f t="shared" ref="H84:H89" si="32">SUM(E98+E105+E112+E119)</f>
        <v>242480</v>
      </c>
      <c r="I84" s="37">
        <f>SUM(F98+F105+F112+F119+F126+F133+F140+F147)</f>
        <v>2664574</v>
      </c>
    </row>
    <row r="85" spans="2:11" hidden="1" x14ac:dyDescent="0.2">
      <c r="B85" s="214" t="str">
        <f t="shared" si="26"/>
        <v>Módosított előirányzat 2022.06.hó</v>
      </c>
      <c r="C85" s="244">
        <f t="shared" si="27"/>
        <v>2789183</v>
      </c>
      <c r="D85" s="244">
        <f t="shared" si="28"/>
        <v>245459</v>
      </c>
      <c r="E85" s="244">
        <f t="shared" si="29"/>
        <v>245459</v>
      </c>
      <c r="F85" s="248">
        <f t="shared" si="30"/>
        <v>3034642</v>
      </c>
      <c r="G85" s="165">
        <f t="shared" si="31"/>
        <v>3034642</v>
      </c>
      <c r="H85" s="215">
        <f t="shared" si="32"/>
        <v>245459</v>
      </c>
    </row>
    <row r="86" spans="2:11" x14ac:dyDescent="0.2">
      <c r="B86" s="214" t="str">
        <f t="shared" si="26"/>
        <v>Módosított előirányzat 2022.10.hó</v>
      </c>
      <c r="C86" s="244">
        <f t="shared" si="27"/>
        <v>2892761</v>
      </c>
      <c r="D86" s="244">
        <f t="shared" si="28"/>
        <v>256943</v>
      </c>
      <c r="E86" s="244">
        <f t="shared" si="29"/>
        <v>256943</v>
      </c>
      <c r="F86" s="248">
        <f t="shared" si="30"/>
        <v>3149704</v>
      </c>
      <c r="G86" s="165">
        <f t="shared" si="31"/>
        <v>3149704</v>
      </c>
      <c r="H86" s="215">
        <f t="shared" si="32"/>
        <v>256943</v>
      </c>
    </row>
    <row r="87" spans="2:11" x14ac:dyDescent="0.2">
      <c r="B87" s="214" t="str">
        <f t="shared" si="26"/>
        <v>Módosított előirányzat 2022.12.31</v>
      </c>
      <c r="C87" s="244">
        <f t="shared" si="27"/>
        <v>2951666</v>
      </c>
      <c r="D87" s="244">
        <f t="shared" si="28"/>
        <v>275960</v>
      </c>
      <c r="E87" s="244">
        <f t="shared" si="29"/>
        <v>275960</v>
      </c>
      <c r="F87" s="248">
        <f t="shared" si="30"/>
        <v>3227626</v>
      </c>
      <c r="G87" s="165">
        <f t="shared" si="31"/>
        <v>3227626</v>
      </c>
      <c r="H87" s="215">
        <f t="shared" si="32"/>
        <v>275960</v>
      </c>
    </row>
    <row r="88" spans="2:11" hidden="1" x14ac:dyDescent="0.2">
      <c r="B88" s="214" t="str">
        <f t="shared" si="26"/>
        <v>Beszámoló előtti ei.mód.</v>
      </c>
      <c r="C88" s="244">
        <f t="shared" si="27"/>
        <v>0</v>
      </c>
      <c r="D88" s="244">
        <f t="shared" si="28"/>
        <v>0</v>
      </c>
      <c r="E88" s="244">
        <f t="shared" si="29"/>
        <v>0</v>
      </c>
      <c r="F88" s="248">
        <f t="shared" si="30"/>
        <v>0</v>
      </c>
      <c r="G88" s="165">
        <f t="shared" si="31"/>
        <v>0</v>
      </c>
      <c r="H88" s="215">
        <f t="shared" si="32"/>
        <v>0</v>
      </c>
    </row>
    <row r="89" spans="2:11" hidden="1" x14ac:dyDescent="0.2">
      <c r="B89" s="214" t="str">
        <f t="shared" si="26"/>
        <v>Teljesítés 2021.12.31.</v>
      </c>
      <c r="C89" s="244">
        <f t="shared" si="27"/>
        <v>2576711</v>
      </c>
      <c r="D89" s="244">
        <f t="shared" si="28"/>
        <v>237978</v>
      </c>
      <c r="E89" s="244">
        <f t="shared" si="29"/>
        <v>237978</v>
      </c>
      <c r="F89" s="248">
        <f t="shared" si="30"/>
        <v>2814689</v>
      </c>
      <c r="G89" s="165">
        <f t="shared" si="31"/>
        <v>2814689</v>
      </c>
      <c r="H89" s="215">
        <f t="shared" si="32"/>
        <v>237978</v>
      </c>
    </row>
    <row r="90" spans="2:11" x14ac:dyDescent="0.2">
      <c r="B90" s="214" t="str">
        <f t="shared" si="26"/>
        <v xml:space="preserve">Intézményfinanszírozás </v>
      </c>
      <c r="C90" s="244"/>
      <c r="D90" s="244"/>
      <c r="E90" s="244"/>
      <c r="F90" s="248">
        <f t="shared" ref="F90:F95" si="33">F76</f>
        <v>-180274</v>
      </c>
      <c r="G90" s="28"/>
      <c r="I90" s="76"/>
    </row>
    <row r="91" spans="2:11" hidden="1" x14ac:dyDescent="0.2">
      <c r="B91" s="214" t="str">
        <f t="shared" si="26"/>
        <v>Módosított előirányzat 2022.06.hó</v>
      </c>
      <c r="C91" s="243"/>
      <c r="D91" s="243"/>
      <c r="E91" s="243"/>
      <c r="F91" s="248">
        <f t="shared" si="33"/>
        <v>-183222</v>
      </c>
      <c r="G91" s="28"/>
    </row>
    <row r="92" spans="2:11" x14ac:dyDescent="0.2">
      <c r="B92" s="214" t="str">
        <f t="shared" si="26"/>
        <v>Módosított előirányzat 2022.10.hó</v>
      </c>
      <c r="C92" s="243"/>
      <c r="D92" s="243"/>
      <c r="E92" s="243"/>
      <c r="F92" s="248">
        <f t="shared" si="33"/>
        <v>-188133</v>
      </c>
      <c r="G92" s="28"/>
    </row>
    <row r="93" spans="2:11" ht="13.5" thickBot="1" x14ac:dyDescent="0.25">
      <c r="B93" s="214" t="str">
        <f t="shared" si="26"/>
        <v>Módosított előirányzat 2022.12.31</v>
      </c>
      <c r="C93" s="243"/>
      <c r="D93" s="243"/>
      <c r="E93" s="243"/>
      <c r="F93" s="248">
        <f t="shared" si="33"/>
        <v>-207048</v>
      </c>
      <c r="G93" s="28"/>
    </row>
    <row r="94" spans="2:11" hidden="1" x14ac:dyDescent="0.2">
      <c r="B94" s="214" t="str">
        <f t="shared" si="26"/>
        <v>Beszámoló előtti ei.mód.</v>
      </c>
      <c r="C94" s="243"/>
      <c r="D94" s="243"/>
      <c r="E94" s="243"/>
      <c r="F94" s="248">
        <f t="shared" si="33"/>
        <v>0</v>
      </c>
      <c r="G94" s="28"/>
    </row>
    <row r="95" spans="2:11" ht="13.5" hidden="1" thickBot="1" x14ac:dyDescent="0.25">
      <c r="B95" s="214" t="str">
        <f t="shared" si="26"/>
        <v>Teljesítés 2021.12.31.</v>
      </c>
      <c r="C95" s="243"/>
      <c r="D95" s="243"/>
      <c r="E95" s="243"/>
      <c r="F95" s="248">
        <f t="shared" si="33"/>
        <v>-176507</v>
      </c>
      <c r="G95" s="28"/>
    </row>
    <row r="96" spans="2:11" ht="14.25" customHeight="1" thickBot="1" x14ac:dyDescent="0.25">
      <c r="B96" s="77" t="s">
        <v>56</v>
      </c>
      <c r="C96" s="245"/>
      <c r="D96" s="245"/>
      <c r="E96" s="245"/>
      <c r="F96" s="249">
        <f>SUM(F87+F93)</f>
        <v>3020578</v>
      </c>
      <c r="G96" s="29"/>
      <c r="H96" s="76"/>
    </row>
    <row r="97" spans="2:11" ht="13.5" customHeight="1" x14ac:dyDescent="0.2">
      <c r="B97" s="278" t="s">
        <v>34</v>
      </c>
      <c r="C97" s="155"/>
      <c r="D97" s="155"/>
      <c r="E97" s="155"/>
      <c r="F97" s="155"/>
      <c r="G97" s="29"/>
      <c r="K97" s="76"/>
    </row>
    <row r="98" spans="2:11" ht="13.5" customHeight="1" x14ac:dyDescent="0.2">
      <c r="B98" s="224" t="str">
        <f>B10</f>
        <v>2022. évi eredeti előirányzat</v>
      </c>
      <c r="C98" s="241">
        <f>SUM('2.működés'!C114)</f>
        <v>47204</v>
      </c>
      <c r="D98" s="241">
        <f>SUM('9.Hivatal'!R28)</f>
        <v>191084</v>
      </c>
      <c r="E98" s="240">
        <f t="shared" ref="E98:E103" si="34">SUM(D98)</f>
        <v>191084</v>
      </c>
      <c r="F98" s="240">
        <f t="shared" ref="F98:F103" si="35">SUM(C98+E98)</f>
        <v>238288</v>
      </c>
      <c r="G98" s="29"/>
      <c r="H98" s="576"/>
      <c r="I98" s="37">
        <f>SUM(E98+E105+E112+E119)</f>
        <v>242480</v>
      </c>
    </row>
    <row r="99" spans="2:11" ht="13.5" hidden="1" customHeight="1" x14ac:dyDescent="0.2">
      <c r="B99" s="224" t="str">
        <f>B71</f>
        <v>Módosított előirányzat 2022.06.hó</v>
      </c>
      <c r="C99" s="241">
        <f>SUM('2.működés'!D114)</f>
        <v>48465</v>
      </c>
      <c r="D99" s="241">
        <f>SUM('9.Hivatal'!S28)</f>
        <v>197223</v>
      </c>
      <c r="E99" s="240">
        <f t="shared" si="34"/>
        <v>197223</v>
      </c>
      <c r="F99" s="240">
        <f t="shared" si="35"/>
        <v>245688</v>
      </c>
      <c r="G99" s="29"/>
    </row>
    <row r="100" spans="2:11" ht="13.5" customHeight="1" x14ac:dyDescent="0.2">
      <c r="B100" s="224" t="str">
        <f>B72</f>
        <v>Módosított előirányzat 2022.10.hó</v>
      </c>
      <c r="C100" s="241">
        <f>SUM('2.működés'!E114)</f>
        <v>49563</v>
      </c>
      <c r="D100" s="241">
        <f>SUM('9.Hivatal'!T28)</f>
        <v>205057</v>
      </c>
      <c r="E100" s="240">
        <f t="shared" si="34"/>
        <v>205057</v>
      </c>
      <c r="F100" s="240">
        <f t="shared" si="35"/>
        <v>254620</v>
      </c>
      <c r="G100" s="29"/>
    </row>
    <row r="101" spans="2:11" ht="13.5" customHeight="1" x14ac:dyDescent="0.2">
      <c r="B101" s="224" t="str">
        <f>B73</f>
        <v>Módosított előirányzat 2022.12.31</v>
      </c>
      <c r="C101" s="241">
        <f>SUM('2.működés'!F114)</f>
        <v>50078</v>
      </c>
      <c r="D101" s="241">
        <f>SUM('9.Hivatal'!U28)</f>
        <v>217887</v>
      </c>
      <c r="E101" s="240">
        <f t="shared" si="34"/>
        <v>217887</v>
      </c>
      <c r="F101" s="240">
        <f t="shared" si="35"/>
        <v>267965</v>
      </c>
      <c r="G101" s="29"/>
    </row>
    <row r="102" spans="2:11" ht="13.5" hidden="1" customHeight="1" x14ac:dyDescent="0.2">
      <c r="B102" s="224" t="str">
        <f>B74</f>
        <v>Beszámoló előtti ei.mód.</v>
      </c>
      <c r="C102" s="241"/>
      <c r="D102" s="241"/>
      <c r="E102" s="240">
        <f t="shared" si="34"/>
        <v>0</v>
      </c>
      <c r="F102" s="240">
        <f t="shared" si="35"/>
        <v>0</v>
      </c>
      <c r="G102" s="29"/>
    </row>
    <row r="103" spans="2:11" hidden="1" x14ac:dyDescent="0.2">
      <c r="B103" s="224" t="str">
        <f>B75</f>
        <v>Teljesítés 2021.12.31.</v>
      </c>
      <c r="C103" s="241">
        <f>SUM('2.működés'!G114)</f>
        <v>47535</v>
      </c>
      <c r="D103" s="241">
        <f>SUM('9.Hivatal'!V28)</f>
        <v>186140</v>
      </c>
      <c r="E103" s="240">
        <f t="shared" si="34"/>
        <v>186140</v>
      </c>
      <c r="F103" s="240">
        <f t="shared" si="35"/>
        <v>233675</v>
      </c>
      <c r="G103" s="29"/>
    </row>
    <row r="104" spans="2:11" ht="14.25" customHeight="1" x14ac:dyDescent="0.2">
      <c r="B104" s="278" t="s">
        <v>456</v>
      </c>
      <c r="C104" s="241"/>
      <c r="D104" s="241"/>
      <c r="E104" s="240"/>
      <c r="F104" s="240"/>
      <c r="G104" s="28"/>
    </row>
    <row r="105" spans="2:11" ht="13.5" customHeight="1" x14ac:dyDescent="0.2">
      <c r="B105" s="224" t="str">
        <f t="shared" ref="B105:B110" si="36">B98</f>
        <v>2022. évi eredeti előirányzat</v>
      </c>
      <c r="C105" s="241">
        <f>SUM('2.működés'!C117)</f>
        <v>6431</v>
      </c>
      <c r="D105" s="241">
        <f>SUM('9.Hivatal'!R31)</f>
        <v>25390</v>
      </c>
      <c r="E105" s="240">
        <f t="shared" ref="E105:E110" si="37">SUM(D105)</f>
        <v>25390</v>
      </c>
      <c r="F105" s="240">
        <f t="shared" ref="F105:F110" si="38">SUM(C105+E105)</f>
        <v>31821</v>
      </c>
      <c r="G105" s="28"/>
    </row>
    <row r="106" spans="2:11" ht="13.5" hidden="1" customHeight="1" x14ac:dyDescent="0.2">
      <c r="B106" s="224" t="str">
        <f t="shared" si="36"/>
        <v>Módosított előirányzat 2022.06.hó</v>
      </c>
      <c r="C106" s="241">
        <f>SUM('2.működés'!D117)</f>
        <v>6526</v>
      </c>
      <c r="D106" s="241">
        <f>SUM('9.Hivatal'!S31)</f>
        <v>25390</v>
      </c>
      <c r="E106" s="240">
        <f t="shared" si="37"/>
        <v>25390</v>
      </c>
      <c r="F106" s="240">
        <f t="shared" si="38"/>
        <v>31916</v>
      </c>
      <c r="G106" s="28"/>
    </row>
    <row r="107" spans="2:11" ht="13.5" customHeight="1" x14ac:dyDescent="0.2">
      <c r="B107" s="224" t="str">
        <f t="shared" si="36"/>
        <v>Módosított előirányzat 2022.10.hó</v>
      </c>
      <c r="C107" s="241">
        <f>SUM('2.működés'!E117)</f>
        <v>6526</v>
      </c>
      <c r="D107" s="241">
        <f>SUM('9.Hivatal'!T31)</f>
        <v>26955</v>
      </c>
      <c r="E107" s="240">
        <f t="shared" si="37"/>
        <v>26955</v>
      </c>
      <c r="F107" s="240">
        <f t="shared" si="38"/>
        <v>33481</v>
      </c>
      <c r="G107" s="28"/>
    </row>
    <row r="108" spans="2:11" ht="13.5" customHeight="1" x14ac:dyDescent="0.2">
      <c r="B108" s="224" t="str">
        <f t="shared" si="36"/>
        <v>Módosított előirányzat 2022.12.31</v>
      </c>
      <c r="C108" s="241">
        <f>SUM('2.működés'!F117)</f>
        <v>6531</v>
      </c>
      <c r="D108" s="241">
        <f>SUM('9.Hivatal'!U31)</f>
        <v>28612</v>
      </c>
      <c r="E108" s="240">
        <f t="shared" si="37"/>
        <v>28612</v>
      </c>
      <c r="F108" s="240">
        <f t="shared" si="38"/>
        <v>35143</v>
      </c>
      <c r="G108" s="28"/>
    </row>
    <row r="109" spans="2:11" ht="13.5" hidden="1" customHeight="1" x14ac:dyDescent="0.2">
      <c r="B109" s="224" t="str">
        <f t="shared" si="36"/>
        <v>Beszámoló előtti ei.mód.</v>
      </c>
      <c r="C109" s="241"/>
      <c r="D109" s="241"/>
      <c r="E109" s="240">
        <f t="shared" si="37"/>
        <v>0</v>
      </c>
      <c r="F109" s="240">
        <f t="shared" si="38"/>
        <v>0</v>
      </c>
      <c r="G109" s="28"/>
    </row>
    <row r="110" spans="2:11" hidden="1" x14ac:dyDescent="0.2">
      <c r="B110" s="224" t="str">
        <f t="shared" si="36"/>
        <v>Teljesítés 2021.12.31.</v>
      </c>
      <c r="C110" s="241">
        <f>SUM('2.működés'!G117)</f>
        <v>6461</v>
      </c>
      <c r="D110" s="241">
        <f>SUM('9.Hivatal'!V31)</f>
        <v>25047</v>
      </c>
      <c r="E110" s="240">
        <f t="shared" si="37"/>
        <v>25047</v>
      </c>
      <c r="F110" s="240">
        <f t="shared" si="38"/>
        <v>31508</v>
      </c>
      <c r="G110" s="28"/>
    </row>
    <row r="111" spans="2:11" ht="13.5" customHeight="1" x14ac:dyDescent="0.2">
      <c r="B111" s="276" t="s">
        <v>39</v>
      </c>
      <c r="C111" s="241"/>
      <c r="D111" s="241"/>
      <c r="E111" s="240"/>
      <c r="F111" s="240"/>
      <c r="G111" s="28"/>
    </row>
    <row r="112" spans="2:11" ht="13.5" customHeight="1" x14ac:dyDescent="0.2">
      <c r="B112" s="224" t="str">
        <f t="shared" ref="B112:B117" si="39">B105</f>
        <v>2022. évi eredeti előirányzat</v>
      </c>
      <c r="C112" s="241">
        <f>SUM('2.működés'!C120)</f>
        <v>342213</v>
      </c>
      <c r="D112" s="241">
        <f>SUM('9.Hivatal'!R82)</f>
        <v>25006</v>
      </c>
      <c r="E112" s="240">
        <f t="shared" ref="E112:E117" si="40">SUM(D112)</f>
        <v>25006</v>
      </c>
      <c r="F112" s="240">
        <f t="shared" ref="F112:F117" si="41">SUM(C112+E112)</f>
        <v>367219</v>
      </c>
      <c r="G112" s="28"/>
    </row>
    <row r="113" spans="2:7" ht="13.5" hidden="1" customHeight="1" x14ac:dyDescent="0.2">
      <c r="B113" s="224" t="str">
        <f t="shared" si="39"/>
        <v>Módosított előirányzat 2022.06.hó</v>
      </c>
      <c r="C113" s="241">
        <f>SUM('2.működés'!D120)</f>
        <v>370392</v>
      </c>
      <c r="D113" s="241">
        <f>SUM('9.Hivatal'!S82)</f>
        <v>21846</v>
      </c>
      <c r="E113" s="240">
        <f t="shared" si="40"/>
        <v>21846</v>
      </c>
      <c r="F113" s="240">
        <f t="shared" si="41"/>
        <v>392238</v>
      </c>
      <c r="G113" s="28"/>
    </row>
    <row r="114" spans="2:7" ht="13.5" customHeight="1" x14ac:dyDescent="0.2">
      <c r="B114" s="224" t="str">
        <f t="shared" si="39"/>
        <v>Módosított előirányzat 2022.10.hó</v>
      </c>
      <c r="C114" s="241">
        <f>SUM('2.működés'!E120)</f>
        <v>415969</v>
      </c>
      <c r="D114" s="241">
        <f>SUM('9.Hivatal'!T82)</f>
        <v>23931</v>
      </c>
      <c r="E114" s="240">
        <f t="shared" si="40"/>
        <v>23931</v>
      </c>
      <c r="F114" s="240">
        <f t="shared" si="41"/>
        <v>439900</v>
      </c>
      <c r="G114" s="28"/>
    </row>
    <row r="115" spans="2:7" ht="13.5" customHeight="1" x14ac:dyDescent="0.2">
      <c r="B115" s="224" t="str">
        <f t="shared" si="39"/>
        <v>Módosított előirányzat 2022.12.31</v>
      </c>
      <c r="C115" s="241">
        <f>SUM('2.működés'!F120)</f>
        <v>419178</v>
      </c>
      <c r="D115" s="241">
        <f>SUM('9.Hivatal'!U82)</f>
        <v>28461</v>
      </c>
      <c r="E115" s="240">
        <f t="shared" si="40"/>
        <v>28461</v>
      </c>
      <c r="F115" s="240">
        <f t="shared" si="41"/>
        <v>447639</v>
      </c>
      <c r="G115" s="28"/>
    </row>
    <row r="116" spans="2:7" ht="13.5" hidden="1" customHeight="1" x14ac:dyDescent="0.2">
      <c r="B116" s="224" t="str">
        <f t="shared" si="39"/>
        <v>Beszámoló előtti ei.mód.</v>
      </c>
      <c r="C116" s="241"/>
      <c r="D116" s="241"/>
      <c r="E116" s="240">
        <f t="shared" si="40"/>
        <v>0</v>
      </c>
      <c r="F116" s="240">
        <f t="shared" si="41"/>
        <v>0</v>
      </c>
      <c r="G116" s="28"/>
    </row>
    <row r="117" spans="2:7" hidden="1" x14ac:dyDescent="0.2">
      <c r="B117" s="224" t="str">
        <f t="shared" si="39"/>
        <v>Teljesítés 2021.12.31.</v>
      </c>
      <c r="C117" s="241">
        <f>SUM('2.működés'!G120)</f>
        <v>159591</v>
      </c>
      <c r="D117" s="241">
        <f>SUM('9.Hivatal'!V82)</f>
        <v>25784</v>
      </c>
      <c r="E117" s="240">
        <f t="shared" si="40"/>
        <v>25784</v>
      </c>
      <c r="F117" s="240">
        <f t="shared" si="41"/>
        <v>185375</v>
      </c>
      <c r="G117" s="28"/>
    </row>
    <row r="118" spans="2:7" ht="25.5" customHeight="1" x14ac:dyDescent="0.2">
      <c r="B118" s="277" t="s">
        <v>371</v>
      </c>
      <c r="C118" s="241"/>
      <c r="D118" s="241"/>
      <c r="E118" s="240"/>
      <c r="F118" s="240"/>
      <c r="G118" s="28"/>
    </row>
    <row r="119" spans="2:7" ht="13.5" customHeight="1" x14ac:dyDescent="0.2">
      <c r="B119" s="224" t="str">
        <f t="shared" ref="B119:B124" si="42">B112</f>
        <v>2022. évi eredeti előirányzat</v>
      </c>
      <c r="C119" s="241">
        <f>SUM('3.felh'!C45+'3.felh'!C66)</f>
        <v>1097644</v>
      </c>
      <c r="D119" s="241">
        <f>SUM('9.Hivatal'!R86)</f>
        <v>1000</v>
      </c>
      <c r="E119" s="240">
        <f t="shared" ref="E119:E124" si="43">SUM(D119)</f>
        <v>1000</v>
      </c>
      <c r="F119" s="240">
        <f t="shared" ref="F119:F124" si="44">SUM(C119+E119)</f>
        <v>1098644</v>
      </c>
      <c r="G119" s="28"/>
    </row>
    <row r="120" spans="2:7" ht="13.5" hidden="1" customHeight="1" x14ac:dyDescent="0.2">
      <c r="B120" s="224" t="str">
        <f t="shared" si="42"/>
        <v>Módosított előirányzat 2022.06.hó</v>
      </c>
      <c r="C120" s="241">
        <f>SUM('3.felh'!D45+'3.felh'!D66)+'3.felh'!D79</f>
        <v>1176607</v>
      </c>
      <c r="D120" s="241">
        <f>SUM('9.Hivatal'!S86)</f>
        <v>1000</v>
      </c>
      <c r="E120" s="240">
        <f t="shared" si="43"/>
        <v>1000</v>
      </c>
      <c r="F120" s="240">
        <f t="shared" si="44"/>
        <v>1177607</v>
      </c>
      <c r="G120" s="28"/>
    </row>
    <row r="121" spans="2:7" ht="13.5" customHeight="1" x14ac:dyDescent="0.2">
      <c r="B121" s="224" t="str">
        <f t="shared" si="42"/>
        <v>Módosított előirányzat 2022.10.hó</v>
      </c>
      <c r="C121" s="241">
        <f>SUM('3.felh'!E45+'3.felh'!E66)+'3.felh'!E79+'3.felh'!E80</f>
        <v>1316981</v>
      </c>
      <c r="D121" s="241">
        <f>SUM('9.Hivatal'!T86)</f>
        <v>1000</v>
      </c>
      <c r="E121" s="240">
        <f t="shared" si="43"/>
        <v>1000</v>
      </c>
      <c r="F121" s="240">
        <f t="shared" si="44"/>
        <v>1317981</v>
      </c>
      <c r="G121" s="28"/>
    </row>
    <row r="122" spans="2:7" ht="13.5" customHeight="1" x14ac:dyDescent="0.2">
      <c r="B122" s="224" t="str">
        <f t="shared" si="42"/>
        <v>Módosított előirányzat 2022.12.31</v>
      </c>
      <c r="C122" s="241">
        <f>SUM('3.felh'!F45+'3.felh'!F66)+'3.felh'!F79</f>
        <v>1317658</v>
      </c>
      <c r="D122" s="241">
        <f>SUM('9.Hivatal'!U86)</f>
        <v>1000</v>
      </c>
      <c r="E122" s="240">
        <f t="shared" si="43"/>
        <v>1000</v>
      </c>
      <c r="F122" s="240">
        <f t="shared" si="44"/>
        <v>1318658</v>
      </c>
      <c r="G122" s="28"/>
    </row>
    <row r="123" spans="2:7" ht="13.5" hidden="1" customHeight="1" x14ac:dyDescent="0.2">
      <c r="B123" s="224" t="str">
        <f t="shared" si="42"/>
        <v>Beszámoló előtti ei.mód.</v>
      </c>
      <c r="C123" s="241"/>
      <c r="D123" s="241"/>
      <c r="E123" s="240">
        <f t="shared" si="43"/>
        <v>0</v>
      </c>
      <c r="F123" s="240">
        <f t="shared" si="44"/>
        <v>0</v>
      </c>
      <c r="G123" s="28"/>
    </row>
    <row r="124" spans="2:7" hidden="1" x14ac:dyDescent="0.2">
      <c r="B124" s="224" t="str">
        <f t="shared" si="42"/>
        <v>Teljesítés 2021.12.31.</v>
      </c>
      <c r="C124" s="241">
        <f>SUM('3.felh'!G45+'3.felh'!G66)</f>
        <v>1316619</v>
      </c>
      <c r="D124" s="241">
        <f>SUM('9.Hivatal'!V86)</f>
        <v>1007</v>
      </c>
      <c r="E124" s="240">
        <f t="shared" si="43"/>
        <v>1007</v>
      </c>
      <c r="F124" s="240">
        <f t="shared" si="44"/>
        <v>1317626</v>
      </c>
      <c r="G124" s="28"/>
    </row>
    <row r="125" spans="2:7" ht="13.5" customHeight="1" x14ac:dyDescent="0.2">
      <c r="B125" s="275" t="s">
        <v>459</v>
      </c>
      <c r="C125" s="241"/>
      <c r="D125" s="241"/>
      <c r="E125" s="240"/>
      <c r="F125" s="240"/>
      <c r="G125" s="28"/>
    </row>
    <row r="126" spans="2:7" ht="13.5" customHeight="1" x14ac:dyDescent="0.2">
      <c r="B126" s="224" t="str">
        <f t="shared" ref="B126:B131" si="45">B119</f>
        <v>2022. évi eredeti előirányzat</v>
      </c>
      <c r="C126" s="241">
        <f>SUM('8.Önk.'!BA97)</f>
        <v>9300</v>
      </c>
      <c r="D126" s="241"/>
      <c r="E126" s="240"/>
      <c r="F126" s="240">
        <f t="shared" ref="F126:F131" si="46">SUM(C126)</f>
        <v>9300</v>
      </c>
      <c r="G126" s="28"/>
    </row>
    <row r="127" spans="2:7" ht="13.5" hidden="1" customHeight="1" x14ac:dyDescent="0.2">
      <c r="B127" s="224" t="str">
        <f t="shared" si="45"/>
        <v>Módosított előirányzat 2022.06.hó</v>
      </c>
      <c r="C127" s="241">
        <f>SUM('8.Önk.'!BB97)</f>
        <v>9658</v>
      </c>
      <c r="D127" s="241"/>
      <c r="E127" s="240"/>
      <c r="F127" s="240">
        <f t="shared" si="46"/>
        <v>9658</v>
      </c>
      <c r="G127" s="28"/>
    </row>
    <row r="128" spans="2:7" ht="13.5" customHeight="1" x14ac:dyDescent="0.2">
      <c r="B128" s="224" t="str">
        <f t="shared" si="45"/>
        <v>Módosított előirányzat 2022.10.hó</v>
      </c>
      <c r="C128" s="241">
        <f>SUM('8.Önk.'!BC97)</f>
        <v>9658</v>
      </c>
      <c r="D128" s="241"/>
      <c r="E128" s="240"/>
      <c r="F128" s="240">
        <f t="shared" si="46"/>
        <v>9658</v>
      </c>
      <c r="G128" s="28"/>
    </row>
    <row r="129" spans="2:7" ht="13.5" customHeight="1" x14ac:dyDescent="0.2">
      <c r="B129" s="224" t="str">
        <f t="shared" si="45"/>
        <v>Módosított előirányzat 2022.12.31</v>
      </c>
      <c r="C129" s="241">
        <f>SUM('8.Önk.'!BD97)</f>
        <v>11408</v>
      </c>
      <c r="D129" s="241"/>
      <c r="E129" s="240"/>
      <c r="F129" s="240">
        <f t="shared" si="46"/>
        <v>11408</v>
      </c>
      <c r="G129" s="28"/>
    </row>
    <row r="130" spans="2:7" ht="13.5" hidden="1" customHeight="1" x14ac:dyDescent="0.2">
      <c r="B130" s="224" t="str">
        <f t="shared" si="45"/>
        <v>Beszámoló előtti ei.mód.</v>
      </c>
      <c r="C130" s="241"/>
      <c r="D130" s="241"/>
      <c r="E130" s="240"/>
      <c r="F130" s="240">
        <f t="shared" si="46"/>
        <v>0</v>
      </c>
      <c r="G130" s="28"/>
    </row>
    <row r="131" spans="2:7" hidden="1" x14ac:dyDescent="0.2">
      <c r="B131" s="224" t="str">
        <f t="shared" si="45"/>
        <v>Teljesítés 2021.12.31.</v>
      </c>
      <c r="C131" s="241">
        <f>SUM('8.Önk.'!BE97)</f>
        <v>9300</v>
      </c>
      <c r="D131" s="241"/>
      <c r="E131" s="240"/>
      <c r="F131" s="240">
        <f t="shared" si="46"/>
        <v>9300</v>
      </c>
      <c r="G131" s="28"/>
    </row>
    <row r="132" spans="2:7" ht="13.5" customHeight="1" x14ac:dyDescent="0.2">
      <c r="B132" s="276" t="s">
        <v>40</v>
      </c>
      <c r="C132" s="241"/>
      <c r="D132" s="241"/>
      <c r="E132" s="240"/>
      <c r="F132" s="240"/>
      <c r="G132" s="28"/>
    </row>
    <row r="133" spans="2:7" ht="13.5" customHeight="1" x14ac:dyDescent="0.2">
      <c r="B133" s="224" t="str">
        <f t="shared" ref="B133:B138" si="47">B126</f>
        <v>2022. évi eredeti előirányzat</v>
      </c>
      <c r="C133" s="241">
        <f>SUM('4. Átadott p.eszk.'!B74)</f>
        <v>471375</v>
      </c>
      <c r="D133" s="241">
        <f>'9.Hivatal'!R84</f>
        <v>0</v>
      </c>
      <c r="E133" s="240">
        <f t="shared" ref="E133:E138" si="48">SUM(D133)</f>
        <v>0</v>
      </c>
      <c r="F133" s="240">
        <f t="shared" ref="F133:F138" si="49">SUM(C133+E133)</f>
        <v>471375</v>
      </c>
      <c r="G133" s="28"/>
    </row>
    <row r="134" spans="2:7" ht="13.5" hidden="1" customHeight="1" x14ac:dyDescent="0.2">
      <c r="B134" s="224" t="str">
        <f t="shared" si="47"/>
        <v>Módosított előirányzat 2022.06.hó</v>
      </c>
      <c r="C134" s="241">
        <f>SUM('4. Átadott p.eszk.'!C74)</f>
        <v>481578</v>
      </c>
      <c r="D134" s="241">
        <f>'9.Hivatal'!S84</f>
        <v>0</v>
      </c>
      <c r="E134" s="240">
        <f t="shared" si="48"/>
        <v>0</v>
      </c>
      <c r="F134" s="240">
        <f t="shared" si="49"/>
        <v>481578</v>
      </c>
      <c r="G134" s="28"/>
    </row>
    <row r="135" spans="2:7" ht="13.5" customHeight="1" x14ac:dyDescent="0.2">
      <c r="B135" s="224" t="str">
        <f t="shared" si="47"/>
        <v>Módosított előirányzat 2022.10.hó</v>
      </c>
      <c r="C135" s="241">
        <f>SUM('4. Átadott p.eszk.'!D74)</f>
        <v>483553</v>
      </c>
      <c r="D135" s="241">
        <f>'9.Hivatal'!T84</f>
        <v>0</v>
      </c>
      <c r="E135" s="240">
        <f t="shared" si="48"/>
        <v>0</v>
      </c>
      <c r="F135" s="240">
        <f t="shared" si="49"/>
        <v>483553</v>
      </c>
      <c r="G135" s="28"/>
    </row>
    <row r="136" spans="2:7" ht="13.5" customHeight="1" x14ac:dyDescent="0.2">
      <c r="B136" s="224" t="str">
        <f t="shared" si="47"/>
        <v>Módosított előirányzat 2022.12.31</v>
      </c>
      <c r="C136" s="241">
        <f>SUM('4. Átadott p.eszk.'!E74)</f>
        <v>488104</v>
      </c>
      <c r="D136" s="241">
        <f>'9.Hivatal'!U84</f>
        <v>0</v>
      </c>
      <c r="E136" s="240">
        <f t="shared" si="48"/>
        <v>0</v>
      </c>
      <c r="F136" s="240">
        <f t="shared" si="49"/>
        <v>488104</v>
      </c>
      <c r="G136" s="28"/>
    </row>
    <row r="137" spans="2:7" ht="13.5" hidden="1" customHeight="1" x14ac:dyDescent="0.2">
      <c r="B137" s="224" t="str">
        <f t="shared" si="47"/>
        <v>Beszámoló előtti ei.mód.</v>
      </c>
      <c r="C137" s="241"/>
      <c r="D137" s="241"/>
      <c r="E137" s="240">
        <f t="shared" si="48"/>
        <v>0</v>
      </c>
      <c r="F137" s="240">
        <f t="shared" si="49"/>
        <v>0</v>
      </c>
      <c r="G137" s="28"/>
    </row>
    <row r="138" spans="2:7" hidden="1" x14ac:dyDescent="0.2">
      <c r="B138" s="224" t="str">
        <f t="shared" si="47"/>
        <v>Teljesítés 2021.12.31.</v>
      </c>
      <c r="C138" s="241">
        <f>SUM('4. Átadott p.eszk.'!F74)</f>
        <v>477319</v>
      </c>
      <c r="D138" s="241">
        <f>'9.Hivatal'!V84</f>
        <v>0</v>
      </c>
      <c r="E138" s="240">
        <f t="shared" si="48"/>
        <v>0</v>
      </c>
      <c r="F138" s="240">
        <f t="shared" si="49"/>
        <v>477319</v>
      </c>
      <c r="G138" s="28"/>
    </row>
    <row r="139" spans="2:7" ht="13.5" customHeight="1" x14ac:dyDescent="0.2">
      <c r="B139" s="276" t="s">
        <v>57</v>
      </c>
      <c r="C139" s="241"/>
      <c r="D139" s="241"/>
      <c r="E139" s="240"/>
      <c r="F139" s="240"/>
      <c r="G139" s="28"/>
    </row>
    <row r="140" spans="2:7" ht="13.5" customHeight="1" x14ac:dyDescent="0.2">
      <c r="B140" s="224" t="str">
        <f t="shared" ref="B140:B145" si="50">B133</f>
        <v>2022. évi eredeti előirányzat</v>
      </c>
      <c r="C140" s="241">
        <f>SUM('1.Bev-kiad.'!C78+-'7.finanszírozás.'!F76)</f>
        <v>254345</v>
      </c>
      <c r="D140" s="241"/>
      <c r="E140" s="240"/>
      <c r="F140" s="240">
        <f t="shared" ref="F140:F145" si="51">SUM(C140)</f>
        <v>254345</v>
      </c>
      <c r="G140" s="28"/>
    </row>
    <row r="141" spans="2:7" ht="13.5" hidden="1" customHeight="1" x14ac:dyDescent="0.2">
      <c r="B141" s="224" t="str">
        <f t="shared" si="50"/>
        <v>Módosított előirányzat 2022.06.hó</v>
      </c>
      <c r="C141" s="241">
        <f>SUM('1.Bev-kiad.'!D78+-'7.finanszírozás.'!F77)</f>
        <v>257293</v>
      </c>
      <c r="D141" s="241"/>
      <c r="E141" s="240"/>
      <c r="F141" s="240">
        <f t="shared" si="51"/>
        <v>257293</v>
      </c>
      <c r="G141" s="28"/>
    </row>
    <row r="142" spans="2:7" ht="13.5" customHeight="1" x14ac:dyDescent="0.2">
      <c r="B142" s="224" t="str">
        <f t="shared" si="50"/>
        <v>Módosított előirányzat 2022.10.hó</v>
      </c>
      <c r="C142" s="241">
        <f>SUM('1.Bev-kiad.'!E78+-'7.finanszírozás.'!F78)</f>
        <v>262204</v>
      </c>
      <c r="D142" s="241"/>
      <c r="E142" s="240"/>
      <c r="F142" s="240">
        <f t="shared" si="51"/>
        <v>262204</v>
      </c>
      <c r="G142" s="28"/>
    </row>
    <row r="143" spans="2:7" ht="13.5" customHeight="1" x14ac:dyDescent="0.2">
      <c r="B143" s="224" t="str">
        <f t="shared" si="50"/>
        <v>Módosított előirányzat 2022.12.31</v>
      </c>
      <c r="C143" s="241">
        <f>SUM('1.Bev-kiad.'!F78+-'7.finanszírozás.'!F79)</f>
        <v>281119</v>
      </c>
      <c r="D143" s="241"/>
      <c r="E143" s="240"/>
      <c r="F143" s="240">
        <f t="shared" si="51"/>
        <v>281119</v>
      </c>
      <c r="G143" s="28"/>
    </row>
    <row r="144" spans="2:7" ht="13.5" hidden="1" customHeight="1" x14ac:dyDescent="0.2">
      <c r="B144" s="224" t="str">
        <f t="shared" si="50"/>
        <v>Beszámoló előtti ei.mód.</v>
      </c>
      <c r="C144" s="241"/>
      <c r="D144" s="241"/>
      <c r="E144" s="240"/>
      <c r="F144" s="240">
        <f t="shared" si="51"/>
        <v>0</v>
      </c>
      <c r="G144" s="28"/>
    </row>
    <row r="145" spans="2:7" hidden="1" x14ac:dyDescent="0.2">
      <c r="B145" s="224" t="str">
        <f t="shared" si="50"/>
        <v>Teljesítés 2021.12.31.</v>
      </c>
      <c r="C145" s="241">
        <f>SUM('1.Bev-kiad.'!G78+-'7.finanszírozás.'!F81)</f>
        <v>250578</v>
      </c>
      <c r="D145" s="241"/>
      <c r="E145" s="240"/>
      <c r="F145" s="240">
        <f t="shared" si="51"/>
        <v>250578</v>
      </c>
      <c r="G145" s="28"/>
    </row>
    <row r="146" spans="2:7" ht="13.5" customHeight="1" x14ac:dyDescent="0.2">
      <c r="B146" s="275" t="s">
        <v>372</v>
      </c>
      <c r="C146" s="241"/>
      <c r="D146" s="241"/>
      <c r="E146" s="240"/>
      <c r="F146" s="240"/>
      <c r="G146" s="28"/>
    </row>
    <row r="147" spans="2:7" ht="13.5" customHeight="1" x14ac:dyDescent="0.2">
      <c r="B147" s="224" t="str">
        <f t="shared" ref="B147:B152" si="52">B140</f>
        <v>2022. évi eredeti előirányzat</v>
      </c>
      <c r="C147" s="241">
        <f>SUM('1.Bev-kiad.'!C68+'1.Bev-kiad.'!C73)</f>
        <v>193582</v>
      </c>
      <c r="D147" s="241"/>
      <c r="E147" s="240"/>
      <c r="F147" s="240">
        <f t="shared" ref="F147:F152" si="53">SUM(C147)</f>
        <v>193582</v>
      </c>
      <c r="G147" s="28"/>
    </row>
    <row r="148" spans="2:7" ht="13.5" hidden="1" customHeight="1" x14ac:dyDescent="0.2">
      <c r="B148" s="224" t="str">
        <f t="shared" si="52"/>
        <v>Módosított előirányzat 2022.06.hó</v>
      </c>
      <c r="C148" s="241">
        <f>SUM('1.Bev-kiad.'!D68+'1.Bev-kiad.'!D76)</f>
        <v>438664</v>
      </c>
      <c r="D148" s="241"/>
      <c r="E148" s="240"/>
      <c r="F148" s="240">
        <f t="shared" si="53"/>
        <v>438664</v>
      </c>
      <c r="G148" s="28"/>
    </row>
    <row r="149" spans="2:7" ht="13.5" customHeight="1" x14ac:dyDescent="0.2">
      <c r="B149" s="224" t="str">
        <f t="shared" si="52"/>
        <v>Módosított előirányzat 2022.10.hó</v>
      </c>
      <c r="C149" s="241">
        <f>SUM('1.Bev-kiad.'!E68+'1.Bev-kiad.'!E76)</f>
        <v>348307</v>
      </c>
      <c r="D149" s="241"/>
      <c r="E149" s="240"/>
      <c r="F149" s="240">
        <f t="shared" si="53"/>
        <v>348307</v>
      </c>
      <c r="G149" s="28"/>
    </row>
    <row r="150" spans="2:7" ht="13.5" customHeight="1" x14ac:dyDescent="0.2">
      <c r="B150" s="224" t="str">
        <f t="shared" si="52"/>
        <v>Módosított előirányzat 2022.12.31</v>
      </c>
      <c r="C150" s="241">
        <f>SUM('1.Bev-kiad.'!F68+'1.Bev-kiad.'!F76)</f>
        <v>377590</v>
      </c>
      <c r="D150" s="241"/>
      <c r="E150" s="240"/>
      <c r="F150" s="240">
        <f t="shared" si="53"/>
        <v>377590</v>
      </c>
      <c r="G150" s="28"/>
    </row>
    <row r="151" spans="2:7" ht="13.5" hidden="1" customHeight="1" x14ac:dyDescent="0.2">
      <c r="B151" s="224" t="str">
        <f t="shared" si="52"/>
        <v>Beszámoló előtti ei.mód.</v>
      </c>
      <c r="C151" s="241"/>
      <c r="D151" s="241"/>
      <c r="E151" s="240"/>
      <c r="F151" s="240">
        <f t="shared" si="53"/>
        <v>0</v>
      </c>
      <c r="G151" s="28"/>
    </row>
    <row r="152" spans="2:7" hidden="1" x14ac:dyDescent="0.2">
      <c r="B152" s="224" t="str">
        <f t="shared" si="52"/>
        <v>Teljesítés 2021.12.31.</v>
      </c>
      <c r="C152" s="241">
        <f>SUM('1.Bev-kiad.'!G68+'1.Bev-kiad.'!G73)</f>
        <v>309308</v>
      </c>
      <c r="D152" s="241"/>
      <c r="E152" s="240"/>
      <c r="F152" s="240">
        <f t="shared" si="53"/>
        <v>309308</v>
      </c>
      <c r="G152" s="28"/>
    </row>
    <row r="153" spans="2:7" x14ac:dyDescent="0.2">
      <c r="C153" s="9"/>
      <c r="D153" s="9"/>
    </row>
  </sheetData>
  <mergeCells count="5">
    <mergeCell ref="F7:F8"/>
    <mergeCell ref="B5:F5"/>
    <mergeCell ref="B7:B8"/>
    <mergeCell ref="C7:C8"/>
    <mergeCell ref="E7:E8"/>
  </mergeCells>
  <pageMargins left="0.36" right="0.16" top="0.27559055118110237" bottom="0.15748031496062992" header="0.15748031496062992" footer="0.15748031496062992"/>
  <pageSetup paperSize="9" scale="85" orientation="portrait" r:id="rId1"/>
  <rowBreaks count="1" manualBreakCount="1">
    <brk id="82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G303"/>
  <sheetViews>
    <sheetView zoomScale="90" zoomScaleNormal="90" zoomScaleSheetLayoutView="80" zoomScalePageLayoutView="80" workbookViewId="0">
      <selection activeCell="Z89" sqref="Z89"/>
    </sheetView>
  </sheetViews>
  <sheetFormatPr defaultRowHeight="12.75" x14ac:dyDescent="0.2"/>
  <cols>
    <col min="1" max="1" width="5.140625" style="172" customWidth="1"/>
    <col min="2" max="2" width="54.85546875" customWidth="1"/>
    <col min="3" max="3" width="11.5703125" customWidth="1"/>
    <col min="4" max="4" width="11.5703125" hidden="1" customWidth="1"/>
    <col min="5" max="6" width="11.5703125" customWidth="1"/>
    <col min="7" max="7" width="11.5703125" hidden="1" customWidth="1"/>
    <col min="8" max="8" width="11.28515625" style="9" customWidth="1"/>
    <col min="9" max="9" width="9.140625" style="9" hidden="1" customWidth="1"/>
    <col min="10" max="10" width="9.140625" style="9" customWidth="1"/>
    <col min="11" max="11" width="10.140625" style="9" customWidth="1"/>
    <col min="12" max="12" width="10.140625" hidden="1" customWidth="1"/>
    <col min="13" max="13" width="9.7109375" customWidth="1"/>
    <col min="14" max="14" width="8.85546875" hidden="1" customWidth="1"/>
    <col min="15" max="15" width="8.85546875" customWidth="1"/>
    <col min="16" max="16" width="10.140625" customWidth="1"/>
    <col min="17" max="17" width="10.140625" hidden="1" customWidth="1"/>
    <col min="18" max="18" width="11.42578125" customWidth="1"/>
    <col min="19" max="19" width="8.85546875" hidden="1" customWidth="1"/>
    <col min="20" max="20" width="8.85546875" customWidth="1"/>
    <col min="21" max="21" width="10.140625" customWidth="1"/>
    <col min="22" max="22" width="10.140625" hidden="1" customWidth="1"/>
    <col min="23" max="23" width="10" customWidth="1"/>
    <col min="24" max="24" width="10.140625" hidden="1" customWidth="1"/>
    <col min="25" max="25" width="9.7109375" customWidth="1"/>
    <col min="26" max="26" width="10.140625" customWidth="1"/>
    <col min="27" max="27" width="10.140625" hidden="1" customWidth="1"/>
    <col min="28" max="28" width="9.42578125" customWidth="1"/>
    <col min="29" max="29" width="8.28515625" hidden="1" customWidth="1"/>
    <col min="30" max="30" width="8.28515625" customWidth="1"/>
    <col min="31" max="31" width="10.140625" customWidth="1"/>
    <col min="32" max="32" width="10.140625" hidden="1" customWidth="1"/>
    <col min="33" max="33" width="10" customWidth="1"/>
    <col min="34" max="34" width="8.85546875" hidden="1" customWidth="1"/>
    <col min="35" max="35" width="8.85546875" customWidth="1"/>
    <col min="36" max="36" width="10.140625" customWidth="1"/>
    <col min="37" max="37" width="10.140625" hidden="1" customWidth="1"/>
    <col min="38" max="38" width="9.5703125" customWidth="1"/>
    <col min="39" max="39" width="8.7109375" hidden="1" customWidth="1"/>
    <col min="40" max="40" width="8.7109375" customWidth="1"/>
    <col min="41" max="41" width="10.140625" customWidth="1"/>
    <col min="42" max="42" width="10.140625" hidden="1" customWidth="1"/>
    <col min="43" max="43" width="9.28515625" customWidth="1"/>
    <col min="44" max="44" width="9.28515625" hidden="1" customWidth="1"/>
    <col min="45" max="45" width="9.28515625" customWidth="1"/>
    <col min="46" max="46" width="10.140625" customWidth="1"/>
    <col min="47" max="47" width="10.140625" hidden="1" customWidth="1"/>
    <col min="48" max="48" width="9.42578125" customWidth="1"/>
    <col min="49" max="49" width="8.7109375" hidden="1" customWidth="1"/>
    <col min="50" max="50" width="8.7109375" customWidth="1"/>
    <col min="51" max="51" width="10.140625" customWidth="1"/>
    <col min="52" max="52" width="10.140625" hidden="1" customWidth="1"/>
    <col min="53" max="53" width="12.85546875" bestFit="1" customWidth="1"/>
    <col min="54" max="54" width="12.85546875" hidden="1" customWidth="1"/>
    <col min="55" max="55" width="11.28515625" customWidth="1"/>
    <col min="56" max="56" width="11.7109375" customWidth="1"/>
    <col min="57" max="57" width="11.7109375" hidden="1" customWidth="1"/>
    <col min="58" max="58" width="7.140625" style="9" hidden="1" customWidth="1"/>
    <col min="59" max="59" width="4.5703125" customWidth="1"/>
  </cols>
  <sheetData>
    <row r="1" spans="1:59" x14ac:dyDescent="0.2">
      <c r="A1" s="282"/>
      <c r="B1" s="1"/>
      <c r="C1" s="58"/>
      <c r="D1" s="58"/>
      <c r="E1" s="58"/>
      <c r="F1" s="58"/>
      <c r="G1" s="58"/>
      <c r="Z1" s="112" t="s">
        <v>373</v>
      </c>
      <c r="BE1" s="55"/>
    </row>
    <row r="2" spans="1:59" x14ac:dyDescent="0.2">
      <c r="A2" s="282"/>
      <c r="B2" s="1"/>
      <c r="C2" s="58"/>
      <c r="D2" s="58"/>
      <c r="E2" s="58"/>
      <c r="F2" s="58"/>
      <c r="G2" s="58"/>
      <c r="Z2" s="608" t="str">
        <f>'1.Bev-kiad.'!F2</f>
        <v>a 11/2023.(V.26.) önkormányzati rendelethez</v>
      </c>
      <c r="BE2" s="55"/>
    </row>
    <row r="3" spans="1:59" x14ac:dyDescent="0.2">
      <c r="A3" s="282"/>
      <c r="B3" s="1"/>
      <c r="C3" s="58"/>
      <c r="D3" s="58"/>
      <c r="E3" s="58"/>
      <c r="F3" s="58"/>
      <c r="G3" s="58"/>
      <c r="X3" s="608"/>
      <c r="Z3" s="183" t="s">
        <v>1302</v>
      </c>
      <c r="BE3" s="55"/>
    </row>
    <row r="4" spans="1:59" x14ac:dyDescent="0.2">
      <c r="A4" s="282"/>
      <c r="B4" s="1"/>
      <c r="C4" s="58"/>
      <c r="D4" s="58"/>
      <c r="E4" s="58"/>
      <c r="F4" s="58"/>
      <c r="G4" s="58"/>
      <c r="X4" s="608"/>
      <c r="Y4" s="183"/>
      <c r="AC4" s="183"/>
      <c r="BE4" s="55"/>
    </row>
    <row r="5" spans="1:59" ht="15.75" x14ac:dyDescent="0.25">
      <c r="A5"/>
      <c r="B5" s="773"/>
      <c r="C5" s="828" t="s">
        <v>93</v>
      </c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8"/>
      <c r="O5" s="828"/>
      <c r="P5" s="828"/>
      <c r="Q5" s="828"/>
      <c r="R5" s="828"/>
      <c r="S5" s="828"/>
      <c r="T5" s="828"/>
      <c r="U5" s="828"/>
      <c r="V5" s="828"/>
      <c r="W5" s="828"/>
      <c r="X5" s="828"/>
      <c r="Y5" s="828"/>
      <c r="Z5" s="828"/>
      <c r="AA5" s="828"/>
      <c r="AB5" s="828"/>
      <c r="AC5" s="828"/>
      <c r="AD5" s="773"/>
      <c r="AE5" s="773"/>
      <c r="AF5" s="773"/>
      <c r="AG5" s="773"/>
      <c r="AH5" s="773"/>
      <c r="AI5" s="773"/>
      <c r="AJ5" s="773"/>
      <c r="AK5" s="773"/>
      <c r="AL5" s="773"/>
      <c r="AM5" s="773"/>
      <c r="AN5" s="773"/>
      <c r="AO5" s="773"/>
      <c r="AP5" s="773"/>
      <c r="AQ5" s="773"/>
      <c r="AR5" s="773"/>
      <c r="AS5" s="773"/>
      <c r="AT5" s="773"/>
      <c r="AU5" s="773"/>
      <c r="AV5" s="773"/>
      <c r="AW5" s="773"/>
      <c r="AX5" s="773"/>
      <c r="AY5" s="773"/>
      <c r="AZ5" s="773"/>
      <c r="BA5" s="773"/>
      <c r="BB5" s="773"/>
      <c r="BC5" s="773"/>
    </row>
    <row r="6" spans="1:59" ht="15.75" x14ac:dyDescent="0.25">
      <c r="A6"/>
      <c r="B6" s="773"/>
      <c r="C6" s="828" t="s">
        <v>1149</v>
      </c>
      <c r="D6" s="828"/>
      <c r="E6" s="828"/>
      <c r="F6" s="828"/>
      <c r="G6" s="828"/>
      <c r="H6" s="828"/>
      <c r="I6" s="828"/>
      <c r="J6" s="828"/>
      <c r="K6" s="828"/>
      <c r="L6" s="828"/>
      <c r="M6" s="828"/>
      <c r="N6" s="828"/>
      <c r="O6" s="828"/>
      <c r="P6" s="828"/>
      <c r="Q6" s="828"/>
      <c r="R6" s="828"/>
      <c r="S6" s="828"/>
      <c r="T6" s="828"/>
      <c r="U6" s="828"/>
      <c r="V6" s="828"/>
      <c r="W6" s="828"/>
      <c r="X6" s="828"/>
      <c r="Y6" s="828"/>
      <c r="Z6" s="828"/>
      <c r="AA6" s="828"/>
      <c r="AB6" s="828"/>
      <c r="AC6" s="828"/>
      <c r="AD6" s="773"/>
      <c r="AE6" s="773"/>
      <c r="AF6" s="773"/>
      <c r="AG6" s="773"/>
      <c r="AH6" s="773"/>
      <c r="AI6" s="773"/>
      <c r="AJ6" s="773"/>
      <c r="AK6" s="773"/>
      <c r="AL6" s="773"/>
      <c r="AM6" s="773"/>
      <c r="AN6" s="773"/>
      <c r="AO6" s="773"/>
      <c r="AP6" s="773"/>
      <c r="AQ6" s="773"/>
      <c r="AR6" s="773"/>
      <c r="AS6" s="773"/>
      <c r="AT6" s="773"/>
      <c r="AU6" s="773"/>
      <c r="AV6" s="773"/>
      <c r="AW6" s="773"/>
      <c r="AX6" s="773"/>
      <c r="AY6" s="773"/>
      <c r="AZ6" s="773"/>
      <c r="BA6" s="773"/>
      <c r="BB6" s="773"/>
      <c r="BC6" s="773"/>
    </row>
    <row r="7" spans="1:59" ht="15.75" x14ac:dyDescent="0.25">
      <c r="A7"/>
      <c r="B7" s="773"/>
      <c r="C7" s="828" t="s">
        <v>320</v>
      </c>
      <c r="D7" s="828"/>
      <c r="E7" s="828"/>
      <c r="F7" s="828"/>
      <c r="G7" s="828"/>
      <c r="H7" s="828"/>
      <c r="I7" s="828"/>
      <c r="J7" s="828"/>
      <c r="K7" s="828"/>
      <c r="L7" s="828"/>
      <c r="M7" s="828"/>
      <c r="N7" s="828"/>
      <c r="O7" s="828"/>
      <c r="P7" s="828"/>
      <c r="Q7" s="828"/>
      <c r="R7" s="828"/>
      <c r="S7" s="828"/>
      <c r="T7" s="828"/>
      <c r="U7" s="828"/>
      <c r="V7" s="828"/>
      <c r="W7" s="828"/>
      <c r="X7" s="828"/>
      <c r="Y7" s="828"/>
      <c r="Z7" s="828"/>
      <c r="AA7" s="828"/>
      <c r="AB7" s="828"/>
      <c r="AC7" s="828"/>
      <c r="AD7" s="773"/>
      <c r="AE7" s="773"/>
      <c r="AF7" s="773"/>
      <c r="AG7" s="773"/>
      <c r="AH7" s="773"/>
      <c r="AI7" s="773"/>
      <c r="AJ7" s="773"/>
      <c r="AK7" s="773"/>
      <c r="AL7" s="773"/>
      <c r="AM7" s="773"/>
      <c r="AN7" s="773"/>
      <c r="AO7" s="773"/>
      <c r="AP7" s="773"/>
      <c r="AQ7" s="773"/>
      <c r="AR7" s="773"/>
      <c r="AS7" s="773"/>
      <c r="AT7" s="773"/>
      <c r="AU7" s="773"/>
      <c r="AV7" s="773"/>
      <c r="AW7" s="773"/>
      <c r="AX7" s="773"/>
      <c r="AY7" s="773"/>
      <c r="AZ7" s="773"/>
      <c r="BA7" s="773"/>
      <c r="BB7" s="773"/>
      <c r="BC7" s="773"/>
    </row>
    <row r="8" spans="1:59" x14ac:dyDescent="0.2">
      <c r="B8" s="207">
        <v>27790</v>
      </c>
      <c r="C8" s="269"/>
      <c r="D8" s="269"/>
      <c r="E8" s="269"/>
      <c r="F8" s="269"/>
      <c r="G8" s="269"/>
      <c r="H8" s="184"/>
      <c r="I8" s="184"/>
      <c r="J8" s="184"/>
      <c r="K8" s="184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D8" s="10" t="s">
        <v>0</v>
      </c>
    </row>
    <row r="9" spans="1:59" ht="60.75" customHeight="1" x14ac:dyDescent="0.2">
      <c r="A9" s="829" t="s">
        <v>120</v>
      </c>
      <c r="B9" s="831" t="s">
        <v>29</v>
      </c>
      <c r="C9" s="832" t="s">
        <v>1328</v>
      </c>
      <c r="D9" s="833"/>
      <c r="E9" s="833"/>
      <c r="F9" s="833"/>
      <c r="G9" s="834"/>
      <c r="H9" s="832" t="s">
        <v>1021</v>
      </c>
      <c r="I9" s="833"/>
      <c r="J9" s="833"/>
      <c r="K9" s="833"/>
      <c r="L9" s="833"/>
      <c r="M9" s="832" t="s">
        <v>118</v>
      </c>
      <c r="N9" s="833"/>
      <c r="O9" s="833"/>
      <c r="P9" s="833"/>
      <c r="Q9" s="834"/>
      <c r="R9" s="832" t="s">
        <v>1107</v>
      </c>
      <c r="S9" s="833"/>
      <c r="T9" s="833"/>
      <c r="U9" s="833"/>
      <c r="V9" s="833"/>
      <c r="W9" s="832" t="s">
        <v>319</v>
      </c>
      <c r="X9" s="833"/>
      <c r="Y9" s="833"/>
      <c r="Z9" s="833"/>
      <c r="AA9" s="834"/>
      <c r="AB9" s="832" t="s">
        <v>503</v>
      </c>
      <c r="AC9" s="833"/>
      <c r="AD9" s="833"/>
      <c r="AE9" s="833"/>
      <c r="AF9" s="834"/>
      <c r="AG9" s="832" t="s">
        <v>451</v>
      </c>
      <c r="AH9" s="833"/>
      <c r="AI9" s="833"/>
      <c r="AJ9" s="833"/>
      <c r="AK9" s="834"/>
      <c r="AL9" s="832" t="s">
        <v>788</v>
      </c>
      <c r="AM9" s="833"/>
      <c r="AN9" s="833"/>
      <c r="AO9" s="833"/>
      <c r="AP9" s="834"/>
      <c r="AQ9" s="832" t="s">
        <v>119</v>
      </c>
      <c r="AR9" s="833"/>
      <c r="AS9" s="833"/>
      <c r="AT9" s="833"/>
      <c r="AU9" s="834"/>
      <c r="AV9" s="832" t="s">
        <v>1422</v>
      </c>
      <c r="AW9" s="833"/>
      <c r="AX9" s="833"/>
      <c r="AY9" s="833"/>
      <c r="AZ9" s="834"/>
      <c r="BA9" s="835" t="s">
        <v>32</v>
      </c>
      <c r="BB9" s="836"/>
      <c r="BC9" s="836"/>
      <c r="BD9" s="836"/>
      <c r="BE9" s="837"/>
    </row>
    <row r="10" spans="1:59" ht="53.25" customHeight="1" x14ac:dyDescent="0.2">
      <c r="A10" s="830"/>
      <c r="B10" s="830"/>
      <c r="C10" s="536" t="s">
        <v>904</v>
      </c>
      <c r="D10" s="536" t="s">
        <v>1227</v>
      </c>
      <c r="E10" s="536" t="s">
        <v>1327</v>
      </c>
      <c r="F10" s="536" t="s">
        <v>1401</v>
      </c>
      <c r="G10" s="536" t="s">
        <v>1400</v>
      </c>
      <c r="H10" s="536" t="str">
        <f>C10</f>
        <v>2022. évi eredeti előirányzat</v>
      </c>
      <c r="I10" s="536" t="str">
        <f>D10</f>
        <v>mód.ei.          2022.06.hó</v>
      </c>
      <c r="J10" s="536" t="str">
        <f>E10</f>
        <v>mód.ei.          2022.10.hó</v>
      </c>
      <c r="K10" s="536" t="str">
        <f>F10</f>
        <v>mód.ei. 2022.12.31</v>
      </c>
      <c r="L10" s="536" t="str">
        <f>G10</f>
        <v>teljesítés 2022.12.31</v>
      </c>
      <c r="M10" s="536" t="str">
        <f>C10</f>
        <v>2022. évi eredeti előirányzat</v>
      </c>
      <c r="N10" s="536" t="str">
        <f>D10</f>
        <v>mód.ei.          2022.06.hó</v>
      </c>
      <c r="O10" s="536" t="str">
        <f>E10</f>
        <v>mód.ei.          2022.10.hó</v>
      </c>
      <c r="P10" s="536" t="str">
        <f>F10</f>
        <v>mód.ei. 2022.12.31</v>
      </c>
      <c r="Q10" s="536" t="str">
        <f>G10</f>
        <v>teljesítés 2022.12.31</v>
      </c>
      <c r="R10" s="536" t="str">
        <f>C10</f>
        <v>2022. évi eredeti előirányzat</v>
      </c>
      <c r="S10" s="536" t="str">
        <f>D10</f>
        <v>mód.ei.          2022.06.hó</v>
      </c>
      <c r="T10" s="536" t="str">
        <f>E10</f>
        <v>mód.ei.          2022.10.hó</v>
      </c>
      <c r="U10" s="536" t="str">
        <f>F10</f>
        <v>mód.ei. 2022.12.31</v>
      </c>
      <c r="V10" s="536" t="str">
        <f>G10</f>
        <v>teljesítés 2022.12.31</v>
      </c>
      <c r="W10" s="536" t="str">
        <f>C10</f>
        <v>2022. évi eredeti előirányzat</v>
      </c>
      <c r="X10" s="536" t="str">
        <f>D10</f>
        <v>mód.ei.          2022.06.hó</v>
      </c>
      <c r="Y10" s="536" t="str">
        <f>E10</f>
        <v>mód.ei.          2022.10.hó</v>
      </c>
      <c r="Z10" s="536" t="str">
        <f>F10</f>
        <v>mód.ei. 2022.12.31</v>
      </c>
      <c r="AA10" s="536" t="str">
        <f>G10</f>
        <v>teljesítés 2022.12.31</v>
      </c>
      <c r="AB10" s="536" t="str">
        <f>C10</f>
        <v>2022. évi eredeti előirányzat</v>
      </c>
      <c r="AC10" s="536" t="str">
        <f>D10</f>
        <v>mód.ei.          2022.06.hó</v>
      </c>
      <c r="AD10" s="536" t="str">
        <f>E10</f>
        <v>mód.ei.          2022.10.hó</v>
      </c>
      <c r="AE10" s="536" t="str">
        <f>F10</f>
        <v>mód.ei. 2022.12.31</v>
      </c>
      <c r="AF10" s="536" t="str">
        <f>G10</f>
        <v>teljesítés 2022.12.31</v>
      </c>
      <c r="AG10" s="536" t="str">
        <f>C10</f>
        <v>2022. évi eredeti előirányzat</v>
      </c>
      <c r="AH10" s="536" t="str">
        <f>D10</f>
        <v>mód.ei.          2022.06.hó</v>
      </c>
      <c r="AI10" s="536" t="str">
        <f>E10</f>
        <v>mód.ei.          2022.10.hó</v>
      </c>
      <c r="AJ10" s="536" t="str">
        <f>F10</f>
        <v>mód.ei. 2022.12.31</v>
      </c>
      <c r="AK10" s="536" t="str">
        <f>G10</f>
        <v>teljesítés 2022.12.31</v>
      </c>
      <c r="AL10" s="536" t="str">
        <f>C10</f>
        <v>2022. évi eredeti előirányzat</v>
      </c>
      <c r="AM10" s="536" t="str">
        <f>D10</f>
        <v>mód.ei.          2022.06.hó</v>
      </c>
      <c r="AN10" s="536" t="str">
        <f>E10</f>
        <v>mód.ei.          2022.10.hó</v>
      </c>
      <c r="AO10" s="536" t="str">
        <f>F10</f>
        <v>mód.ei. 2022.12.31</v>
      </c>
      <c r="AP10" s="536" t="str">
        <f>G10</f>
        <v>teljesítés 2022.12.31</v>
      </c>
      <c r="AQ10" s="536" t="str">
        <f>C10</f>
        <v>2022. évi eredeti előirányzat</v>
      </c>
      <c r="AR10" s="536" t="str">
        <f>D10</f>
        <v>mód.ei.          2022.06.hó</v>
      </c>
      <c r="AS10" s="536" t="str">
        <f>E10</f>
        <v>mód.ei.          2022.10.hó</v>
      </c>
      <c r="AT10" s="536" t="str">
        <f>F10</f>
        <v>mód.ei. 2022.12.31</v>
      </c>
      <c r="AU10" s="536" t="str">
        <f>G10</f>
        <v>teljesítés 2022.12.31</v>
      </c>
      <c r="AV10" s="536" t="str">
        <f>C10</f>
        <v>2022. évi eredeti előirányzat</v>
      </c>
      <c r="AW10" s="536" t="str">
        <f>D10</f>
        <v>mód.ei.          2022.06.hó</v>
      </c>
      <c r="AX10" s="536" t="str">
        <f>E10</f>
        <v>mód.ei.          2022.10.hó</v>
      </c>
      <c r="AY10" s="536" t="str">
        <f>F10</f>
        <v>mód.ei. 2022.12.31</v>
      </c>
      <c r="AZ10" s="536" t="str">
        <f>G10</f>
        <v>teljesítés 2022.12.31</v>
      </c>
      <c r="BA10" s="557" t="str">
        <f>C10</f>
        <v>2022. évi eredeti előirányzat</v>
      </c>
      <c r="BB10" s="557" t="str">
        <f>D10</f>
        <v>mód.ei.          2022.06.hó</v>
      </c>
      <c r="BC10" s="557" t="str">
        <f>E10</f>
        <v>mód.ei.          2022.10.hó</v>
      </c>
      <c r="BD10" s="557" t="str">
        <f>F10</f>
        <v>mód.ei. 2022.12.31</v>
      </c>
      <c r="BE10" s="557" t="str">
        <f>G10</f>
        <v>teljesítés 2022.12.31</v>
      </c>
      <c r="BF10" s="318"/>
    </row>
    <row r="11" spans="1:59" x14ac:dyDescent="0.2">
      <c r="A11" s="283" t="s">
        <v>298</v>
      </c>
      <c r="B11" s="16" t="s">
        <v>299</v>
      </c>
      <c r="C11" s="262">
        <f t="shared" ref="C11:AH11" si="0">SUM(C12:C17)</f>
        <v>0</v>
      </c>
      <c r="D11" s="262">
        <f>SUM(D12:D17)</f>
        <v>0</v>
      </c>
      <c r="E11" s="262">
        <f t="shared" si="0"/>
        <v>0</v>
      </c>
      <c r="F11" s="262">
        <f t="shared" ref="F11" si="1">SUM(F12:F17)</f>
        <v>0</v>
      </c>
      <c r="G11" s="262">
        <f t="shared" si="0"/>
        <v>0</v>
      </c>
      <c r="H11" s="262">
        <f t="shared" si="0"/>
        <v>9612</v>
      </c>
      <c r="I11" s="262">
        <f t="shared" ref="I11:L11" si="2">SUM(I12:I17)</f>
        <v>9853</v>
      </c>
      <c r="J11" s="262">
        <f t="shared" si="2"/>
        <v>9184</v>
      </c>
      <c r="K11" s="262">
        <f t="shared" ref="K11" si="3">SUM(K12:K17)</f>
        <v>9200</v>
      </c>
      <c r="L11" s="262">
        <f t="shared" si="2"/>
        <v>9612</v>
      </c>
      <c r="M11" s="262">
        <f t="shared" si="0"/>
        <v>0</v>
      </c>
      <c r="N11" s="262">
        <f t="shared" si="0"/>
        <v>0</v>
      </c>
      <c r="O11" s="262">
        <f t="shared" si="0"/>
        <v>0</v>
      </c>
      <c r="P11" s="262">
        <f t="shared" ref="P11" si="4">SUM(P12:P17)</f>
        <v>0</v>
      </c>
      <c r="Q11" s="262">
        <f t="shared" si="0"/>
        <v>0</v>
      </c>
      <c r="R11" s="262">
        <f t="shared" si="0"/>
        <v>0</v>
      </c>
      <c r="S11" s="262">
        <f t="shared" ref="S11:V11" si="5">SUM(S12:S17)</f>
        <v>0</v>
      </c>
      <c r="T11" s="262">
        <f t="shared" si="5"/>
        <v>0</v>
      </c>
      <c r="U11" s="262">
        <f t="shared" ref="U11" si="6">SUM(U12:U17)</f>
        <v>0</v>
      </c>
      <c r="V11" s="262">
        <f t="shared" si="5"/>
        <v>0</v>
      </c>
      <c r="W11" s="262">
        <f t="shared" si="0"/>
        <v>11356</v>
      </c>
      <c r="X11" s="262">
        <f t="shared" ref="X11:AA11" si="7">SUM(X12:X17)</f>
        <v>11356</v>
      </c>
      <c r="Y11" s="262">
        <f t="shared" si="7"/>
        <v>11408</v>
      </c>
      <c r="Z11" s="262">
        <f t="shared" ref="Z11" si="8">SUM(Z12:Z17)</f>
        <v>11382</v>
      </c>
      <c r="AA11" s="262">
        <f t="shared" si="7"/>
        <v>11356</v>
      </c>
      <c r="AB11" s="262">
        <f t="shared" si="0"/>
        <v>2007</v>
      </c>
      <c r="AC11" s="262">
        <f t="shared" ref="AC11:AD11" si="9">SUM(AC12:AC17)</f>
        <v>2007</v>
      </c>
      <c r="AD11" s="262">
        <f t="shared" si="9"/>
        <v>2188</v>
      </c>
      <c r="AE11" s="262">
        <f t="shared" ref="AE11:AF11" si="10">SUM(AE12:AE17)</f>
        <v>2193</v>
      </c>
      <c r="AF11" s="262">
        <f t="shared" si="10"/>
        <v>2188</v>
      </c>
      <c r="AG11" s="262">
        <f t="shared" si="0"/>
        <v>0</v>
      </c>
      <c r="AH11" s="262">
        <f t="shared" si="0"/>
        <v>0</v>
      </c>
      <c r="AI11" s="262">
        <f t="shared" ref="AI11:AV11" si="11">SUM(AI12:AI17)</f>
        <v>0</v>
      </c>
      <c r="AJ11" s="262">
        <f t="shared" ref="AJ11" si="12">SUM(AJ12:AJ17)</f>
        <v>0</v>
      </c>
      <c r="AK11" s="262">
        <f t="shared" si="11"/>
        <v>0</v>
      </c>
      <c r="AL11" s="262">
        <f t="shared" si="11"/>
        <v>0</v>
      </c>
      <c r="AM11" s="262">
        <f t="shared" si="11"/>
        <v>0</v>
      </c>
      <c r="AN11" s="262">
        <f t="shared" si="11"/>
        <v>0</v>
      </c>
      <c r="AO11" s="262">
        <f t="shared" ref="AO11" si="13">SUM(AO12:AO17)</f>
        <v>0</v>
      </c>
      <c r="AP11" s="262">
        <f t="shared" si="11"/>
        <v>0</v>
      </c>
      <c r="AQ11" s="262">
        <f t="shared" si="11"/>
        <v>0</v>
      </c>
      <c r="AR11" s="262">
        <f t="shared" si="11"/>
        <v>0</v>
      </c>
      <c r="AS11" s="262">
        <f t="shared" si="11"/>
        <v>0</v>
      </c>
      <c r="AT11" s="262">
        <f t="shared" ref="AT11" si="14">SUM(AT12:AT17)</f>
        <v>0</v>
      </c>
      <c r="AU11" s="262">
        <f t="shared" si="11"/>
        <v>0</v>
      </c>
      <c r="AV11" s="262">
        <f t="shared" si="11"/>
        <v>4286</v>
      </c>
      <c r="AW11" s="262">
        <f t="shared" ref="AW11:AZ11" si="15">SUM(AW12:AW17)</f>
        <v>4469</v>
      </c>
      <c r="AX11" s="262">
        <f t="shared" si="15"/>
        <v>4592</v>
      </c>
      <c r="AY11" s="262">
        <f t="shared" ref="AY11" si="16">SUM(AY12:AY17)</f>
        <v>5197</v>
      </c>
      <c r="AZ11" s="262">
        <f t="shared" si="15"/>
        <v>4286</v>
      </c>
      <c r="BA11" s="296">
        <f t="shared" ref="BA11:BA29" si="17">C11+H11+M11+R11+W11+AB11+AG11+AL11+AQ11+AV11</f>
        <v>27261</v>
      </c>
      <c r="BB11" s="296">
        <f t="shared" ref="BB11:BE29" si="18">D11+I11+N11+S11+X11+AC11+AH11+AM11+AR11+AW11</f>
        <v>27685</v>
      </c>
      <c r="BC11" s="296">
        <f t="shared" si="18"/>
        <v>27372</v>
      </c>
      <c r="BD11" s="296">
        <f t="shared" si="18"/>
        <v>27972</v>
      </c>
      <c r="BE11" s="296">
        <f t="shared" si="18"/>
        <v>27442</v>
      </c>
      <c r="BF11" s="320"/>
    </row>
    <row r="12" spans="1:59" x14ac:dyDescent="0.2">
      <c r="A12" s="60">
        <v>1101</v>
      </c>
      <c r="B12" s="52" t="s">
        <v>343</v>
      </c>
      <c r="C12" s="233"/>
      <c r="D12" s="233"/>
      <c r="E12" s="233"/>
      <c r="F12" s="233"/>
      <c r="G12" s="233"/>
      <c r="H12" s="82">
        <v>9120</v>
      </c>
      <c r="I12" s="82">
        <f>9120+185</f>
        <v>9305</v>
      </c>
      <c r="J12" s="82">
        <f>9120+185-950-50</f>
        <v>8305</v>
      </c>
      <c r="K12" s="82">
        <f>9120+185-950-50+21</f>
        <v>8326</v>
      </c>
      <c r="L12" s="82">
        <v>9120</v>
      </c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>
        <v>10668</v>
      </c>
      <c r="X12" s="82">
        <v>10668</v>
      </c>
      <c r="Y12" s="82">
        <f>10668-100</f>
        <v>10568</v>
      </c>
      <c r="Z12" s="82">
        <f>10668-100-5-21</f>
        <v>10542</v>
      </c>
      <c r="AA12" s="82">
        <v>10668</v>
      </c>
      <c r="AB12" s="82">
        <v>1935</v>
      </c>
      <c r="AC12" s="82">
        <v>1935</v>
      </c>
      <c r="AD12" s="82">
        <v>1935</v>
      </c>
      <c r="AE12" s="82">
        <f>1935</f>
        <v>1935</v>
      </c>
      <c r="AF12" s="82">
        <v>1935</v>
      </c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>
        <v>4090</v>
      </c>
      <c r="AW12" s="82">
        <f>4090+183</f>
        <v>4273</v>
      </c>
      <c r="AX12" s="82">
        <f>4090+183</f>
        <v>4273</v>
      </c>
      <c r="AY12" s="82">
        <f>4090+183</f>
        <v>4273</v>
      </c>
      <c r="AZ12" s="82">
        <v>4090</v>
      </c>
      <c r="BA12" s="295">
        <f t="shared" si="17"/>
        <v>25813</v>
      </c>
      <c r="BB12" s="295">
        <f t="shared" si="18"/>
        <v>26181</v>
      </c>
      <c r="BC12" s="295">
        <f t="shared" si="18"/>
        <v>25081</v>
      </c>
      <c r="BD12" s="295">
        <f t="shared" si="18"/>
        <v>25076</v>
      </c>
      <c r="BE12" s="295">
        <f t="shared" si="18"/>
        <v>25813</v>
      </c>
      <c r="BF12" s="320">
        <f t="shared" ref="BF12:BF75" si="19">BD12-BC12</f>
        <v>-5</v>
      </c>
    </row>
    <row r="13" spans="1:59" x14ac:dyDescent="0.2">
      <c r="A13" s="60">
        <v>1109</v>
      </c>
      <c r="B13" s="52" t="s">
        <v>60</v>
      </c>
      <c r="C13" s="233"/>
      <c r="D13" s="233"/>
      <c r="E13" s="233"/>
      <c r="F13" s="233"/>
      <c r="G13" s="233"/>
      <c r="H13" s="82">
        <v>200</v>
      </c>
      <c r="I13" s="82">
        <f>200+56</f>
        <v>256</v>
      </c>
      <c r="J13" s="82">
        <f>200+56</f>
        <v>256</v>
      </c>
      <c r="K13" s="82">
        <f>200+56-5</f>
        <v>251</v>
      </c>
      <c r="L13" s="82">
        <v>200</v>
      </c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>
        <v>0</v>
      </c>
      <c r="X13" s="82">
        <v>0</v>
      </c>
      <c r="Y13" s="82">
        <v>0</v>
      </c>
      <c r="Z13" s="82">
        <v>0</v>
      </c>
      <c r="AA13" s="82">
        <v>0</v>
      </c>
      <c r="AB13" s="82">
        <v>0</v>
      </c>
      <c r="AC13" s="82">
        <v>0</v>
      </c>
      <c r="AD13" s="82">
        <v>0</v>
      </c>
      <c r="AE13" s="82">
        <v>5</v>
      </c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295">
        <f t="shared" si="17"/>
        <v>200</v>
      </c>
      <c r="BB13" s="295">
        <f t="shared" si="18"/>
        <v>256</v>
      </c>
      <c r="BC13" s="295">
        <f t="shared" si="18"/>
        <v>256</v>
      </c>
      <c r="BD13" s="295">
        <f t="shared" si="18"/>
        <v>256</v>
      </c>
      <c r="BE13" s="295">
        <f t="shared" si="18"/>
        <v>200</v>
      </c>
      <c r="BF13" s="320">
        <f t="shared" si="19"/>
        <v>0</v>
      </c>
    </row>
    <row r="14" spans="1:59" s="9" customFormat="1" x14ac:dyDescent="0.2">
      <c r="A14" s="60">
        <v>1107</v>
      </c>
      <c r="B14" s="8" t="s">
        <v>33</v>
      </c>
      <c r="C14" s="8"/>
      <c r="D14" s="8"/>
      <c r="E14" s="8"/>
      <c r="F14" s="8"/>
      <c r="G14" s="8"/>
      <c r="H14" s="11">
        <v>192</v>
      </c>
      <c r="I14" s="11">
        <v>192</v>
      </c>
      <c r="J14" s="11">
        <v>192</v>
      </c>
      <c r="K14" s="11">
        <v>192</v>
      </c>
      <c r="L14" s="11">
        <v>192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>
        <v>288</v>
      </c>
      <c r="X14" s="11">
        <v>288</v>
      </c>
      <c r="Y14" s="11">
        <v>288</v>
      </c>
      <c r="Z14" s="11">
        <v>288</v>
      </c>
      <c r="AA14" s="11">
        <v>288</v>
      </c>
      <c r="AB14" s="11">
        <v>72</v>
      </c>
      <c r="AC14" s="11">
        <v>72</v>
      </c>
      <c r="AD14" s="11">
        <v>72</v>
      </c>
      <c r="AE14" s="11">
        <v>72</v>
      </c>
      <c r="AF14" s="11">
        <v>72</v>
      </c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>
        <v>96</v>
      </c>
      <c r="AW14" s="11">
        <v>96</v>
      </c>
      <c r="AX14" s="11">
        <v>96</v>
      </c>
      <c r="AY14" s="11">
        <v>96</v>
      </c>
      <c r="AZ14" s="11">
        <v>96</v>
      </c>
      <c r="BA14" s="295">
        <f t="shared" si="17"/>
        <v>648</v>
      </c>
      <c r="BB14" s="295">
        <f t="shared" si="18"/>
        <v>648</v>
      </c>
      <c r="BC14" s="295">
        <f t="shared" si="18"/>
        <v>648</v>
      </c>
      <c r="BD14" s="295">
        <f t="shared" si="18"/>
        <v>648</v>
      </c>
      <c r="BE14" s="295">
        <f t="shared" si="18"/>
        <v>648</v>
      </c>
      <c r="BF14" s="320">
        <f t="shared" si="19"/>
        <v>0</v>
      </c>
      <c r="BG14" s="37"/>
    </row>
    <row r="15" spans="1:59" s="9" customFormat="1" x14ac:dyDescent="0.2">
      <c r="A15" s="60">
        <v>1106</v>
      </c>
      <c r="B15" s="8" t="s">
        <v>1423</v>
      </c>
      <c r="C15" s="8"/>
      <c r="D15" s="8"/>
      <c r="E15" s="8"/>
      <c r="F15" s="8"/>
      <c r="G15" s="8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>
        <v>0</v>
      </c>
      <c r="AW15" s="11">
        <v>0</v>
      </c>
      <c r="AX15" s="11">
        <v>0</v>
      </c>
      <c r="AY15" s="11">
        <v>520</v>
      </c>
      <c r="AZ15" s="11"/>
      <c r="BA15" s="295">
        <f t="shared" ref="BA15" si="20">C15+H15+M15+R15+W15+AB15+AG15+AL15+AQ15+AV15</f>
        <v>0</v>
      </c>
      <c r="BB15" s="295">
        <f t="shared" ref="BB15" si="21">D15+I15+N15+S15+X15+AC15+AH15+AM15+AR15+AW15</f>
        <v>0</v>
      </c>
      <c r="BC15" s="295">
        <f t="shared" ref="BC15" si="22">E15+J15+O15+T15+Y15+AD15+AI15+AN15+AS15+AX15</f>
        <v>0</v>
      </c>
      <c r="BD15" s="295">
        <f t="shared" ref="BD15" si="23">F15+K15+P15+U15+Z15+AE15+AJ15+AO15+AT15+AY15</f>
        <v>520</v>
      </c>
      <c r="BE15" s="295"/>
      <c r="BF15" s="320">
        <f t="shared" si="19"/>
        <v>520</v>
      </c>
      <c r="BG15" s="37"/>
    </row>
    <row r="16" spans="1:59" s="9" customFormat="1" x14ac:dyDescent="0.2">
      <c r="A16" s="60">
        <v>1104</v>
      </c>
      <c r="B16" s="8" t="s">
        <v>507</v>
      </c>
      <c r="C16" s="8"/>
      <c r="D16" s="8"/>
      <c r="E16" s="8"/>
      <c r="F16" s="8"/>
      <c r="G16" s="8"/>
      <c r="H16" s="11"/>
      <c r="I16" s="11"/>
      <c r="J16" s="11"/>
      <c r="K16" s="11"/>
      <c r="L16" s="11">
        <v>0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>
        <v>0</v>
      </c>
      <c r="X16" s="11">
        <v>0</v>
      </c>
      <c r="Y16" s="11">
        <v>100</v>
      </c>
      <c r="Z16" s="11">
        <v>100</v>
      </c>
      <c r="AA16" s="11">
        <v>0</v>
      </c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295">
        <f t="shared" si="17"/>
        <v>0</v>
      </c>
      <c r="BB16" s="295">
        <f t="shared" si="18"/>
        <v>0</v>
      </c>
      <c r="BC16" s="295">
        <f t="shared" si="18"/>
        <v>100</v>
      </c>
      <c r="BD16" s="295">
        <f t="shared" si="18"/>
        <v>100</v>
      </c>
      <c r="BE16" s="295">
        <f t="shared" si="18"/>
        <v>0</v>
      </c>
      <c r="BF16" s="320">
        <f t="shared" si="19"/>
        <v>0</v>
      </c>
    </row>
    <row r="17" spans="1:59" s="9" customFormat="1" x14ac:dyDescent="0.2">
      <c r="A17" s="60">
        <v>1113</v>
      </c>
      <c r="B17" s="8" t="s">
        <v>752</v>
      </c>
      <c r="C17" s="11"/>
      <c r="D17" s="11"/>
      <c r="E17" s="11"/>
      <c r="F17" s="11"/>
      <c r="G17" s="11"/>
      <c r="H17" s="11">
        <v>100</v>
      </c>
      <c r="I17" s="11">
        <v>100</v>
      </c>
      <c r="J17" s="11">
        <f>100+331</f>
        <v>431</v>
      </c>
      <c r="K17" s="11">
        <f>100+331</f>
        <v>431</v>
      </c>
      <c r="L17" s="11">
        <v>100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>
        <v>400</v>
      </c>
      <c r="X17" s="11">
        <v>400</v>
      </c>
      <c r="Y17" s="11">
        <f>400+52</f>
        <v>452</v>
      </c>
      <c r="Z17" s="11">
        <f>400+52</f>
        <v>452</v>
      </c>
      <c r="AA17" s="11">
        <v>400</v>
      </c>
      <c r="AB17" s="11">
        <v>0</v>
      </c>
      <c r="AC17" s="11">
        <v>0</v>
      </c>
      <c r="AD17" s="11">
        <v>181</v>
      </c>
      <c r="AE17" s="11">
        <v>181</v>
      </c>
      <c r="AF17" s="11">
        <v>181</v>
      </c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>
        <v>100</v>
      </c>
      <c r="AW17" s="11">
        <v>100</v>
      </c>
      <c r="AX17" s="11">
        <f>100+123</f>
        <v>223</v>
      </c>
      <c r="AY17" s="11">
        <f>100+123+85</f>
        <v>308</v>
      </c>
      <c r="AZ17" s="11">
        <v>100</v>
      </c>
      <c r="BA17" s="295">
        <f t="shared" si="17"/>
        <v>600</v>
      </c>
      <c r="BB17" s="295">
        <f t="shared" si="18"/>
        <v>600</v>
      </c>
      <c r="BC17" s="295">
        <f t="shared" si="18"/>
        <v>1287</v>
      </c>
      <c r="BD17" s="295">
        <f t="shared" si="18"/>
        <v>1372</v>
      </c>
      <c r="BE17" s="295">
        <f t="shared" si="18"/>
        <v>781</v>
      </c>
      <c r="BF17" s="320">
        <f t="shared" si="19"/>
        <v>85</v>
      </c>
      <c r="BG17" s="37"/>
    </row>
    <row r="18" spans="1:59" s="9" customFormat="1" x14ac:dyDescent="0.2">
      <c r="A18" s="284" t="s">
        <v>300</v>
      </c>
      <c r="B18" s="14" t="s">
        <v>340</v>
      </c>
      <c r="C18" s="6">
        <f t="shared" ref="C18:AH18" si="24">SUM(C19:C27)</f>
        <v>19943</v>
      </c>
      <c r="D18" s="6">
        <f t="shared" ref="D18:G18" si="25">SUM(D19:D27)</f>
        <v>20180</v>
      </c>
      <c r="E18" s="6">
        <f t="shared" si="25"/>
        <v>20291</v>
      </c>
      <c r="F18" s="6">
        <f t="shared" ref="F18" si="26">SUM(F19:F27)</f>
        <v>20046</v>
      </c>
      <c r="G18" s="6">
        <f t="shared" si="25"/>
        <v>19943</v>
      </c>
      <c r="H18" s="6">
        <f t="shared" si="24"/>
        <v>0</v>
      </c>
      <c r="I18" s="6">
        <f t="shared" ref="I18:L18" si="27">SUM(I19:I27)</f>
        <v>0</v>
      </c>
      <c r="J18" s="6">
        <f t="shared" si="27"/>
        <v>950</v>
      </c>
      <c r="K18" s="6">
        <f t="shared" ref="K18" si="28">SUM(K19:K27)</f>
        <v>800</v>
      </c>
      <c r="L18" s="6">
        <f t="shared" si="27"/>
        <v>0</v>
      </c>
      <c r="M18" s="6">
        <f t="shared" si="24"/>
        <v>0</v>
      </c>
      <c r="N18" s="6">
        <f t="shared" si="24"/>
        <v>0</v>
      </c>
      <c r="O18" s="6">
        <f t="shared" si="24"/>
        <v>0</v>
      </c>
      <c r="P18" s="6">
        <f t="shared" ref="P18" si="29">SUM(P19:P27)</f>
        <v>0</v>
      </c>
      <c r="Q18" s="6">
        <f t="shared" si="24"/>
        <v>0</v>
      </c>
      <c r="R18" s="6">
        <f t="shared" si="24"/>
        <v>0</v>
      </c>
      <c r="S18" s="6">
        <f t="shared" ref="S18:V18" si="30">SUM(S19:S27)</f>
        <v>0</v>
      </c>
      <c r="T18" s="6">
        <f t="shared" si="30"/>
        <v>0</v>
      </c>
      <c r="U18" s="6">
        <f t="shared" ref="U18" si="31">SUM(U19:U27)</f>
        <v>0</v>
      </c>
      <c r="V18" s="6">
        <f t="shared" si="30"/>
        <v>0</v>
      </c>
      <c r="W18" s="6">
        <f t="shared" si="24"/>
        <v>0</v>
      </c>
      <c r="X18" s="6">
        <f t="shared" ref="X18:AA18" si="32">SUM(X19:X27)</f>
        <v>0</v>
      </c>
      <c r="Y18" s="6">
        <f t="shared" si="32"/>
        <v>0</v>
      </c>
      <c r="Z18" s="6">
        <f t="shared" ref="Z18" si="33">SUM(Z19:Z27)</f>
        <v>0</v>
      </c>
      <c r="AA18" s="6">
        <f t="shared" si="32"/>
        <v>0</v>
      </c>
      <c r="AB18" s="6">
        <f t="shared" si="24"/>
        <v>0</v>
      </c>
      <c r="AC18" s="6">
        <f t="shared" ref="AC18:AD18" si="34">SUM(AC19:AC27)</f>
        <v>100</v>
      </c>
      <c r="AD18" s="6">
        <f t="shared" si="34"/>
        <v>150</v>
      </c>
      <c r="AE18" s="6">
        <f t="shared" ref="AE18:AF18" si="35">SUM(AE19:AE27)</f>
        <v>150</v>
      </c>
      <c r="AF18" s="6">
        <f t="shared" si="35"/>
        <v>150</v>
      </c>
      <c r="AG18" s="6">
        <f t="shared" si="24"/>
        <v>0</v>
      </c>
      <c r="AH18" s="6">
        <f t="shared" si="24"/>
        <v>0</v>
      </c>
      <c r="AI18" s="6">
        <f t="shared" ref="AI18:AV18" si="36">SUM(AI19:AI27)</f>
        <v>0</v>
      </c>
      <c r="AJ18" s="6">
        <f t="shared" ref="AJ18" si="37">SUM(AJ19:AJ27)</f>
        <v>0</v>
      </c>
      <c r="AK18" s="6">
        <f t="shared" si="36"/>
        <v>0</v>
      </c>
      <c r="AL18" s="6">
        <f t="shared" si="36"/>
        <v>0</v>
      </c>
      <c r="AM18" s="6">
        <f t="shared" si="36"/>
        <v>0</v>
      </c>
      <c r="AN18" s="6">
        <f t="shared" si="36"/>
        <v>0</v>
      </c>
      <c r="AO18" s="6">
        <f t="shared" ref="AO18" si="38">SUM(AO19:AO27)</f>
        <v>0</v>
      </c>
      <c r="AP18" s="6">
        <f t="shared" si="36"/>
        <v>0</v>
      </c>
      <c r="AQ18" s="6">
        <f t="shared" si="36"/>
        <v>0</v>
      </c>
      <c r="AR18" s="6">
        <f t="shared" si="36"/>
        <v>0</v>
      </c>
      <c r="AS18" s="6">
        <f t="shared" si="36"/>
        <v>0</v>
      </c>
      <c r="AT18" s="6">
        <f t="shared" ref="AT18" si="39">SUM(AT19:AT27)</f>
        <v>0</v>
      </c>
      <c r="AU18" s="6">
        <f t="shared" si="36"/>
        <v>0</v>
      </c>
      <c r="AV18" s="6">
        <f t="shared" si="36"/>
        <v>0</v>
      </c>
      <c r="AW18" s="6">
        <f t="shared" ref="AW18:AZ18" si="40">SUM(AW19:AW27)</f>
        <v>500</v>
      </c>
      <c r="AX18" s="6">
        <f t="shared" ref="AX18:AY18" si="41">SUM(AX19:AX27)</f>
        <v>800</v>
      </c>
      <c r="AY18" s="6">
        <f t="shared" si="41"/>
        <v>1110</v>
      </c>
      <c r="AZ18" s="6">
        <f t="shared" si="40"/>
        <v>0</v>
      </c>
      <c r="BA18" s="296">
        <f t="shared" si="17"/>
        <v>19943</v>
      </c>
      <c r="BB18" s="296">
        <f t="shared" si="18"/>
        <v>20780</v>
      </c>
      <c r="BC18" s="296">
        <f t="shared" si="18"/>
        <v>22191</v>
      </c>
      <c r="BD18" s="296">
        <f t="shared" si="18"/>
        <v>22106</v>
      </c>
      <c r="BE18" s="296">
        <f t="shared" si="18"/>
        <v>20093</v>
      </c>
      <c r="BF18" s="320"/>
    </row>
    <row r="19" spans="1:59" s="9" customFormat="1" x14ac:dyDescent="0.2">
      <c r="A19" s="60">
        <v>121</v>
      </c>
      <c r="B19" s="8" t="s">
        <v>1262</v>
      </c>
      <c r="C19" s="233">
        <v>9360</v>
      </c>
      <c r="D19" s="233">
        <f>9360+317</f>
        <v>9677</v>
      </c>
      <c r="E19" s="233">
        <f>9360+317+151</f>
        <v>9828</v>
      </c>
      <c r="F19" s="233">
        <f>9360+317+151+115</f>
        <v>9943</v>
      </c>
      <c r="G19" s="233">
        <v>9360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732">
        <f t="shared" si="17"/>
        <v>9360</v>
      </c>
      <c r="BB19" s="732">
        <f t="shared" si="18"/>
        <v>9677</v>
      </c>
      <c r="BC19" s="732">
        <f t="shared" si="18"/>
        <v>9828</v>
      </c>
      <c r="BD19" s="732">
        <f t="shared" si="18"/>
        <v>9943</v>
      </c>
      <c r="BE19" s="732">
        <f t="shared" si="18"/>
        <v>9360</v>
      </c>
      <c r="BF19" s="320">
        <f t="shared" si="19"/>
        <v>115</v>
      </c>
    </row>
    <row r="20" spans="1:59" s="9" customFormat="1" x14ac:dyDescent="0.2">
      <c r="A20" s="60">
        <v>121</v>
      </c>
      <c r="B20" s="164" t="s">
        <v>487</v>
      </c>
      <c r="C20" s="233">
        <f>(117*12)+(15*2)*12</f>
        <v>1764</v>
      </c>
      <c r="D20" s="233">
        <f>(117*12)+(15*2)*12</f>
        <v>1764</v>
      </c>
      <c r="E20" s="233">
        <f>(117*12)+(15*2)*12</f>
        <v>1764</v>
      </c>
      <c r="F20" s="233">
        <f>(117*12)+(15*2)*12</f>
        <v>1764</v>
      </c>
      <c r="G20" s="233">
        <f>(117*12)+(15*2)*12</f>
        <v>1764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732">
        <f t="shared" si="17"/>
        <v>1764</v>
      </c>
      <c r="BB20" s="732">
        <f t="shared" si="18"/>
        <v>1764</v>
      </c>
      <c r="BC20" s="732">
        <f t="shared" si="18"/>
        <v>1764</v>
      </c>
      <c r="BD20" s="732">
        <f t="shared" si="18"/>
        <v>1764</v>
      </c>
      <c r="BE20" s="732">
        <f t="shared" si="18"/>
        <v>1764</v>
      </c>
      <c r="BF20" s="320">
        <f t="shared" si="19"/>
        <v>0</v>
      </c>
    </row>
    <row r="21" spans="1:59" s="9" customFormat="1" x14ac:dyDescent="0.2">
      <c r="A21" s="60">
        <v>121</v>
      </c>
      <c r="B21" s="8" t="s">
        <v>33</v>
      </c>
      <c r="C21" s="11">
        <v>209</v>
      </c>
      <c r="D21" s="11">
        <v>209</v>
      </c>
      <c r="E21" s="11">
        <v>209</v>
      </c>
      <c r="F21" s="11">
        <v>209</v>
      </c>
      <c r="G21" s="11">
        <v>209</v>
      </c>
      <c r="H21" s="11"/>
      <c r="I21" s="11"/>
      <c r="J21" s="11"/>
      <c r="K21" s="11"/>
      <c r="L21" s="11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732">
        <f t="shared" si="17"/>
        <v>209</v>
      </c>
      <c r="BB21" s="732">
        <f t="shared" si="18"/>
        <v>209</v>
      </c>
      <c r="BC21" s="732">
        <f t="shared" si="18"/>
        <v>209</v>
      </c>
      <c r="BD21" s="732">
        <f t="shared" si="18"/>
        <v>209</v>
      </c>
      <c r="BE21" s="732">
        <f t="shared" si="18"/>
        <v>209</v>
      </c>
      <c r="BF21" s="320">
        <f t="shared" si="19"/>
        <v>0</v>
      </c>
    </row>
    <row r="22" spans="1:59" s="9" customFormat="1" x14ac:dyDescent="0.2">
      <c r="A22" s="60">
        <v>121</v>
      </c>
      <c r="B22" s="8" t="s">
        <v>488</v>
      </c>
      <c r="C22" s="11">
        <f>(12*((100*2)+(50*5)+(15*2)+(25)))</f>
        <v>6060</v>
      </c>
      <c r="D22" s="11">
        <f>(12*((100*2)+(50*5)+(15*2)+(25)))</f>
        <v>6060</v>
      </c>
      <c r="E22" s="11">
        <f>(12*((100*2)+(50*5)+(15*2)+(25)))+260</f>
        <v>6320</v>
      </c>
      <c r="F22" s="11">
        <f>(12*((100*2)+(50*5)+(15*2)+(25)))+260</f>
        <v>6320</v>
      </c>
      <c r="G22" s="11">
        <f>(12*((100*2)+(50*5)+(15*2)+(25)))</f>
        <v>6060</v>
      </c>
      <c r="H22" s="11"/>
      <c r="I22" s="11"/>
      <c r="J22" s="11"/>
      <c r="K22" s="11"/>
      <c r="L22" s="11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732">
        <f t="shared" si="17"/>
        <v>6060</v>
      </c>
      <c r="BB22" s="732">
        <f t="shared" si="18"/>
        <v>6060</v>
      </c>
      <c r="BC22" s="732">
        <f t="shared" si="18"/>
        <v>6320</v>
      </c>
      <c r="BD22" s="732">
        <f t="shared" si="18"/>
        <v>6320</v>
      </c>
      <c r="BE22" s="732">
        <f t="shared" si="18"/>
        <v>6060</v>
      </c>
      <c r="BF22" s="320">
        <f t="shared" si="19"/>
        <v>0</v>
      </c>
    </row>
    <row r="23" spans="1:59" s="9" customFormat="1" x14ac:dyDescent="0.2">
      <c r="A23" s="60">
        <v>122</v>
      </c>
      <c r="B23" s="8" t="s">
        <v>1037</v>
      </c>
      <c r="C23" s="11">
        <v>500</v>
      </c>
      <c r="D23" s="11">
        <f>500+420</f>
        <v>920</v>
      </c>
      <c r="E23" s="11">
        <f>500+420</f>
        <v>920</v>
      </c>
      <c r="F23" s="11">
        <f>500+420</f>
        <v>920</v>
      </c>
      <c r="G23" s="11">
        <v>500</v>
      </c>
      <c r="H23" s="11">
        <v>0</v>
      </c>
      <c r="I23" s="11">
        <v>0</v>
      </c>
      <c r="J23" s="11">
        <f>950</f>
        <v>950</v>
      </c>
      <c r="K23" s="11">
        <f>950-150</f>
        <v>800</v>
      </c>
      <c r="L23" s="11">
        <v>0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11"/>
      <c r="X23" s="11"/>
      <c r="Y23" s="11"/>
      <c r="Z23" s="11"/>
      <c r="AA23" s="11"/>
      <c r="AB23" s="11">
        <v>0</v>
      </c>
      <c r="AC23" s="11">
        <v>100</v>
      </c>
      <c r="AD23" s="11">
        <f>100+50</f>
        <v>150</v>
      </c>
      <c r="AE23" s="11">
        <f>100+50</f>
        <v>150</v>
      </c>
      <c r="AF23" s="11">
        <f>100+50</f>
        <v>150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732">
        <f t="shared" si="17"/>
        <v>500</v>
      </c>
      <c r="BB23" s="732">
        <f t="shared" si="18"/>
        <v>1020</v>
      </c>
      <c r="BC23" s="732">
        <f t="shared" si="18"/>
        <v>2020</v>
      </c>
      <c r="BD23" s="732">
        <f t="shared" si="18"/>
        <v>1870</v>
      </c>
      <c r="BE23" s="732">
        <f t="shared" si="18"/>
        <v>650</v>
      </c>
      <c r="BF23" s="320">
        <f t="shared" si="19"/>
        <v>-150</v>
      </c>
    </row>
    <row r="24" spans="1:59" s="9" customFormat="1" x14ac:dyDescent="0.2">
      <c r="A24" s="60">
        <v>122</v>
      </c>
      <c r="B24" s="8" t="s">
        <v>1177</v>
      </c>
      <c r="C24" s="82">
        <v>600</v>
      </c>
      <c r="D24" s="82">
        <v>600</v>
      </c>
      <c r="E24" s="82">
        <v>600</v>
      </c>
      <c r="F24" s="82">
        <f>600-50</f>
        <v>550</v>
      </c>
      <c r="G24" s="82">
        <v>600</v>
      </c>
      <c r="H24" s="11"/>
      <c r="I24" s="11"/>
      <c r="J24" s="11"/>
      <c r="K24" s="11"/>
      <c r="L24" s="11"/>
      <c r="M24" s="6"/>
      <c r="N24" s="6"/>
      <c r="O24" s="6"/>
      <c r="P24" s="6"/>
      <c r="Q24" s="6"/>
      <c r="R24" s="6"/>
      <c r="S24" s="6"/>
      <c r="T24" s="6"/>
      <c r="U24" s="6"/>
      <c r="V24" s="6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732">
        <f t="shared" si="17"/>
        <v>600</v>
      </c>
      <c r="BB24" s="732">
        <f t="shared" si="18"/>
        <v>600</v>
      </c>
      <c r="BC24" s="732">
        <f t="shared" si="18"/>
        <v>600</v>
      </c>
      <c r="BD24" s="732">
        <f t="shared" si="18"/>
        <v>550</v>
      </c>
      <c r="BE24" s="732">
        <f t="shared" si="18"/>
        <v>600</v>
      </c>
      <c r="BF24" s="320">
        <f t="shared" si="19"/>
        <v>-50</v>
      </c>
    </row>
    <row r="25" spans="1:59" x14ac:dyDescent="0.2">
      <c r="A25" s="60">
        <v>123</v>
      </c>
      <c r="B25" s="8" t="s">
        <v>351</v>
      </c>
      <c r="C25" s="233">
        <v>500</v>
      </c>
      <c r="D25" s="233">
        <f>500-500</f>
        <v>0</v>
      </c>
      <c r="E25" s="233">
        <f>500-500</f>
        <v>0</v>
      </c>
      <c r="F25" s="233">
        <f>500-500</f>
        <v>0</v>
      </c>
      <c r="G25" s="233">
        <v>500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>
        <v>0</v>
      </c>
      <c r="AW25" s="11">
        <v>500</v>
      </c>
      <c r="AX25" s="11">
        <f>500+300</f>
        <v>800</v>
      </c>
      <c r="AY25" s="11">
        <f>500+300+310</f>
        <v>1110</v>
      </c>
      <c r="AZ25" s="11"/>
      <c r="BA25" s="732">
        <f t="shared" si="17"/>
        <v>500</v>
      </c>
      <c r="BB25" s="732">
        <f t="shared" si="18"/>
        <v>500</v>
      </c>
      <c r="BC25" s="732">
        <f t="shared" si="18"/>
        <v>800</v>
      </c>
      <c r="BD25" s="732">
        <f t="shared" si="18"/>
        <v>1110</v>
      </c>
      <c r="BE25" s="732">
        <f t="shared" si="18"/>
        <v>500</v>
      </c>
      <c r="BF25" s="320">
        <f t="shared" si="19"/>
        <v>310</v>
      </c>
      <c r="BG25" s="9"/>
    </row>
    <row r="26" spans="1:59" x14ac:dyDescent="0.2">
      <c r="A26" s="60">
        <v>123</v>
      </c>
      <c r="B26" s="8" t="s">
        <v>474</v>
      </c>
      <c r="C26" s="11">
        <v>500</v>
      </c>
      <c r="D26" s="11">
        <v>500</v>
      </c>
      <c r="E26" s="11">
        <v>500</v>
      </c>
      <c r="F26" s="11">
        <f>500-160</f>
        <v>340</v>
      </c>
      <c r="G26" s="11">
        <v>500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732">
        <f t="shared" ref="BA26" si="42">C26+H26+M26+R26+W26+AB26+AG26+AL26+AQ26+AV26</f>
        <v>500</v>
      </c>
      <c r="BB26" s="732">
        <f t="shared" ref="BB26:BC26" si="43">D26+I26+N26+S26+X26+AC26+AH26+AM26+AR26+AW26</f>
        <v>500</v>
      </c>
      <c r="BC26" s="732">
        <f t="shared" si="43"/>
        <v>500</v>
      </c>
      <c r="BD26" s="732">
        <f t="shared" ref="BD26" si="44">F26+K26+P26+U26+Z26+AE26+AJ26+AO26+AT26+AY26</f>
        <v>340</v>
      </c>
      <c r="BE26" s="732">
        <f t="shared" ref="BE26" si="45">G26+L26+Q26+V26+AA26+AF26+AK26+AP26+AU26+AZ26</f>
        <v>500</v>
      </c>
      <c r="BF26" s="320">
        <f t="shared" si="19"/>
        <v>-160</v>
      </c>
    </row>
    <row r="27" spans="1:59" x14ac:dyDescent="0.2">
      <c r="A27" s="60">
        <v>123</v>
      </c>
      <c r="B27" s="8" t="s">
        <v>1111</v>
      </c>
      <c r="C27" s="11">
        <v>450</v>
      </c>
      <c r="D27" s="11">
        <v>450</v>
      </c>
      <c r="E27" s="11">
        <f>450-300</f>
        <v>150</v>
      </c>
      <c r="F27" s="11">
        <f>450-300-150</f>
        <v>0</v>
      </c>
      <c r="G27" s="11">
        <v>450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732">
        <f t="shared" si="17"/>
        <v>450</v>
      </c>
      <c r="BB27" s="732">
        <f t="shared" si="18"/>
        <v>450</v>
      </c>
      <c r="BC27" s="732">
        <f t="shared" si="18"/>
        <v>150</v>
      </c>
      <c r="BD27" s="732">
        <f t="shared" si="18"/>
        <v>0</v>
      </c>
      <c r="BE27" s="732">
        <f t="shared" si="18"/>
        <v>450</v>
      </c>
      <c r="BF27" s="320">
        <f t="shared" si="19"/>
        <v>-150</v>
      </c>
    </row>
    <row r="28" spans="1:59" x14ac:dyDescent="0.2">
      <c r="A28" s="284" t="s">
        <v>218</v>
      </c>
      <c r="B28" s="115" t="s">
        <v>297</v>
      </c>
      <c r="C28" s="150">
        <f t="shared" ref="C28:AH28" si="46">SUM(C11+C18)</f>
        <v>19943</v>
      </c>
      <c r="D28" s="150">
        <f t="shared" ref="D28:G28" si="47">SUM(D11+D18)</f>
        <v>20180</v>
      </c>
      <c r="E28" s="150">
        <f t="shared" si="47"/>
        <v>20291</v>
      </c>
      <c r="F28" s="150">
        <f t="shared" ref="F28" si="48">SUM(F11+F18)</f>
        <v>20046</v>
      </c>
      <c r="G28" s="150">
        <f t="shared" si="47"/>
        <v>19943</v>
      </c>
      <c r="H28" s="150">
        <f t="shared" si="46"/>
        <v>9612</v>
      </c>
      <c r="I28" s="150">
        <f t="shared" ref="I28:L28" si="49">SUM(I11+I18)</f>
        <v>9853</v>
      </c>
      <c r="J28" s="150">
        <f t="shared" si="49"/>
        <v>10134</v>
      </c>
      <c r="K28" s="150">
        <f t="shared" ref="K28" si="50">SUM(K11+K18)</f>
        <v>10000</v>
      </c>
      <c r="L28" s="150">
        <f t="shared" si="49"/>
        <v>9612</v>
      </c>
      <c r="M28" s="150">
        <f t="shared" si="46"/>
        <v>0</v>
      </c>
      <c r="N28" s="150">
        <f t="shared" si="46"/>
        <v>0</v>
      </c>
      <c r="O28" s="150">
        <f t="shared" si="46"/>
        <v>0</v>
      </c>
      <c r="P28" s="150">
        <f t="shared" ref="P28" si="51">SUM(P11+P18)</f>
        <v>0</v>
      </c>
      <c r="Q28" s="150">
        <f t="shared" si="46"/>
        <v>0</v>
      </c>
      <c r="R28" s="150">
        <f t="shared" si="46"/>
        <v>0</v>
      </c>
      <c r="S28" s="150">
        <f t="shared" ref="S28:V28" si="52">SUM(S11+S18)</f>
        <v>0</v>
      </c>
      <c r="T28" s="150">
        <f t="shared" si="52"/>
        <v>0</v>
      </c>
      <c r="U28" s="150">
        <f t="shared" ref="U28" si="53">SUM(U11+U18)</f>
        <v>0</v>
      </c>
      <c r="V28" s="150">
        <f t="shared" si="52"/>
        <v>0</v>
      </c>
      <c r="W28" s="150">
        <f t="shared" si="46"/>
        <v>11356</v>
      </c>
      <c r="X28" s="150">
        <f t="shared" ref="X28:AA28" si="54">SUM(X11+X18)</f>
        <v>11356</v>
      </c>
      <c r="Y28" s="150">
        <f t="shared" si="54"/>
        <v>11408</v>
      </c>
      <c r="Z28" s="150">
        <f t="shared" ref="Z28" si="55">SUM(Z11+Z18)</f>
        <v>11382</v>
      </c>
      <c r="AA28" s="150">
        <f t="shared" si="54"/>
        <v>11356</v>
      </c>
      <c r="AB28" s="150">
        <f t="shared" si="46"/>
        <v>2007</v>
      </c>
      <c r="AC28" s="150">
        <f t="shared" ref="AC28:AD28" si="56">SUM(AC11+AC18)</f>
        <v>2107</v>
      </c>
      <c r="AD28" s="150">
        <f t="shared" si="56"/>
        <v>2338</v>
      </c>
      <c r="AE28" s="150">
        <f t="shared" ref="AE28:AF28" si="57">SUM(AE11+AE18)</f>
        <v>2343</v>
      </c>
      <c r="AF28" s="150">
        <f t="shared" si="57"/>
        <v>2338</v>
      </c>
      <c r="AG28" s="150">
        <f t="shared" si="46"/>
        <v>0</v>
      </c>
      <c r="AH28" s="150">
        <f t="shared" si="46"/>
        <v>0</v>
      </c>
      <c r="AI28" s="150">
        <f t="shared" ref="AI28:AV28" si="58">SUM(AI11+AI18)</f>
        <v>0</v>
      </c>
      <c r="AJ28" s="150">
        <f t="shared" ref="AJ28" si="59">SUM(AJ11+AJ18)</f>
        <v>0</v>
      </c>
      <c r="AK28" s="150">
        <f t="shared" si="58"/>
        <v>0</v>
      </c>
      <c r="AL28" s="150">
        <f t="shared" si="58"/>
        <v>0</v>
      </c>
      <c r="AM28" s="150">
        <f t="shared" si="58"/>
        <v>0</v>
      </c>
      <c r="AN28" s="150">
        <f t="shared" si="58"/>
        <v>0</v>
      </c>
      <c r="AO28" s="150">
        <f t="shared" ref="AO28" si="60">SUM(AO11+AO18)</f>
        <v>0</v>
      </c>
      <c r="AP28" s="150">
        <f t="shared" si="58"/>
        <v>0</v>
      </c>
      <c r="AQ28" s="150">
        <f t="shared" si="58"/>
        <v>0</v>
      </c>
      <c r="AR28" s="150">
        <f t="shared" si="58"/>
        <v>0</v>
      </c>
      <c r="AS28" s="150">
        <f t="shared" si="58"/>
        <v>0</v>
      </c>
      <c r="AT28" s="150">
        <f t="shared" ref="AT28" si="61">SUM(AT11+AT18)</f>
        <v>0</v>
      </c>
      <c r="AU28" s="150">
        <f t="shared" si="58"/>
        <v>0</v>
      </c>
      <c r="AV28" s="150">
        <f t="shared" si="58"/>
        <v>4286</v>
      </c>
      <c r="AW28" s="150">
        <f t="shared" ref="AW28:AZ28" si="62">SUM(AW11+AW18)</f>
        <v>4969</v>
      </c>
      <c r="AX28" s="150">
        <f t="shared" ref="AX28:AY28" si="63">SUM(AX11+AX18)</f>
        <v>5392</v>
      </c>
      <c r="AY28" s="150">
        <f t="shared" si="63"/>
        <v>6307</v>
      </c>
      <c r="AZ28" s="150">
        <f t="shared" si="62"/>
        <v>4286</v>
      </c>
      <c r="BA28" s="150">
        <f t="shared" si="17"/>
        <v>47204</v>
      </c>
      <c r="BB28" s="150">
        <f t="shared" si="18"/>
        <v>48465</v>
      </c>
      <c r="BC28" s="150">
        <f t="shared" si="18"/>
        <v>49563</v>
      </c>
      <c r="BD28" s="150">
        <f t="shared" si="18"/>
        <v>50078</v>
      </c>
      <c r="BE28" s="150">
        <f t="shared" si="18"/>
        <v>47535</v>
      </c>
      <c r="BF28" s="320"/>
      <c r="BG28" s="76"/>
    </row>
    <row r="29" spans="1:59" x14ac:dyDescent="0.2">
      <c r="A29" s="60"/>
      <c r="B29" s="8" t="s">
        <v>30</v>
      </c>
      <c r="C29" s="11">
        <v>2400</v>
      </c>
      <c r="D29" s="11">
        <f>2400+50</f>
        <v>2450</v>
      </c>
      <c r="E29" s="11">
        <f>2400+50</f>
        <v>2450</v>
      </c>
      <c r="F29" s="11">
        <f>2400+50-196</f>
        <v>2254</v>
      </c>
      <c r="G29" s="11">
        <v>2400</v>
      </c>
      <c r="H29" s="11">
        <v>1190</v>
      </c>
      <c r="I29" s="11">
        <f>1190+25</f>
        <v>1215</v>
      </c>
      <c r="J29" s="11">
        <f>1190+25+85+39</f>
        <v>1339</v>
      </c>
      <c r="K29" s="11">
        <f>1190+25+85+39+58</f>
        <v>1397</v>
      </c>
      <c r="L29" s="11">
        <v>1190</v>
      </c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>
        <v>1450</v>
      </c>
      <c r="X29" s="11">
        <v>1450</v>
      </c>
      <c r="Y29" s="11">
        <v>1450</v>
      </c>
      <c r="Z29" s="11">
        <f>1450+36+2</f>
        <v>1488</v>
      </c>
      <c r="AA29" s="11">
        <v>1450</v>
      </c>
      <c r="AB29" s="11">
        <v>255</v>
      </c>
      <c r="AC29" s="11">
        <v>255</v>
      </c>
      <c r="AD29" s="11">
        <f>255+30</f>
        <v>285</v>
      </c>
      <c r="AE29" s="11">
        <f>255+30+3</f>
        <v>288</v>
      </c>
      <c r="AF29" s="11">
        <f>255+30</f>
        <v>285</v>
      </c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>
        <v>535</v>
      </c>
      <c r="AW29" s="11">
        <f>535+20</f>
        <v>555</v>
      </c>
      <c r="AX29" s="11">
        <f>535+20+55</f>
        <v>610</v>
      </c>
      <c r="AY29" s="11">
        <f>535+20+55+79</f>
        <v>689</v>
      </c>
      <c r="AZ29" s="11">
        <v>535</v>
      </c>
      <c r="BA29" s="295">
        <f t="shared" si="17"/>
        <v>5830</v>
      </c>
      <c r="BB29" s="295">
        <f t="shared" si="18"/>
        <v>5925</v>
      </c>
      <c r="BC29" s="295">
        <f t="shared" si="18"/>
        <v>6134</v>
      </c>
      <c r="BD29" s="295">
        <f t="shared" si="18"/>
        <v>6116</v>
      </c>
      <c r="BE29" s="295">
        <f t="shared" si="18"/>
        <v>5860</v>
      </c>
      <c r="BF29" s="320">
        <f t="shared" si="19"/>
        <v>-18</v>
      </c>
    </row>
    <row r="30" spans="1:59" hidden="1" x14ac:dyDescent="0.2">
      <c r="A30" s="60"/>
      <c r="B30" s="8" t="s">
        <v>408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295" t="e">
        <f>C30+H30+M30+R30+W30+AB30+AG30+AL30+AQ30+AV30+#REF!</f>
        <v>#REF!</v>
      </c>
      <c r="BB30" s="295" t="e">
        <f>D30+I30+N30+S30+X30+AC30+AH30+AM30+AR30+AW30+#REF!</f>
        <v>#REF!</v>
      </c>
      <c r="BC30" s="295" t="e">
        <f>E30+J30+O30+T30+Y30+AD30+AI30+AN30+AS30+AX30+#REF!</f>
        <v>#REF!</v>
      </c>
      <c r="BD30" s="295" t="e">
        <f>F30+K30+P30+U30+Z30+AE30+AJ30+AO30+AT30+AY30+#REF!</f>
        <v>#REF!</v>
      </c>
      <c r="BE30" s="295" t="e">
        <f>G30+L30+Q30+V30+AA30+AF30+AK30+AP30+AU30+AZ30+#REF!</f>
        <v>#REF!</v>
      </c>
      <c r="BF30" s="320" t="e">
        <f t="shared" si="19"/>
        <v>#REF!</v>
      </c>
    </row>
    <row r="31" spans="1:59" x14ac:dyDescent="0.2">
      <c r="A31" s="60"/>
      <c r="B31" s="8" t="s">
        <v>117</v>
      </c>
      <c r="C31" s="11">
        <v>500</v>
      </c>
      <c r="D31" s="11">
        <v>500</v>
      </c>
      <c r="E31" s="11">
        <f>500-5-85-39-30-55</f>
        <v>286</v>
      </c>
      <c r="F31" s="11">
        <f>500-5-85-39-30-55+5+20</f>
        <v>311</v>
      </c>
      <c r="G31" s="11">
        <v>500</v>
      </c>
      <c r="H31" s="11">
        <v>30</v>
      </c>
      <c r="I31" s="11">
        <v>30</v>
      </c>
      <c r="J31" s="11">
        <f>30+5</f>
        <v>35</v>
      </c>
      <c r="K31" s="11">
        <f>30+5-1</f>
        <v>34</v>
      </c>
      <c r="L31" s="11">
        <v>30</v>
      </c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>
        <v>45</v>
      </c>
      <c r="X31" s="11">
        <v>45</v>
      </c>
      <c r="Y31" s="11">
        <v>45</v>
      </c>
      <c r="Z31" s="11">
        <f>45-2</f>
        <v>43</v>
      </c>
      <c r="AA31" s="11">
        <v>45</v>
      </c>
      <c r="AB31" s="11">
        <v>11</v>
      </c>
      <c r="AC31" s="11">
        <v>11</v>
      </c>
      <c r="AD31" s="11">
        <v>11</v>
      </c>
      <c r="AE31" s="11">
        <f>11+1</f>
        <v>12</v>
      </c>
      <c r="AF31" s="11">
        <v>11</v>
      </c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>
        <v>15</v>
      </c>
      <c r="AW31" s="11">
        <v>15</v>
      </c>
      <c r="AX31" s="11">
        <v>15</v>
      </c>
      <c r="AY31" s="11">
        <v>15</v>
      </c>
      <c r="AZ31" s="11">
        <v>15</v>
      </c>
      <c r="BA31" s="295">
        <f t="shared" ref="BA31:BA53" si="64">C31+H31+M31+R31+W31+AB31+AG31+AL31+AQ31+AV31</f>
        <v>601</v>
      </c>
      <c r="BB31" s="295">
        <f t="shared" ref="BB31:BE46" si="65">D31+I31+N31+S31+X31+AC31+AH31+AM31+AR31+AW31</f>
        <v>601</v>
      </c>
      <c r="BC31" s="295">
        <f t="shared" si="65"/>
        <v>392</v>
      </c>
      <c r="BD31" s="295">
        <f t="shared" si="65"/>
        <v>415</v>
      </c>
      <c r="BE31" s="295">
        <f t="shared" si="65"/>
        <v>601</v>
      </c>
      <c r="BF31" s="320">
        <f t="shared" si="19"/>
        <v>23</v>
      </c>
      <c r="BG31" s="76"/>
    </row>
    <row r="32" spans="1:59" x14ac:dyDescent="0.2">
      <c r="A32" s="284" t="s">
        <v>219</v>
      </c>
      <c r="B32" s="115" t="s">
        <v>103</v>
      </c>
      <c r="C32" s="150">
        <f t="shared" ref="C32:W32" si="66">SUM(C29:C31)</f>
        <v>2900</v>
      </c>
      <c r="D32" s="150">
        <f t="shared" ref="D32:G32" si="67">SUM(D29:D31)</f>
        <v>2950</v>
      </c>
      <c r="E32" s="150">
        <f t="shared" si="67"/>
        <v>2736</v>
      </c>
      <c r="F32" s="150">
        <f t="shared" ref="F32" si="68">SUM(F29:F31)</f>
        <v>2565</v>
      </c>
      <c r="G32" s="150">
        <f t="shared" si="67"/>
        <v>2900</v>
      </c>
      <c r="H32" s="150">
        <f t="shared" ref="H32" si="69">SUM(H29:H31)</f>
        <v>1220</v>
      </c>
      <c r="I32" s="150">
        <f t="shared" ref="I32:L32" si="70">SUM(I29:I31)</f>
        <v>1245</v>
      </c>
      <c r="J32" s="150">
        <f t="shared" si="70"/>
        <v>1374</v>
      </c>
      <c r="K32" s="150">
        <f t="shared" ref="K32" si="71">SUM(K29:K31)</f>
        <v>1431</v>
      </c>
      <c r="L32" s="150">
        <f t="shared" si="70"/>
        <v>1220</v>
      </c>
      <c r="M32" s="150">
        <f t="shared" si="66"/>
        <v>0</v>
      </c>
      <c r="N32" s="150">
        <f t="shared" si="66"/>
        <v>0</v>
      </c>
      <c r="O32" s="150">
        <f t="shared" si="66"/>
        <v>0</v>
      </c>
      <c r="P32" s="150">
        <f t="shared" ref="P32" si="72">SUM(P29:P31)</f>
        <v>0</v>
      </c>
      <c r="Q32" s="150">
        <f t="shared" si="66"/>
        <v>0</v>
      </c>
      <c r="R32" s="150">
        <f t="shared" si="66"/>
        <v>0</v>
      </c>
      <c r="S32" s="150">
        <f t="shared" ref="S32:V32" si="73">SUM(S29:S31)</f>
        <v>0</v>
      </c>
      <c r="T32" s="150">
        <f t="shared" si="73"/>
        <v>0</v>
      </c>
      <c r="U32" s="150">
        <f t="shared" ref="U32" si="74">SUM(U29:U31)</f>
        <v>0</v>
      </c>
      <c r="V32" s="150">
        <f t="shared" si="73"/>
        <v>0</v>
      </c>
      <c r="W32" s="150">
        <f t="shared" si="66"/>
        <v>1495</v>
      </c>
      <c r="X32" s="150">
        <f t="shared" ref="X32:AA32" si="75">SUM(X29:X31)</f>
        <v>1495</v>
      </c>
      <c r="Y32" s="150">
        <f t="shared" si="75"/>
        <v>1495</v>
      </c>
      <c r="Z32" s="150">
        <f t="shared" ref="Z32" si="76">SUM(Z29:Z31)</f>
        <v>1531</v>
      </c>
      <c r="AA32" s="150">
        <f t="shared" si="75"/>
        <v>1495</v>
      </c>
      <c r="AB32" s="150">
        <f t="shared" ref="AB32:AU32" si="77">SUM(AB29:AB31)</f>
        <v>266</v>
      </c>
      <c r="AC32" s="150">
        <f t="shared" ref="AC32:AD32" si="78">SUM(AC29:AC31)</f>
        <v>266</v>
      </c>
      <c r="AD32" s="150">
        <f t="shared" si="78"/>
        <v>296</v>
      </c>
      <c r="AE32" s="150">
        <f t="shared" ref="AE32:AF32" si="79">SUM(AE29:AE31)</f>
        <v>300</v>
      </c>
      <c r="AF32" s="150">
        <f t="shared" si="79"/>
        <v>296</v>
      </c>
      <c r="AG32" s="150">
        <f t="shared" si="77"/>
        <v>0</v>
      </c>
      <c r="AH32" s="150">
        <f t="shared" si="77"/>
        <v>0</v>
      </c>
      <c r="AI32" s="150">
        <f>SUM(AI29:AI31)</f>
        <v>0</v>
      </c>
      <c r="AJ32" s="150">
        <f>SUM(AJ29:AJ31)</f>
        <v>0</v>
      </c>
      <c r="AK32" s="150">
        <f t="shared" si="77"/>
        <v>0</v>
      </c>
      <c r="AL32" s="150">
        <f t="shared" si="77"/>
        <v>0</v>
      </c>
      <c r="AM32" s="150">
        <f>SUM(AM29:AM31)</f>
        <v>0</v>
      </c>
      <c r="AN32" s="150">
        <f>SUM(AN29:AN31)</f>
        <v>0</v>
      </c>
      <c r="AO32" s="150">
        <f>SUM(AO29:AO31)</f>
        <v>0</v>
      </c>
      <c r="AP32" s="150">
        <f t="shared" si="77"/>
        <v>0</v>
      </c>
      <c r="AQ32" s="150">
        <f t="shared" si="77"/>
        <v>0</v>
      </c>
      <c r="AR32" s="150">
        <f>SUM(AR29:AR31)</f>
        <v>0</v>
      </c>
      <c r="AS32" s="150">
        <f>SUM(AS29:AS31)</f>
        <v>0</v>
      </c>
      <c r="AT32" s="150">
        <f>SUM(AT29:AT31)</f>
        <v>0</v>
      </c>
      <c r="AU32" s="150">
        <f t="shared" si="77"/>
        <v>0</v>
      </c>
      <c r="AV32" s="150">
        <f>SUM(AV29:AV31)</f>
        <v>550</v>
      </c>
      <c r="AW32" s="150">
        <f>SUM(AW29:AW31)</f>
        <v>570</v>
      </c>
      <c r="AX32" s="150">
        <f>SUM(AX29:AX31)</f>
        <v>625</v>
      </c>
      <c r="AY32" s="150">
        <f>SUM(AY29:AY31)</f>
        <v>704</v>
      </c>
      <c r="AZ32" s="150">
        <f>SUM(AZ29:AZ31)</f>
        <v>550</v>
      </c>
      <c r="BA32" s="150">
        <f t="shared" si="64"/>
        <v>6431</v>
      </c>
      <c r="BB32" s="150">
        <f t="shared" si="65"/>
        <v>6526</v>
      </c>
      <c r="BC32" s="150">
        <f t="shared" si="65"/>
        <v>6526</v>
      </c>
      <c r="BD32" s="150">
        <f t="shared" si="65"/>
        <v>6531</v>
      </c>
      <c r="BE32" s="150">
        <f t="shared" si="65"/>
        <v>6461</v>
      </c>
      <c r="BF32" s="320"/>
    </row>
    <row r="33" spans="1:58" x14ac:dyDescent="0.2">
      <c r="A33" s="284" t="s">
        <v>264</v>
      </c>
      <c r="B33" s="14" t="s">
        <v>286</v>
      </c>
      <c r="C33" s="6">
        <f t="shared" ref="C33:AB33" si="80">SUM(C34:C41)</f>
        <v>2830</v>
      </c>
      <c r="D33" s="6">
        <f t="shared" ref="D33:G33" si="81">SUM(D34:D41)</f>
        <v>3144</v>
      </c>
      <c r="E33" s="6">
        <f t="shared" si="81"/>
        <v>4074</v>
      </c>
      <c r="F33" s="6">
        <f t="shared" ref="F33" si="82">SUM(F34:F41)</f>
        <v>3716</v>
      </c>
      <c r="G33" s="6">
        <f t="shared" si="81"/>
        <v>2830</v>
      </c>
      <c r="H33" s="6">
        <f t="shared" ref="H33" si="83">SUM(H34:H41)</f>
        <v>105</v>
      </c>
      <c r="I33" s="6">
        <f t="shared" ref="I33:L33" si="84">SUM(I34:I41)</f>
        <v>110</v>
      </c>
      <c r="J33" s="6">
        <f t="shared" si="84"/>
        <v>110</v>
      </c>
      <c r="K33" s="6">
        <f t="shared" ref="K33" si="85">SUM(K34:K41)</f>
        <v>118</v>
      </c>
      <c r="L33" s="6">
        <f t="shared" si="84"/>
        <v>105</v>
      </c>
      <c r="M33" s="6">
        <f t="shared" si="80"/>
        <v>0</v>
      </c>
      <c r="N33" s="6">
        <f t="shared" si="80"/>
        <v>0</v>
      </c>
      <c r="O33" s="6">
        <f t="shared" si="80"/>
        <v>0</v>
      </c>
      <c r="P33" s="6">
        <f t="shared" ref="P33" si="86">SUM(P34:P41)</f>
        <v>0</v>
      </c>
      <c r="Q33" s="6">
        <f t="shared" si="80"/>
        <v>0</v>
      </c>
      <c r="R33" s="6">
        <f t="shared" si="80"/>
        <v>130</v>
      </c>
      <c r="S33" s="6">
        <f t="shared" ref="S33:V33" si="87">SUM(S34:S41)</f>
        <v>430</v>
      </c>
      <c r="T33" s="6">
        <f t="shared" si="87"/>
        <v>550</v>
      </c>
      <c r="U33" s="6">
        <f t="shared" ref="U33" si="88">SUM(U34:U41)</f>
        <v>660</v>
      </c>
      <c r="V33" s="6">
        <f t="shared" si="87"/>
        <v>130</v>
      </c>
      <c r="W33" s="6">
        <f t="shared" si="80"/>
        <v>100</v>
      </c>
      <c r="X33" s="6">
        <f t="shared" ref="X33:AA33" si="89">SUM(X34:X41)</f>
        <v>100</v>
      </c>
      <c r="Y33" s="6">
        <f t="shared" si="89"/>
        <v>350</v>
      </c>
      <c r="Z33" s="6">
        <f t="shared" ref="Z33" si="90">SUM(Z34:Z41)</f>
        <v>508</v>
      </c>
      <c r="AA33" s="6">
        <f t="shared" si="89"/>
        <v>100</v>
      </c>
      <c r="AB33" s="6">
        <f t="shared" si="80"/>
        <v>0</v>
      </c>
      <c r="AC33" s="6">
        <f t="shared" ref="AC33:AD33" si="91">SUM(AC34:AC41)</f>
        <v>0</v>
      </c>
      <c r="AD33" s="6">
        <f t="shared" si="91"/>
        <v>0</v>
      </c>
      <c r="AE33" s="6">
        <f t="shared" ref="AE33:AF33" si="92">SUM(AE34:AE41)</f>
        <v>32</v>
      </c>
      <c r="AF33" s="6">
        <f t="shared" si="92"/>
        <v>0</v>
      </c>
      <c r="AG33" s="6">
        <f t="shared" ref="AG33:AU33" si="93">SUM(AG34:AG41)</f>
        <v>0</v>
      </c>
      <c r="AH33" s="6">
        <f t="shared" si="93"/>
        <v>0</v>
      </c>
      <c r="AI33" s="6">
        <f>SUM(AI34:AI41)</f>
        <v>1803</v>
      </c>
      <c r="AJ33" s="6">
        <f>SUM(AJ34:AJ41)</f>
        <v>1803</v>
      </c>
      <c r="AK33" s="6">
        <f t="shared" si="93"/>
        <v>0</v>
      </c>
      <c r="AL33" s="6">
        <f t="shared" si="93"/>
        <v>0</v>
      </c>
      <c r="AM33" s="6">
        <f>SUM(AM34:AM41)</f>
        <v>0</v>
      </c>
      <c r="AN33" s="6">
        <f>SUM(AN34:AN41)</f>
        <v>0</v>
      </c>
      <c r="AO33" s="6">
        <f>SUM(AO34:AO41)</f>
        <v>0</v>
      </c>
      <c r="AP33" s="6">
        <f t="shared" si="93"/>
        <v>0</v>
      </c>
      <c r="AQ33" s="6">
        <f t="shared" si="93"/>
        <v>50</v>
      </c>
      <c r="AR33" s="6">
        <f>SUM(AR34:AR41)</f>
        <v>0</v>
      </c>
      <c r="AS33" s="6">
        <f>SUM(AS34:AS41)</f>
        <v>0</v>
      </c>
      <c r="AT33" s="6">
        <f>SUM(AT34:AT41)</f>
        <v>0</v>
      </c>
      <c r="AU33" s="6">
        <f t="shared" si="93"/>
        <v>50</v>
      </c>
      <c r="AV33" s="6">
        <f>SUM(AV34:AV41)</f>
        <v>820</v>
      </c>
      <c r="AW33" s="6">
        <f>SUM(AW34:AW41)</f>
        <v>820</v>
      </c>
      <c r="AX33" s="6">
        <f>SUM(AX34:AX41)</f>
        <v>970</v>
      </c>
      <c r="AY33" s="6">
        <f>SUM(AY34:AY41)</f>
        <v>1020</v>
      </c>
      <c r="AZ33" s="6">
        <f>SUM(AZ34:AZ41)</f>
        <v>820</v>
      </c>
      <c r="BA33" s="296">
        <f t="shared" si="64"/>
        <v>4035</v>
      </c>
      <c r="BB33" s="296">
        <f t="shared" si="65"/>
        <v>4604</v>
      </c>
      <c r="BC33" s="296">
        <f t="shared" si="65"/>
        <v>7857</v>
      </c>
      <c r="BD33" s="296">
        <f t="shared" si="65"/>
        <v>7857</v>
      </c>
      <c r="BE33" s="296">
        <f t="shared" si="65"/>
        <v>4035</v>
      </c>
      <c r="BF33" s="320">
        <f t="shared" si="19"/>
        <v>0</v>
      </c>
    </row>
    <row r="34" spans="1:58" x14ac:dyDescent="0.2">
      <c r="A34" s="60" t="s">
        <v>265</v>
      </c>
      <c r="B34" s="8" t="s">
        <v>333</v>
      </c>
      <c r="C34" s="11">
        <v>300</v>
      </c>
      <c r="D34" s="11">
        <v>300</v>
      </c>
      <c r="E34" s="11">
        <f>300-150</f>
        <v>150</v>
      </c>
      <c r="F34" s="11">
        <f>300-150</f>
        <v>150</v>
      </c>
      <c r="G34" s="11">
        <v>300</v>
      </c>
      <c r="H34" s="11">
        <v>50</v>
      </c>
      <c r="I34" s="11">
        <v>50</v>
      </c>
      <c r="J34" s="11">
        <v>50</v>
      </c>
      <c r="K34" s="11">
        <v>50</v>
      </c>
      <c r="L34" s="11">
        <v>50</v>
      </c>
      <c r="M34" s="11"/>
      <c r="N34" s="11"/>
      <c r="O34" s="11"/>
      <c r="P34" s="11"/>
      <c r="Q34" s="11"/>
      <c r="R34" s="11">
        <f>20+30</f>
        <v>50</v>
      </c>
      <c r="S34" s="11">
        <f>20+30</f>
        <v>50</v>
      </c>
      <c r="T34" s="11">
        <f>20+30</f>
        <v>50</v>
      </c>
      <c r="U34" s="11">
        <f>20+30</f>
        <v>50</v>
      </c>
      <c r="V34" s="11">
        <f>20+30</f>
        <v>50</v>
      </c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>
        <v>700</v>
      </c>
      <c r="AW34" s="11">
        <v>700</v>
      </c>
      <c r="AX34" s="11">
        <f>700+150</f>
        <v>850</v>
      </c>
      <c r="AY34" s="11">
        <f>700+150</f>
        <v>850</v>
      </c>
      <c r="AZ34" s="11">
        <v>700</v>
      </c>
      <c r="BA34" s="295">
        <f t="shared" si="64"/>
        <v>1100</v>
      </c>
      <c r="BB34" s="295">
        <f t="shared" si="65"/>
        <v>1100</v>
      </c>
      <c r="BC34" s="295">
        <f t="shared" si="65"/>
        <v>1100</v>
      </c>
      <c r="BD34" s="295">
        <f t="shared" si="65"/>
        <v>1100</v>
      </c>
      <c r="BE34" s="295">
        <f t="shared" si="65"/>
        <v>1100</v>
      </c>
      <c r="BF34" s="320">
        <f t="shared" si="19"/>
        <v>0</v>
      </c>
    </row>
    <row r="35" spans="1:58" x14ac:dyDescent="0.2">
      <c r="A35" s="60" t="s">
        <v>266</v>
      </c>
      <c r="B35" s="8" t="s">
        <v>287</v>
      </c>
      <c r="C35" s="11">
        <v>250</v>
      </c>
      <c r="D35" s="11">
        <f>250+600</f>
        <v>850</v>
      </c>
      <c r="E35" s="11">
        <f>250+600+1000</f>
        <v>1850</v>
      </c>
      <c r="F35" s="11">
        <f>250+600+1000-24-50-174-102</f>
        <v>1500</v>
      </c>
      <c r="G35" s="11">
        <v>250</v>
      </c>
      <c r="H35" s="11">
        <v>0</v>
      </c>
      <c r="I35" s="11">
        <v>0</v>
      </c>
      <c r="J35" s="11">
        <v>30</v>
      </c>
      <c r="K35" s="11">
        <f>30</f>
        <v>30</v>
      </c>
      <c r="L35" s="11"/>
      <c r="M35" s="11"/>
      <c r="N35" s="11"/>
      <c r="O35" s="11"/>
      <c r="P35" s="11"/>
      <c r="Q35" s="11"/>
      <c r="R35" s="11">
        <v>0</v>
      </c>
      <c r="S35" s="11">
        <f>250</f>
        <v>250</v>
      </c>
      <c r="T35" s="11">
        <f>250</f>
        <v>250</v>
      </c>
      <c r="U35" s="11">
        <f>250+102</f>
        <v>352</v>
      </c>
      <c r="V35" s="11"/>
      <c r="W35" s="11">
        <v>50</v>
      </c>
      <c r="X35" s="11">
        <v>50</v>
      </c>
      <c r="Y35" s="11">
        <v>50</v>
      </c>
      <c r="Z35" s="11">
        <f>50+174</f>
        <v>224</v>
      </c>
      <c r="AA35" s="11">
        <v>50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>
        <v>0</v>
      </c>
      <c r="AW35" s="11">
        <v>0</v>
      </c>
      <c r="AX35" s="11">
        <v>0</v>
      </c>
      <c r="AY35" s="11">
        <v>50</v>
      </c>
      <c r="AZ35" s="11"/>
      <c r="BA35" s="295">
        <f t="shared" si="64"/>
        <v>300</v>
      </c>
      <c r="BB35" s="295">
        <f t="shared" si="65"/>
        <v>1150</v>
      </c>
      <c r="BC35" s="295">
        <f t="shared" si="65"/>
        <v>2180</v>
      </c>
      <c r="BD35" s="295">
        <f t="shared" si="65"/>
        <v>2156</v>
      </c>
      <c r="BE35" s="295">
        <f t="shared" si="65"/>
        <v>300</v>
      </c>
      <c r="BF35" s="320">
        <f t="shared" si="19"/>
        <v>-24</v>
      </c>
    </row>
    <row r="36" spans="1:58" x14ac:dyDescent="0.2">
      <c r="A36" s="60"/>
      <c r="B36" s="8" t="s">
        <v>453</v>
      </c>
      <c r="C36" s="11">
        <f>500-250</f>
        <v>250</v>
      </c>
      <c r="D36" s="11">
        <f>500-250</f>
        <v>250</v>
      </c>
      <c r="E36" s="11">
        <f>500-250-50</f>
        <v>200</v>
      </c>
      <c r="F36" s="11">
        <f>500-250-50-182-8</f>
        <v>10</v>
      </c>
      <c r="G36" s="11">
        <f>500-250</f>
        <v>250</v>
      </c>
      <c r="H36" s="11">
        <v>15</v>
      </c>
      <c r="I36" s="11">
        <f>15+5</f>
        <v>20</v>
      </c>
      <c r="J36" s="11">
        <f>15+5+10</f>
        <v>30</v>
      </c>
      <c r="K36" s="11">
        <f>15+5+10</f>
        <v>30</v>
      </c>
      <c r="L36" s="11">
        <v>15</v>
      </c>
      <c r="M36" s="11"/>
      <c r="N36" s="11"/>
      <c r="O36" s="11"/>
      <c r="P36" s="11"/>
      <c r="Q36" s="11"/>
      <c r="R36" s="11"/>
      <c r="S36" s="11"/>
      <c r="T36" s="11"/>
      <c r="U36" s="11" t="s">
        <v>947</v>
      </c>
      <c r="V36" s="11"/>
      <c r="W36" s="11">
        <v>0</v>
      </c>
      <c r="X36" s="11">
        <v>0</v>
      </c>
      <c r="Y36" s="11">
        <v>0</v>
      </c>
      <c r="Z36" s="11">
        <v>8</v>
      </c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>
        <v>50</v>
      </c>
      <c r="AW36" s="11">
        <v>50</v>
      </c>
      <c r="AX36" s="11">
        <v>50</v>
      </c>
      <c r="AY36" s="11">
        <v>50</v>
      </c>
      <c r="AZ36" s="11">
        <v>50</v>
      </c>
      <c r="BA36" s="295">
        <f t="shared" si="64"/>
        <v>315</v>
      </c>
      <c r="BB36" s="295">
        <f t="shared" si="65"/>
        <v>320</v>
      </c>
      <c r="BC36" s="295">
        <f t="shared" ref="BC36" si="94">E36+J36+O36+T36+Y36+AD36+AI36+AN36+AS36+AX36</f>
        <v>280</v>
      </c>
      <c r="BD36" s="295">
        <f>F36+K36+Z36+AY36</f>
        <v>98</v>
      </c>
      <c r="BE36" s="295">
        <f t="shared" si="65"/>
        <v>315</v>
      </c>
      <c r="BF36" s="320">
        <f t="shared" si="19"/>
        <v>-182</v>
      </c>
    </row>
    <row r="37" spans="1:58" x14ac:dyDescent="0.2">
      <c r="A37" s="60"/>
      <c r="B37" s="8" t="s">
        <v>308</v>
      </c>
      <c r="C37" s="11">
        <f>100+500</f>
        <v>600</v>
      </c>
      <c r="D37" s="11">
        <f>(100+500)-600+314</f>
        <v>314</v>
      </c>
      <c r="E37" s="11">
        <f>(100+500)-600+314-120</f>
        <v>194</v>
      </c>
      <c r="F37" s="11">
        <f>(100+500)-600+314-120-194</f>
        <v>0</v>
      </c>
      <c r="G37" s="11">
        <f>100+500</f>
        <v>600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>
        <v>70</v>
      </c>
      <c r="AW37" s="11">
        <v>70</v>
      </c>
      <c r="AX37" s="11">
        <v>70</v>
      </c>
      <c r="AY37" s="11">
        <v>70</v>
      </c>
      <c r="AZ37" s="11">
        <v>70</v>
      </c>
      <c r="BA37" s="295">
        <f t="shared" si="64"/>
        <v>670</v>
      </c>
      <c r="BB37" s="295">
        <f t="shared" si="65"/>
        <v>384</v>
      </c>
      <c r="BC37" s="295">
        <f t="shared" si="65"/>
        <v>264</v>
      </c>
      <c r="BD37" s="295">
        <f t="shared" si="65"/>
        <v>70</v>
      </c>
      <c r="BE37" s="295">
        <f t="shared" si="65"/>
        <v>670</v>
      </c>
      <c r="BF37" s="320">
        <f t="shared" si="19"/>
        <v>-194</v>
      </c>
    </row>
    <row r="38" spans="1:58" x14ac:dyDescent="0.2">
      <c r="A38" s="60"/>
      <c r="B38" s="8" t="s">
        <v>309</v>
      </c>
      <c r="C38" s="11">
        <v>1200</v>
      </c>
      <c r="D38" s="11">
        <v>1200</v>
      </c>
      <c r="E38" s="11">
        <f>1200+450</f>
        <v>1650</v>
      </c>
      <c r="F38" s="11">
        <f>1200+450+182+194</f>
        <v>2026</v>
      </c>
      <c r="G38" s="11">
        <v>1200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>
        <v>25</v>
      </c>
      <c r="X38" s="11">
        <v>25</v>
      </c>
      <c r="Y38" s="11">
        <f>25+50</f>
        <v>75</v>
      </c>
      <c r="Z38" s="11">
        <f>25+50-8-8-8</f>
        <v>51</v>
      </c>
      <c r="AA38" s="11">
        <v>25</v>
      </c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295">
        <f t="shared" si="64"/>
        <v>1225</v>
      </c>
      <c r="BB38" s="295">
        <f t="shared" si="65"/>
        <v>1225</v>
      </c>
      <c r="BC38" s="295">
        <f t="shared" si="65"/>
        <v>1725</v>
      </c>
      <c r="BD38" s="295">
        <f t="shared" si="65"/>
        <v>2077</v>
      </c>
      <c r="BE38" s="295">
        <f t="shared" si="65"/>
        <v>1225</v>
      </c>
      <c r="BF38" s="320">
        <f t="shared" si="19"/>
        <v>352</v>
      </c>
    </row>
    <row r="39" spans="1:58" x14ac:dyDescent="0.2">
      <c r="A39" s="60"/>
      <c r="B39" s="8" t="s">
        <v>452</v>
      </c>
      <c r="C39" s="11">
        <f>300-100</f>
        <v>200</v>
      </c>
      <c r="D39" s="11">
        <f>300-100</f>
        <v>200</v>
      </c>
      <c r="E39" s="11">
        <f>300-100-200</f>
        <v>0</v>
      </c>
      <c r="F39" s="11">
        <f>300-100-200</f>
        <v>0</v>
      </c>
      <c r="G39" s="11">
        <f>300-100</f>
        <v>200</v>
      </c>
      <c r="H39" s="11">
        <v>10</v>
      </c>
      <c r="I39" s="11">
        <v>10</v>
      </c>
      <c r="J39" s="11">
        <f>10-10</f>
        <v>0</v>
      </c>
      <c r="K39" s="11">
        <f>10-10</f>
        <v>0</v>
      </c>
      <c r="L39" s="11">
        <v>10</v>
      </c>
      <c r="M39" s="11"/>
      <c r="N39" s="11"/>
      <c r="O39" s="11"/>
      <c r="P39" s="11"/>
      <c r="Q39" s="11"/>
      <c r="R39" s="11">
        <v>80</v>
      </c>
      <c r="S39" s="11">
        <f>80+50</f>
        <v>130</v>
      </c>
      <c r="T39" s="11">
        <f>80+50+120</f>
        <v>250</v>
      </c>
      <c r="U39" s="11">
        <f>80+50+120+8</f>
        <v>258</v>
      </c>
      <c r="V39" s="11">
        <v>80</v>
      </c>
      <c r="W39" s="11">
        <v>25</v>
      </c>
      <c r="X39" s="11">
        <v>25</v>
      </c>
      <c r="Y39" s="11">
        <f>25+200</f>
        <v>225</v>
      </c>
      <c r="Z39" s="11">
        <f>25+200</f>
        <v>225</v>
      </c>
      <c r="AA39" s="11">
        <v>25</v>
      </c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>
        <v>50</v>
      </c>
      <c r="AR39" s="11">
        <f>50-50</f>
        <v>0</v>
      </c>
      <c r="AS39" s="11">
        <f>50-50</f>
        <v>0</v>
      </c>
      <c r="AT39" s="11">
        <f>50-50</f>
        <v>0</v>
      </c>
      <c r="AU39" s="11">
        <v>50</v>
      </c>
      <c r="AV39" s="11"/>
      <c r="AW39" s="11"/>
      <c r="AX39" s="11"/>
      <c r="AY39" s="11"/>
      <c r="AZ39" s="11"/>
      <c r="BA39" s="295">
        <f t="shared" si="64"/>
        <v>365</v>
      </c>
      <c r="BB39" s="295">
        <f t="shared" si="65"/>
        <v>365</v>
      </c>
      <c r="BC39" s="295">
        <f t="shared" si="65"/>
        <v>475</v>
      </c>
      <c r="BD39" s="295">
        <f t="shared" si="65"/>
        <v>483</v>
      </c>
      <c r="BE39" s="295">
        <f t="shared" si="65"/>
        <v>365</v>
      </c>
      <c r="BF39" s="320">
        <f t="shared" si="19"/>
        <v>8</v>
      </c>
    </row>
    <row r="40" spans="1:58" x14ac:dyDescent="0.2">
      <c r="A40" s="60"/>
      <c r="B40" s="8" t="s">
        <v>323</v>
      </c>
      <c r="C40" s="11">
        <v>30</v>
      </c>
      <c r="D40" s="11">
        <v>30</v>
      </c>
      <c r="E40" s="11">
        <v>30</v>
      </c>
      <c r="F40" s="11">
        <f>30</f>
        <v>30</v>
      </c>
      <c r="G40" s="11">
        <v>30</v>
      </c>
      <c r="H40" s="11">
        <v>30</v>
      </c>
      <c r="I40" s="11">
        <v>30</v>
      </c>
      <c r="J40" s="11">
        <f>30-30</f>
        <v>0</v>
      </c>
      <c r="K40" s="11">
        <f>30-30+8</f>
        <v>8</v>
      </c>
      <c r="L40" s="11">
        <v>30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>
        <v>0</v>
      </c>
      <c r="AC40" s="11">
        <v>0</v>
      </c>
      <c r="AD40" s="11">
        <v>0</v>
      </c>
      <c r="AE40" s="11">
        <f>8+24</f>
        <v>32</v>
      </c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295">
        <f t="shared" si="64"/>
        <v>60</v>
      </c>
      <c r="BB40" s="295">
        <f t="shared" si="65"/>
        <v>60</v>
      </c>
      <c r="BC40" s="295">
        <f t="shared" si="65"/>
        <v>30</v>
      </c>
      <c r="BD40" s="295">
        <f t="shared" si="65"/>
        <v>70</v>
      </c>
      <c r="BE40" s="295">
        <f t="shared" si="65"/>
        <v>60</v>
      </c>
      <c r="BF40" s="320">
        <f t="shared" si="19"/>
        <v>40</v>
      </c>
    </row>
    <row r="41" spans="1:58" x14ac:dyDescent="0.2">
      <c r="A41" s="60"/>
      <c r="B41" s="8" t="s">
        <v>1019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>
        <v>0</v>
      </c>
      <c r="AH41" s="11">
        <v>0</v>
      </c>
      <c r="AI41" s="11">
        <v>1803</v>
      </c>
      <c r="AJ41" s="11">
        <v>1803</v>
      </c>
      <c r="AK41" s="11">
        <v>0</v>
      </c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295">
        <f t="shared" si="64"/>
        <v>0</v>
      </c>
      <c r="BB41" s="295">
        <f t="shared" si="65"/>
        <v>0</v>
      </c>
      <c r="BC41" s="295">
        <f t="shared" si="65"/>
        <v>1803</v>
      </c>
      <c r="BD41" s="295">
        <f t="shared" si="65"/>
        <v>1803</v>
      </c>
      <c r="BE41" s="295">
        <f t="shared" si="65"/>
        <v>0</v>
      </c>
      <c r="BF41" s="320">
        <f t="shared" si="19"/>
        <v>0</v>
      </c>
    </row>
    <row r="42" spans="1:58" x14ac:dyDescent="0.2">
      <c r="A42" s="284" t="s">
        <v>267</v>
      </c>
      <c r="B42" s="14" t="s">
        <v>288</v>
      </c>
      <c r="C42" s="6">
        <f t="shared" ref="C42:AD42" si="95">SUM(C43:C44)</f>
        <v>1440</v>
      </c>
      <c r="D42" s="6">
        <f t="shared" ref="D42:G42" si="96">SUM(D43:D44)</f>
        <v>1440</v>
      </c>
      <c r="E42" s="6">
        <f t="shared" ref="E42:F42" si="97">SUM(E43:E44)</f>
        <v>1440</v>
      </c>
      <c r="F42" s="6">
        <f t="shared" si="97"/>
        <v>1490</v>
      </c>
      <c r="G42" s="6">
        <f t="shared" si="96"/>
        <v>1440</v>
      </c>
      <c r="H42" s="6">
        <f t="shared" ref="H42" si="98">SUM(H43:H44)</f>
        <v>110</v>
      </c>
      <c r="I42" s="6">
        <f t="shared" ref="I42:L42" si="99">SUM(I43:I44)</f>
        <v>110</v>
      </c>
      <c r="J42" s="6">
        <f t="shared" ref="J42:K42" si="100">SUM(J43:J44)</f>
        <v>110</v>
      </c>
      <c r="K42" s="6">
        <f t="shared" si="100"/>
        <v>110</v>
      </c>
      <c r="L42" s="6">
        <f t="shared" si="99"/>
        <v>110</v>
      </c>
      <c r="M42" s="6">
        <f t="shared" si="95"/>
        <v>0</v>
      </c>
      <c r="N42" s="6">
        <f t="shared" si="95"/>
        <v>0</v>
      </c>
      <c r="O42" s="6">
        <f t="shared" si="95"/>
        <v>0</v>
      </c>
      <c r="P42" s="6">
        <f t="shared" ref="P42" si="101">SUM(P43:P44)</f>
        <v>0</v>
      </c>
      <c r="Q42" s="6">
        <f t="shared" si="95"/>
        <v>0</v>
      </c>
      <c r="R42" s="6">
        <f t="shared" si="95"/>
        <v>15</v>
      </c>
      <c r="S42" s="6">
        <f t="shared" ref="S42:V42" si="102">SUM(S43:S44)</f>
        <v>140</v>
      </c>
      <c r="T42" s="6">
        <f t="shared" ref="T42:U42" si="103">SUM(T43:T44)</f>
        <v>140</v>
      </c>
      <c r="U42" s="6">
        <f t="shared" si="103"/>
        <v>140</v>
      </c>
      <c r="V42" s="6">
        <f t="shared" si="102"/>
        <v>15</v>
      </c>
      <c r="W42" s="6">
        <f t="shared" si="95"/>
        <v>145</v>
      </c>
      <c r="X42" s="6">
        <f t="shared" ref="X42:AA42" si="104">SUM(X43:X44)</f>
        <v>45</v>
      </c>
      <c r="Y42" s="6">
        <f t="shared" ref="Y42:Z42" si="105">SUM(Y43:Y44)</f>
        <v>45</v>
      </c>
      <c r="Z42" s="6">
        <f t="shared" si="105"/>
        <v>98</v>
      </c>
      <c r="AA42" s="6">
        <f t="shared" si="104"/>
        <v>145</v>
      </c>
      <c r="AB42" s="6">
        <f t="shared" si="95"/>
        <v>0</v>
      </c>
      <c r="AC42" s="6">
        <f>SUM(AC43:AC44)</f>
        <v>0</v>
      </c>
      <c r="AD42" s="6">
        <f t="shared" si="95"/>
        <v>0</v>
      </c>
      <c r="AE42" s="6">
        <f t="shared" ref="AE42:AF42" si="106">SUM(AE43:AE44)</f>
        <v>0</v>
      </c>
      <c r="AF42" s="6">
        <f t="shared" si="106"/>
        <v>0</v>
      </c>
      <c r="AG42" s="6">
        <f t="shared" ref="AG42:AV42" si="107">SUM(AG43:AG44)</f>
        <v>0</v>
      </c>
      <c r="AH42" s="6">
        <f t="shared" si="107"/>
        <v>0</v>
      </c>
      <c r="AI42" s="6">
        <f>SUM(AI43:AI44)</f>
        <v>0</v>
      </c>
      <c r="AJ42" s="6">
        <f>SUM(AJ43:AJ44)</f>
        <v>0</v>
      </c>
      <c r="AK42" s="6">
        <f t="shared" si="107"/>
        <v>0</v>
      </c>
      <c r="AL42" s="6">
        <f t="shared" si="107"/>
        <v>0</v>
      </c>
      <c r="AM42" s="6">
        <f t="shared" si="107"/>
        <v>0</v>
      </c>
      <c r="AN42" s="6">
        <f t="shared" si="107"/>
        <v>0</v>
      </c>
      <c r="AO42" s="6">
        <f t="shared" ref="AO42" si="108">SUM(AO43:AO44)</f>
        <v>0</v>
      </c>
      <c r="AP42" s="6">
        <f t="shared" si="107"/>
        <v>0</v>
      </c>
      <c r="AQ42" s="6">
        <f t="shared" si="107"/>
        <v>25</v>
      </c>
      <c r="AR42" s="6">
        <f t="shared" si="107"/>
        <v>0</v>
      </c>
      <c r="AS42" s="6">
        <f t="shared" ref="AS42:AT42" si="109">SUM(AS43:AS44)</f>
        <v>0</v>
      </c>
      <c r="AT42" s="6">
        <f t="shared" si="109"/>
        <v>0</v>
      </c>
      <c r="AU42" s="6">
        <f>SUM(AU43:AU44)</f>
        <v>25</v>
      </c>
      <c r="AV42" s="6">
        <f t="shared" si="107"/>
        <v>70</v>
      </c>
      <c r="AW42" s="6">
        <f>SUM(AW43:AW44)</f>
        <v>70</v>
      </c>
      <c r="AX42" s="6">
        <f>SUM(AX43:AX44)</f>
        <v>170</v>
      </c>
      <c r="AY42" s="6">
        <f>SUM(AY43:AY44)</f>
        <v>90</v>
      </c>
      <c r="AZ42" s="6">
        <f>SUM(AZ43:AZ44)</f>
        <v>70</v>
      </c>
      <c r="BA42" s="731">
        <f t="shared" si="64"/>
        <v>1805</v>
      </c>
      <c r="BB42" s="731">
        <f t="shared" si="65"/>
        <v>1805</v>
      </c>
      <c r="BC42" s="731">
        <f t="shared" si="65"/>
        <v>1905</v>
      </c>
      <c r="BD42" s="731">
        <f t="shared" si="65"/>
        <v>1928</v>
      </c>
      <c r="BE42" s="731">
        <f t="shared" si="65"/>
        <v>1805</v>
      </c>
      <c r="BF42" s="320"/>
    </row>
    <row r="43" spans="1:58" ht="25.5" customHeight="1" x14ac:dyDescent="0.2">
      <c r="A43" s="60" t="s">
        <v>268</v>
      </c>
      <c r="B43" s="624" t="s">
        <v>1020</v>
      </c>
      <c r="C43" s="11">
        <f>(150+90+500)</f>
        <v>740</v>
      </c>
      <c r="D43" s="11">
        <f>(150+90+500)</f>
        <v>740</v>
      </c>
      <c r="E43" s="11">
        <f>(150+90+500)</f>
        <v>740</v>
      </c>
      <c r="F43" s="11">
        <f>(150+90+500)+27+35</f>
        <v>802</v>
      </c>
      <c r="G43" s="11">
        <f>(150+90+500)</f>
        <v>740</v>
      </c>
      <c r="H43" s="11">
        <v>110</v>
      </c>
      <c r="I43" s="11">
        <v>110</v>
      </c>
      <c r="J43" s="11">
        <v>110</v>
      </c>
      <c r="K43" s="11">
        <v>110</v>
      </c>
      <c r="L43" s="11">
        <v>110</v>
      </c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>
        <f>115-70</f>
        <v>45</v>
      </c>
      <c r="X43" s="11">
        <f>115-70</f>
        <v>45</v>
      </c>
      <c r="Y43" s="11">
        <f>115-70</f>
        <v>45</v>
      </c>
      <c r="Z43" s="11">
        <f>115-70+53</f>
        <v>98</v>
      </c>
      <c r="AA43" s="11">
        <f>115-70</f>
        <v>45</v>
      </c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70</v>
      </c>
      <c r="AW43" s="11">
        <v>70</v>
      </c>
      <c r="AX43" s="11">
        <f>70+100</f>
        <v>170</v>
      </c>
      <c r="AY43" s="11">
        <f>70+100-53-27</f>
        <v>90</v>
      </c>
      <c r="AZ43" s="11">
        <v>70</v>
      </c>
      <c r="BA43" s="295">
        <f t="shared" si="64"/>
        <v>965</v>
      </c>
      <c r="BB43" s="295">
        <f t="shared" si="65"/>
        <v>965</v>
      </c>
      <c r="BC43" s="295">
        <f t="shared" si="65"/>
        <v>1065</v>
      </c>
      <c r="BD43" s="295">
        <f t="shared" si="65"/>
        <v>1100</v>
      </c>
      <c r="BE43" s="295">
        <f t="shared" si="65"/>
        <v>965</v>
      </c>
      <c r="BF43" s="320">
        <f t="shared" si="19"/>
        <v>35</v>
      </c>
    </row>
    <row r="44" spans="1:58" x14ac:dyDescent="0.2">
      <c r="A44" s="60" t="s">
        <v>269</v>
      </c>
      <c r="B44" s="8" t="s">
        <v>311</v>
      </c>
      <c r="C44" s="11">
        <v>700</v>
      </c>
      <c r="D44" s="11">
        <v>700</v>
      </c>
      <c r="E44" s="11">
        <v>700</v>
      </c>
      <c r="F44" s="11">
        <f>700-12</f>
        <v>688</v>
      </c>
      <c r="G44" s="11">
        <v>700</v>
      </c>
      <c r="H44" s="198"/>
      <c r="I44" s="198"/>
      <c r="J44" s="198"/>
      <c r="K44" s="198"/>
      <c r="L44" s="198"/>
      <c r="M44" s="11"/>
      <c r="N44" s="11"/>
      <c r="O44" s="11"/>
      <c r="P44" s="11"/>
      <c r="Q44" s="11"/>
      <c r="R44" s="11">
        <v>15</v>
      </c>
      <c r="S44" s="11">
        <f>15+25+100</f>
        <v>140</v>
      </c>
      <c r="T44" s="11">
        <f>15+25+100</f>
        <v>140</v>
      </c>
      <c r="U44" s="11">
        <f>15+25+100</f>
        <v>140</v>
      </c>
      <c r="V44" s="11">
        <v>15</v>
      </c>
      <c r="W44" s="11">
        <v>100</v>
      </c>
      <c r="X44" s="11">
        <f>100-100</f>
        <v>0</v>
      </c>
      <c r="Y44" s="11">
        <f>100-100</f>
        <v>0</v>
      </c>
      <c r="Z44" s="11">
        <f>100-100</f>
        <v>0</v>
      </c>
      <c r="AA44" s="11">
        <v>100</v>
      </c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>
        <v>25</v>
      </c>
      <c r="AR44" s="11">
        <f>25-25</f>
        <v>0</v>
      </c>
      <c r="AS44" s="11">
        <f>25-25</f>
        <v>0</v>
      </c>
      <c r="AT44" s="11">
        <f>25-25</f>
        <v>0</v>
      </c>
      <c r="AU44" s="11">
        <v>25</v>
      </c>
      <c r="AV44" s="11"/>
      <c r="AW44" s="11"/>
      <c r="AX44" s="11"/>
      <c r="AY44" s="11"/>
      <c r="AZ44" s="11"/>
      <c r="BA44" s="295">
        <f t="shared" si="64"/>
        <v>840</v>
      </c>
      <c r="BB44" s="295">
        <f t="shared" si="65"/>
        <v>840</v>
      </c>
      <c r="BC44" s="295">
        <f t="shared" si="65"/>
        <v>840</v>
      </c>
      <c r="BD44" s="295">
        <f t="shared" si="65"/>
        <v>828</v>
      </c>
      <c r="BE44" s="295">
        <f t="shared" si="65"/>
        <v>840</v>
      </c>
      <c r="BF44" s="320">
        <f t="shared" si="19"/>
        <v>-12</v>
      </c>
    </row>
    <row r="45" spans="1:58" x14ac:dyDescent="0.2">
      <c r="A45" s="284" t="s">
        <v>270</v>
      </c>
      <c r="B45" s="14" t="s">
        <v>290</v>
      </c>
      <c r="C45" s="6">
        <f t="shared" ref="C45:AH45" si="110">SUM(C46:C83)</f>
        <v>53436</v>
      </c>
      <c r="D45" s="6">
        <f t="shared" ref="D45:G45" si="111">SUM(D46:D83)</f>
        <v>23814</v>
      </c>
      <c r="E45" s="6">
        <f t="shared" ref="E45:F45" si="112">SUM(E46:E83)</f>
        <v>29479</v>
      </c>
      <c r="F45" s="6">
        <f t="shared" si="112"/>
        <v>28574</v>
      </c>
      <c r="G45" s="6">
        <f t="shared" si="111"/>
        <v>32599</v>
      </c>
      <c r="H45" s="6">
        <f t="shared" si="110"/>
        <v>110</v>
      </c>
      <c r="I45" s="6">
        <f t="shared" ref="I45:L45" si="113">SUM(I46:I83)</f>
        <v>125</v>
      </c>
      <c r="J45" s="6">
        <f t="shared" ref="J45:K45" si="114">SUM(J46:J83)</f>
        <v>129</v>
      </c>
      <c r="K45" s="6">
        <f t="shared" si="114"/>
        <v>129</v>
      </c>
      <c r="L45" s="6">
        <f t="shared" si="113"/>
        <v>110</v>
      </c>
      <c r="M45" s="6">
        <f t="shared" si="110"/>
        <v>24720</v>
      </c>
      <c r="N45" s="6">
        <f t="shared" si="110"/>
        <v>28274</v>
      </c>
      <c r="O45" s="6">
        <f t="shared" si="110"/>
        <v>28274</v>
      </c>
      <c r="P45" s="6">
        <f t="shared" ref="P45" si="115">SUM(P46:P83)</f>
        <v>28876</v>
      </c>
      <c r="Q45" s="6">
        <f t="shared" si="110"/>
        <v>24720</v>
      </c>
      <c r="R45" s="6">
        <f t="shared" si="110"/>
        <v>16008</v>
      </c>
      <c r="S45" s="6">
        <f t="shared" ref="S45:V45" si="116">SUM(S46:S83)</f>
        <v>16678</v>
      </c>
      <c r="T45" s="6">
        <f t="shared" ref="T45:U45" si="117">SUM(T46:T83)</f>
        <v>17676</v>
      </c>
      <c r="U45" s="6">
        <f t="shared" si="117"/>
        <v>17329</v>
      </c>
      <c r="V45" s="6">
        <f t="shared" si="116"/>
        <v>16008</v>
      </c>
      <c r="W45" s="6">
        <f t="shared" si="110"/>
        <v>4796</v>
      </c>
      <c r="X45" s="6">
        <f t="shared" ref="X45:AA45" si="118">SUM(X46:X83)</f>
        <v>42391</v>
      </c>
      <c r="Y45" s="6">
        <f t="shared" ref="Y45:Z45" si="119">SUM(Y46:Y83)</f>
        <v>62238</v>
      </c>
      <c r="Z45" s="6">
        <f t="shared" si="119"/>
        <v>64674</v>
      </c>
      <c r="AA45" s="6">
        <f t="shared" si="118"/>
        <v>6486</v>
      </c>
      <c r="AB45" s="6">
        <f t="shared" si="110"/>
        <v>8800</v>
      </c>
      <c r="AC45" s="6">
        <f t="shared" si="110"/>
        <v>17749</v>
      </c>
      <c r="AD45" s="6">
        <f t="shared" si="110"/>
        <v>19649</v>
      </c>
      <c r="AE45" s="6">
        <f t="shared" ref="AE45:AF45" si="120">SUM(AE46:AE83)</f>
        <v>19649</v>
      </c>
      <c r="AF45" s="6">
        <f t="shared" si="120"/>
        <v>19649</v>
      </c>
      <c r="AG45" s="6">
        <f t="shared" si="110"/>
        <v>0</v>
      </c>
      <c r="AH45" s="6">
        <f t="shared" si="110"/>
        <v>1942</v>
      </c>
      <c r="AI45" s="6">
        <f t="shared" ref="AI45:AZ45" si="121">SUM(AI46:AI83)</f>
        <v>2711</v>
      </c>
      <c r="AJ45" s="6">
        <f t="shared" ref="AJ45" si="122">SUM(AJ46:AJ83)</f>
        <v>2711</v>
      </c>
      <c r="AK45" s="6">
        <f t="shared" si="121"/>
        <v>0</v>
      </c>
      <c r="AL45" s="6">
        <f t="shared" si="121"/>
        <v>3120</v>
      </c>
      <c r="AM45" s="6">
        <f t="shared" si="121"/>
        <v>3120</v>
      </c>
      <c r="AN45" s="6">
        <f t="shared" si="121"/>
        <v>3120</v>
      </c>
      <c r="AO45" s="6">
        <f t="shared" ref="AO45" si="123">SUM(AO46:AO83)</f>
        <v>3120</v>
      </c>
      <c r="AP45" s="6">
        <f t="shared" si="121"/>
        <v>3120</v>
      </c>
      <c r="AQ45" s="6">
        <f t="shared" si="121"/>
        <v>0</v>
      </c>
      <c r="AR45" s="6">
        <f t="shared" si="121"/>
        <v>0</v>
      </c>
      <c r="AS45" s="6">
        <f t="shared" ref="AS45:AT45" si="124">SUM(AS46:AS83)</f>
        <v>0</v>
      </c>
      <c r="AT45" s="6">
        <f t="shared" si="124"/>
        <v>0</v>
      </c>
      <c r="AU45" s="6">
        <f t="shared" si="121"/>
        <v>0</v>
      </c>
      <c r="AV45" s="6">
        <f t="shared" si="121"/>
        <v>470</v>
      </c>
      <c r="AW45" s="6">
        <f t="shared" si="121"/>
        <v>2470</v>
      </c>
      <c r="AX45" s="6">
        <f t="shared" ref="AX45:AY45" si="125">SUM(AX46:AX83)</f>
        <v>5470</v>
      </c>
      <c r="AY45" s="6">
        <f t="shared" si="125"/>
        <v>5470</v>
      </c>
      <c r="AZ45" s="6">
        <f t="shared" si="121"/>
        <v>470</v>
      </c>
      <c r="BA45" s="731">
        <f t="shared" si="64"/>
        <v>111460</v>
      </c>
      <c r="BB45" s="731">
        <f t="shared" si="65"/>
        <v>136563</v>
      </c>
      <c r="BC45" s="731">
        <f t="shared" si="65"/>
        <v>168746</v>
      </c>
      <c r="BD45" s="731">
        <f t="shared" si="65"/>
        <v>170532</v>
      </c>
      <c r="BE45" s="731">
        <f t="shared" si="65"/>
        <v>103162</v>
      </c>
      <c r="BF45" s="320"/>
    </row>
    <row r="46" spans="1:58" s="9" customFormat="1" x14ac:dyDescent="0.2">
      <c r="A46" s="60" t="s">
        <v>271</v>
      </c>
      <c r="B46" s="8" t="s">
        <v>307</v>
      </c>
      <c r="C46" s="11">
        <v>0</v>
      </c>
      <c r="D46" s="11">
        <v>200</v>
      </c>
      <c r="E46" s="11">
        <v>200</v>
      </c>
      <c r="F46" s="11">
        <f>200+12+74</f>
        <v>286</v>
      </c>
      <c r="G46" s="11"/>
      <c r="H46" s="198"/>
      <c r="I46" s="198"/>
      <c r="J46" s="198"/>
      <c r="K46" s="198"/>
      <c r="L46" s="198"/>
      <c r="M46" s="11">
        <v>12000</v>
      </c>
      <c r="N46" s="11">
        <f>8000+3000+1000</f>
        <v>12000</v>
      </c>
      <c r="O46" s="11">
        <f>8000+3000+1000</f>
        <v>12000</v>
      </c>
      <c r="P46" s="11">
        <f>8000+3000+1000-74-686</f>
        <v>11240</v>
      </c>
      <c r="Q46" s="11">
        <f>8000+3000+1000</f>
        <v>12000</v>
      </c>
      <c r="R46" s="11">
        <v>2500</v>
      </c>
      <c r="S46" s="11">
        <v>2500</v>
      </c>
      <c r="T46" s="11">
        <f>2500+1000</f>
        <v>3500</v>
      </c>
      <c r="U46" s="11">
        <f>2500+1000-370</f>
        <v>3130</v>
      </c>
      <c r="V46" s="11">
        <v>2500</v>
      </c>
      <c r="W46" s="11">
        <v>3000</v>
      </c>
      <c r="X46" s="11">
        <v>3000</v>
      </c>
      <c r="Y46" s="11">
        <f>3000+6000</f>
        <v>9000</v>
      </c>
      <c r="Z46" s="11">
        <f>3000+6000+370+686</f>
        <v>10056</v>
      </c>
      <c r="AA46" s="11">
        <v>3000</v>
      </c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295">
        <f t="shared" si="64"/>
        <v>17500</v>
      </c>
      <c r="BB46" s="295">
        <f t="shared" si="65"/>
        <v>17700</v>
      </c>
      <c r="BC46" s="295">
        <f t="shared" si="65"/>
        <v>24700</v>
      </c>
      <c r="BD46" s="295">
        <f t="shared" si="65"/>
        <v>24712</v>
      </c>
      <c r="BE46" s="295">
        <f t="shared" si="65"/>
        <v>17500</v>
      </c>
      <c r="BF46" s="320">
        <f t="shared" si="19"/>
        <v>12</v>
      </c>
    </row>
    <row r="47" spans="1:58" s="9" customFormat="1" x14ac:dyDescent="0.2">
      <c r="A47" s="60" t="s">
        <v>321</v>
      </c>
      <c r="B47" s="8" t="s">
        <v>322</v>
      </c>
      <c r="C47" s="11"/>
      <c r="D47" s="11"/>
      <c r="E47" s="11"/>
      <c r="F47" s="11"/>
      <c r="G47" s="11"/>
      <c r="H47" s="198"/>
      <c r="I47" s="198"/>
      <c r="J47" s="198"/>
      <c r="K47" s="198"/>
      <c r="L47" s="198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>
        <v>8800</v>
      </c>
      <c r="AC47" s="11">
        <f>8800+8949</f>
        <v>17749</v>
      </c>
      <c r="AD47" s="11">
        <f>8800+8949+1600+300</f>
        <v>19649</v>
      </c>
      <c r="AE47" s="11">
        <f>8800+8949+1600+300</f>
        <v>19649</v>
      </c>
      <c r="AF47" s="11">
        <f>8800+8949+1600+300</f>
        <v>19649</v>
      </c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295">
        <f t="shared" si="64"/>
        <v>8800</v>
      </c>
      <c r="BB47" s="295">
        <f t="shared" ref="BB47:BE51" si="126">D47+I47+N47+S47+X47+AC47+AH47+AM47+AR47+AW47</f>
        <v>17749</v>
      </c>
      <c r="BC47" s="295">
        <f t="shared" si="126"/>
        <v>19649</v>
      </c>
      <c r="BD47" s="295">
        <f t="shared" si="126"/>
        <v>19649</v>
      </c>
      <c r="BE47" s="295">
        <f t="shared" si="126"/>
        <v>19649</v>
      </c>
      <c r="BF47" s="320">
        <f t="shared" si="19"/>
        <v>0</v>
      </c>
    </row>
    <row r="48" spans="1:58" s="9" customFormat="1" x14ac:dyDescent="0.2">
      <c r="A48" s="60" t="s">
        <v>272</v>
      </c>
      <c r="B48" s="8" t="s">
        <v>306</v>
      </c>
      <c r="C48" s="11">
        <v>850</v>
      </c>
      <c r="D48" s="11">
        <v>850</v>
      </c>
      <c r="E48" s="11">
        <v>850</v>
      </c>
      <c r="F48" s="11">
        <f>850-769</f>
        <v>81</v>
      </c>
      <c r="G48" s="11">
        <v>850</v>
      </c>
      <c r="H48" s="198"/>
      <c r="I48" s="198"/>
      <c r="J48" s="198"/>
      <c r="K48" s="198"/>
      <c r="L48" s="198"/>
      <c r="M48" s="11">
        <v>12720</v>
      </c>
      <c r="N48" s="11">
        <f>12720+1508</f>
        <v>14228</v>
      </c>
      <c r="O48" s="11">
        <f>12720+1508</f>
        <v>14228</v>
      </c>
      <c r="P48" s="11">
        <f>12720+1508+422+769</f>
        <v>15419</v>
      </c>
      <c r="Q48" s="11">
        <v>12720</v>
      </c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295">
        <f t="shared" si="64"/>
        <v>13570</v>
      </c>
      <c r="BB48" s="295">
        <f t="shared" si="126"/>
        <v>15078</v>
      </c>
      <c r="BC48" s="295">
        <f t="shared" si="126"/>
        <v>15078</v>
      </c>
      <c r="BD48" s="295">
        <f t="shared" si="126"/>
        <v>15500</v>
      </c>
      <c r="BE48" s="295">
        <f t="shared" si="126"/>
        <v>13570</v>
      </c>
      <c r="BF48" s="320">
        <f t="shared" si="19"/>
        <v>422</v>
      </c>
    </row>
    <row r="49" spans="1:58" s="9" customFormat="1" x14ac:dyDescent="0.2">
      <c r="A49" s="60" t="s">
        <v>273</v>
      </c>
      <c r="B49" s="8" t="s">
        <v>305</v>
      </c>
      <c r="C49" s="11">
        <v>3100</v>
      </c>
      <c r="D49" s="11">
        <f>3100-100-2000</f>
        <v>1000</v>
      </c>
      <c r="E49" s="11">
        <f>3100-100-2000-200</f>
        <v>800</v>
      </c>
      <c r="F49" s="11">
        <f>3100-100-2000-200</f>
        <v>800</v>
      </c>
      <c r="G49" s="11">
        <v>3100</v>
      </c>
      <c r="H49" s="11">
        <v>0</v>
      </c>
      <c r="I49" s="11">
        <v>15</v>
      </c>
      <c r="J49" s="11">
        <v>15</v>
      </c>
      <c r="K49" s="11">
        <v>15</v>
      </c>
      <c r="L49" s="198"/>
      <c r="M49" s="11"/>
      <c r="N49" s="11"/>
      <c r="O49" s="11"/>
      <c r="P49" s="11"/>
      <c r="Q49" s="11"/>
      <c r="R49" s="11">
        <v>100</v>
      </c>
      <c r="S49" s="11">
        <f>100+417+100</f>
        <v>617</v>
      </c>
      <c r="T49" s="11">
        <f>100+417+100</f>
        <v>617</v>
      </c>
      <c r="U49" s="11">
        <f>100+417+100</f>
        <v>617</v>
      </c>
      <c r="V49" s="11">
        <v>100</v>
      </c>
      <c r="W49" s="11">
        <v>50</v>
      </c>
      <c r="X49" s="11">
        <f>50+2000</f>
        <v>2050</v>
      </c>
      <c r="Y49" s="11">
        <f>50+2000+122+200</f>
        <v>2372</v>
      </c>
      <c r="Z49" s="11">
        <f>50+2000+122+200+230</f>
        <v>2602</v>
      </c>
      <c r="AA49" s="11">
        <v>50</v>
      </c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>
        <v>150</v>
      </c>
      <c r="AW49" s="11">
        <v>150</v>
      </c>
      <c r="AX49" s="11">
        <v>150</v>
      </c>
      <c r="AY49" s="11">
        <f>150</f>
        <v>150</v>
      </c>
      <c r="AZ49" s="11">
        <v>150</v>
      </c>
      <c r="BA49" s="295">
        <f t="shared" si="64"/>
        <v>3400</v>
      </c>
      <c r="BB49" s="295">
        <f t="shared" si="126"/>
        <v>3832</v>
      </c>
      <c r="BC49" s="295">
        <f t="shared" si="126"/>
        <v>3954</v>
      </c>
      <c r="BD49" s="295">
        <f t="shared" si="126"/>
        <v>4184</v>
      </c>
      <c r="BE49" s="295">
        <f t="shared" si="126"/>
        <v>3400</v>
      </c>
      <c r="BF49" s="320">
        <f t="shared" si="19"/>
        <v>230</v>
      </c>
    </row>
    <row r="50" spans="1:58" s="9" customFormat="1" x14ac:dyDescent="0.2">
      <c r="A50" s="60"/>
      <c r="B50" s="8" t="s">
        <v>415</v>
      </c>
      <c r="C50" s="11"/>
      <c r="D50" s="11"/>
      <c r="E50" s="11"/>
      <c r="F50" s="11"/>
      <c r="G50" s="11"/>
      <c r="H50" s="198"/>
      <c r="I50" s="198"/>
      <c r="J50" s="198"/>
      <c r="K50" s="198"/>
      <c r="L50" s="198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>
        <v>796</v>
      </c>
      <c r="X50" s="11">
        <v>796</v>
      </c>
      <c r="Y50" s="11">
        <v>796</v>
      </c>
      <c r="Z50" s="11">
        <f>796-230</f>
        <v>566</v>
      </c>
      <c r="AA50" s="11">
        <v>796</v>
      </c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295">
        <f t="shared" si="64"/>
        <v>796</v>
      </c>
      <c r="BB50" s="295">
        <f t="shared" si="126"/>
        <v>796</v>
      </c>
      <c r="BC50" s="295">
        <f t="shared" si="126"/>
        <v>796</v>
      </c>
      <c r="BD50" s="295">
        <f t="shared" si="126"/>
        <v>566</v>
      </c>
      <c r="BE50" s="295">
        <f t="shared" si="126"/>
        <v>796</v>
      </c>
      <c r="BF50" s="320">
        <f t="shared" si="19"/>
        <v>-230</v>
      </c>
    </row>
    <row r="51" spans="1:58" s="9" customFormat="1" ht="12.75" customHeight="1" x14ac:dyDescent="0.2">
      <c r="A51" s="60" t="s">
        <v>274</v>
      </c>
      <c r="B51" s="8" t="s">
        <v>304</v>
      </c>
      <c r="C51" s="11">
        <v>170</v>
      </c>
      <c r="D51" s="11">
        <f>170-170</f>
        <v>0</v>
      </c>
      <c r="E51" s="11">
        <f>170-170+6110</f>
        <v>6110</v>
      </c>
      <c r="F51" s="11">
        <f>170-170+6110</f>
        <v>6110</v>
      </c>
      <c r="G51" s="11">
        <v>170</v>
      </c>
      <c r="H51" s="198"/>
      <c r="I51" s="198"/>
      <c r="J51" s="198"/>
      <c r="K51" s="198"/>
      <c r="L51" s="198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>
        <v>850</v>
      </c>
      <c r="X51" s="11">
        <f>850+520+1000+170</f>
        <v>2540</v>
      </c>
      <c r="Y51" s="11">
        <f>(850+520+1000+170)+1326</f>
        <v>3866</v>
      </c>
      <c r="Z51" s="11">
        <f>(850+520+1000+170)+1326+1352</f>
        <v>5218</v>
      </c>
      <c r="AA51" s="11">
        <f t="shared" ref="AA51" si="127">850+520+1000+170</f>
        <v>2540</v>
      </c>
      <c r="AB51" s="11"/>
      <c r="AC51" s="11"/>
      <c r="AD51" s="11"/>
      <c r="AE51" s="11"/>
      <c r="AF51" s="11"/>
      <c r="AG51" s="11">
        <v>0</v>
      </c>
      <c r="AH51" s="11">
        <v>1942</v>
      </c>
      <c r="AI51" s="11">
        <v>1942</v>
      </c>
      <c r="AJ51" s="11">
        <v>1942</v>
      </c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295">
        <f t="shared" si="64"/>
        <v>1020</v>
      </c>
      <c r="BB51" s="295">
        <f t="shared" ref="BB51:BD51" si="128">D51+I51+N51+S51+X51+AC51+AH51+AM51+AR51+AW51</f>
        <v>4482</v>
      </c>
      <c r="BC51" s="295">
        <f t="shared" si="128"/>
        <v>11918</v>
      </c>
      <c r="BD51" s="295">
        <f t="shared" si="128"/>
        <v>13270</v>
      </c>
      <c r="BE51" s="295">
        <f t="shared" si="126"/>
        <v>2710</v>
      </c>
      <c r="BF51" s="320">
        <f t="shared" si="19"/>
        <v>1352</v>
      </c>
    </row>
    <row r="52" spans="1:58" s="9" customFormat="1" x14ac:dyDescent="0.2">
      <c r="A52" s="60" t="s">
        <v>275</v>
      </c>
      <c r="B52" s="8" t="s">
        <v>303</v>
      </c>
      <c r="C52" s="11"/>
      <c r="D52" s="11"/>
      <c r="E52" s="11"/>
      <c r="F52" s="11"/>
      <c r="G52" s="11"/>
      <c r="H52" s="198"/>
      <c r="I52" s="198"/>
      <c r="J52" s="198"/>
      <c r="K52" s="198"/>
      <c r="L52" s="198"/>
      <c r="M52" s="11"/>
      <c r="N52" s="11"/>
      <c r="O52" s="11"/>
      <c r="P52" s="11"/>
      <c r="Q52" s="11"/>
      <c r="R52" s="11">
        <v>30</v>
      </c>
      <c r="S52" s="11">
        <v>30</v>
      </c>
      <c r="T52" s="11">
        <f>30-2-9</f>
        <v>19</v>
      </c>
      <c r="U52" s="11">
        <f>30-2-9</f>
        <v>19</v>
      </c>
      <c r="V52" s="11">
        <v>30</v>
      </c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295">
        <f t="shared" si="64"/>
        <v>30</v>
      </c>
      <c r="BB52" s="295">
        <f t="shared" ref="BB52:BE69" si="129">D52+I52+N52+S52+X52+AC52+AH52+AM52+AR52+AW52</f>
        <v>30</v>
      </c>
      <c r="BC52" s="295">
        <f t="shared" si="129"/>
        <v>19</v>
      </c>
      <c r="BD52" s="295">
        <f t="shared" si="129"/>
        <v>19</v>
      </c>
      <c r="BE52" s="295">
        <f t="shared" si="129"/>
        <v>30</v>
      </c>
      <c r="BF52" s="320">
        <f t="shared" si="19"/>
        <v>0</v>
      </c>
    </row>
    <row r="53" spans="1:58" s="9" customFormat="1" x14ac:dyDescent="0.2">
      <c r="A53" s="60"/>
      <c r="B53" s="8" t="s">
        <v>312</v>
      </c>
      <c r="C53" s="11">
        <v>1254</v>
      </c>
      <c r="D53" s="11">
        <v>1254</v>
      </c>
      <c r="E53" s="11">
        <v>1254</v>
      </c>
      <c r="F53" s="11">
        <v>1254</v>
      </c>
      <c r="G53" s="11">
        <v>1254</v>
      </c>
      <c r="H53" s="198"/>
      <c r="I53" s="198"/>
      <c r="J53" s="198"/>
      <c r="K53" s="198"/>
      <c r="L53" s="198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295">
        <f t="shared" si="64"/>
        <v>1254</v>
      </c>
      <c r="BB53" s="295">
        <f t="shared" si="129"/>
        <v>1254</v>
      </c>
      <c r="BC53" s="295">
        <f t="shared" si="129"/>
        <v>1254</v>
      </c>
      <c r="BD53" s="295">
        <f t="shared" si="129"/>
        <v>1254</v>
      </c>
      <c r="BE53" s="295">
        <f t="shared" si="129"/>
        <v>1254</v>
      </c>
      <c r="BF53" s="320">
        <f t="shared" si="19"/>
        <v>0</v>
      </c>
    </row>
    <row r="54" spans="1:58" s="9" customFormat="1" x14ac:dyDescent="0.2">
      <c r="A54" s="60"/>
      <c r="B54" s="8" t="s">
        <v>313</v>
      </c>
      <c r="C54" s="11">
        <v>1600</v>
      </c>
      <c r="D54" s="11">
        <f>1600+295</f>
        <v>1895</v>
      </c>
      <c r="E54" s="11">
        <f>1600+295+160</f>
        <v>2055</v>
      </c>
      <c r="F54" s="11">
        <f>1600+295+160</f>
        <v>2055</v>
      </c>
      <c r="G54" s="11">
        <v>1600</v>
      </c>
      <c r="H54" s="198"/>
      <c r="I54" s="198"/>
      <c r="J54" s="198"/>
      <c r="K54" s="198"/>
      <c r="L54" s="198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295">
        <f t="shared" ref="BA54:BA67" si="130">C54+H54+M54+R54+W54+AB54+AG54+AL54+AQ54+AV54</f>
        <v>1600</v>
      </c>
      <c r="BB54" s="295">
        <f t="shared" si="129"/>
        <v>1895</v>
      </c>
      <c r="BC54" s="295">
        <f t="shared" si="129"/>
        <v>2055</v>
      </c>
      <c r="BD54" s="295">
        <f t="shared" si="129"/>
        <v>2055</v>
      </c>
      <c r="BE54" s="295" t="e">
        <f>#REF!+#REF!+#REF!+#REF!+#REF!+#REF!+#REF!+#REF!+#REF!+#REF!</f>
        <v>#REF!</v>
      </c>
      <c r="BF54" s="320">
        <f t="shared" si="19"/>
        <v>0</v>
      </c>
    </row>
    <row r="55" spans="1:58" s="9" customFormat="1" x14ac:dyDescent="0.2">
      <c r="A55" s="60"/>
      <c r="B55" s="8" t="s">
        <v>330</v>
      </c>
      <c r="C55" s="11">
        <f>(1000+3000)</f>
        <v>4000</v>
      </c>
      <c r="D55" s="11">
        <f>(1000+3000)</f>
        <v>4000</v>
      </c>
      <c r="E55" s="11">
        <f>(1000+3000)+1000</f>
        <v>5000</v>
      </c>
      <c r="F55" s="11">
        <f>(1000+3000)+1000</f>
        <v>5000</v>
      </c>
      <c r="G55" s="11">
        <f>(1000+3000)</f>
        <v>4000</v>
      </c>
      <c r="H55" s="198"/>
      <c r="I55" s="198"/>
      <c r="J55" s="198"/>
      <c r="K55" s="198"/>
      <c r="L55" s="198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295">
        <f t="shared" si="130"/>
        <v>4000</v>
      </c>
      <c r="BB55" s="295">
        <f t="shared" si="129"/>
        <v>4000</v>
      </c>
      <c r="BC55" s="295">
        <f t="shared" si="129"/>
        <v>5000</v>
      </c>
      <c r="BD55" s="295">
        <f t="shared" si="129"/>
        <v>5000</v>
      </c>
      <c r="BE55" s="295">
        <f t="shared" ref="BE55:BE66" si="131">G54+L54+Q54+V54+AA54+AF54+AK54+AP54+AU54+AZ54</f>
        <v>1600</v>
      </c>
      <c r="BF55" s="320">
        <f t="shared" si="19"/>
        <v>0</v>
      </c>
    </row>
    <row r="56" spans="1:58" s="9" customFormat="1" x14ac:dyDescent="0.2">
      <c r="A56" s="60"/>
      <c r="B56" s="8" t="s">
        <v>863</v>
      </c>
      <c r="C56" s="11">
        <v>3000</v>
      </c>
      <c r="D56" s="11">
        <f>3000-1000</f>
        <v>2000</v>
      </c>
      <c r="E56" s="11">
        <f>3000-1000-1000</f>
        <v>1000</v>
      </c>
      <c r="F56" s="11">
        <f>3000-1000-1000</f>
        <v>1000</v>
      </c>
      <c r="G56" s="11">
        <v>3000</v>
      </c>
      <c r="H56" s="198"/>
      <c r="I56" s="198"/>
      <c r="J56" s="198"/>
      <c r="K56" s="198"/>
      <c r="L56" s="198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295">
        <f t="shared" si="130"/>
        <v>3000</v>
      </c>
      <c r="BB56" s="295">
        <f t="shared" si="129"/>
        <v>2000</v>
      </c>
      <c r="BC56" s="295">
        <f t="shared" si="129"/>
        <v>1000</v>
      </c>
      <c r="BD56" s="295">
        <f t="shared" si="129"/>
        <v>1000</v>
      </c>
      <c r="BE56" s="295">
        <f t="shared" si="131"/>
        <v>4000</v>
      </c>
      <c r="BF56" s="320">
        <f t="shared" si="19"/>
        <v>0</v>
      </c>
    </row>
    <row r="57" spans="1:58" s="9" customFormat="1" x14ac:dyDescent="0.2">
      <c r="A57" s="60"/>
      <c r="B57" s="8" t="s">
        <v>326</v>
      </c>
      <c r="C57" s="8"/>
      <c r="D57" s="8"/>
      <c r="E57" s="8"/>
      <c r="F57" s="8"/>
      <c r="G57" s="8"/>
      <c r="H57" s="11">
        <v>0</v>
      </c>
      <c r="I57" s="11">
        <v>0</v>
      </c>
      <c r="J57" s="11">
        <v>2</v>
      </c>
      <c r="K57" s="11">
        <v>2</v>
      </c>
      <c r="L57" s="198"/>
      <c r="M57" s="11"/>
      <c r="N57" s="11"/>
      <c r="O57" s="11"/>
      <c r="P57" s="11"/>
      <c r="Q57" s="11"/>
      <c r="R57" s="11">
        <v>90</v>
      </c>
      <c r="S57" s="11">
        <v>90</v>
      </c>
      <c r="T57" s="11">
        <f>90+9</f>
        <v>99</v>
      </c>
      <c r="U57" s="11">
        <f>90+9</f>
        <v>99</v>
      </c>
      <c r="V57" s="11">
        <v>90</v>
      </c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295">
        <f t="shared" si="130"/>
        <v>90</v>
      </c>
      <c r="BB57" s="295">
        <f t="shared" si="129"/>
        <v>90</v>
      </c>
      <c r="BC57" s="295">
        <f t="shared" si="129"/>
        <v>101</v>
      </c>
      <c r="BD57" s="295">
        <f t="shared" si="129"/>
        <v>101</v>
      </c>
      <c r="BE57" s="295">
        <f t="shared" si="131"/>
        <v>3000</v>
      </c>
      <c r="BF57" s="320">
        <f t="shared" si="19"/>
        <v>0</v>
      </c>
    </row>
    <row r="58" spans="1:58" s="9" customFormat="1" x14ac:dyDescent="0.2">
      <c r="A58" s="60"/>
      <c r="B58" s="8" t="s">
        <v>92</v>
      </c>
      <c r="C58" s="8"/>
      <c r="D58" s="8"/>
      <c r="E58" s="8"/>
      <c r="F58" s="8"/>
      <c r="G58" s="8"/>
      <c r="H58" s="198"/>
      <c r="I58" s="198"/>
      <c r="J58" s="198"/>
      <c r="K58" s="198"/>
      <c r="L58" s="198"/>
      <c r="M58" s="11"/>
      <c r="N58" s="11"/>
      <c r="O58" s="11"/>
      <c r="P58" s="11"/>
      <c r="Q58" s="11"/>
      <c r="R58" s="11">
        <v>1022</v>
      </c>
      <c r="S58" s="11">
        <v>1022</v>
      </c>
      <c r="T58" s="11">
        <v>1022</v>
      </c>
      <c r="U58" s="11">
        <v>1022</v>
      </c>
      <c r="V58" s="11">
        <v>1022</v>
      </c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295">
        <f t="shared" si="130"/>
        <v>1022</v>
      </c>
      <c r="BB58" s="295">
        <f t="shared" si="129"/>
        <v>1022</v>
      </c>
      <c r="BC58" s="295">
        <f t="shared" si="129"/>
        <v>1022</v>
      </c>
      <c r="BD58" s="295">
        <f t="shared" si="129"/>
        <v>1022</v>
      </c>
      <c r="BE58" s="295">
        <f t="shared" si="131"/>
        <v>90</v>
      </c>
      <c r="BF58" s="320">
        <f t="shared" si="19"/>
        <v>0</v>
      </c>
    </row>
    <row r="59" spans="1:58" s="9" customFormat="1" x14ac:dyDescent="0.2">
      <c r="A59" s="60"/>
      <c r="B59" s="8" t="s">
        <v>864</v>
      </c>
      <c r="C59" s="8"/>
      <c r="D59" s="8"/>
      <c r="E59" s="8"/>
      <c r="F59" s="8"/>
      <c r="G59" s="8"/>
      <c r="H59" s="198"/>
      <c r="I59" s="198"/>
      <c r="J59" s="198"/>
      <c r="K59" s="198"/>
      <c r="L59" s="198"/>
      <c r="M59" s="11"/>
      <c r="N59" s="11"/>
      <c r="O59" s="11"/>
      <c r="P59" s="11"/>
      <c r="Q59" s="11"/>
      <c r="R59" s="11">
        <v>2458</v>
      </c>
      <c r="S59" s="11">
        <f>2458+98</f>
        <v>2556</v>
      </c>
      <c r="T59" s="11">
        <f>2458+98</f>
        <v>2556</v>
      </c>
      <c r="U59" s="11">
        <f>2458+98</f>
        <v>2556</v>
      </c>
      <c r="V59" s="11">
        <v>2458</v>
      </c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295">
        <f t="shared" si="130"/>
        <v>2458</v>
      </c>
      <c r="BB59" s="295">
        <f t="shared" si="129"/>
        <v>2556</v>
      </c>
      <c r="BC59" s="295">
        <f t="shared" si="129"/>
        <v>2556</v>
      </c>
      <c r="BD59" s="295">
        <f t="shared" si="129"/>
        <v>2556</v>
      </c>
      <c r="BE59" s="295">
        <f t="shared" si="131"/>
        <v>1022</v>
      </c>
      <c r="BF59" s="320">
        <f t="shared" si="19"/>
        <v>0</v>
      </c>
    </row>
    <row r="60" spans="1:58" s="9" customFormat="1" x14ac:dyDescent="0.2">
      <c r="A60" s="60"/>
      <c r="B60" s="8" t="s">
        <v>418</v>
      </c>
      <c r="C60" s="8"/>
      <c r="D60" s="8"/>
      <c r="E60" s="8"/>
      <c r="F60" s="8"/>
      <c r="G60" s="8"/>
      <c r="H60" s="198"/>
      <c r="I60" s="198"/>
      <c r="J60" s="198"/>
      <c r="K60" s="198"/>
      <c r="L60" s="198"/>
      <c r="M60" s="11"/>
      <c r="N60" s="11"/>
      <c r="O60" s="11"/>
      <c r="P60" s="11"/>
      <c r="Q60" s="11"/>
      <c r="R60" s="11">
        <v>8853</v>
      </c>
      <c r="S60" s="11">
        <f>8853+1</f>
        <v>8854</v>
      </c>
      <c r="T60" s="11">
        <f>8853+1</f>
        <v>8854</v>
      </c>
      <c r="U60" s="11">
        <f>8853+1</f>
        <v>8854</v>
      </c>
      <c r="V60" s="11">
        <v>8853</v>
      </c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295">
        <f t="shared" si="130"/>
        <v>8853</v>
      </c>
      <c r="BB60" s="295">
        <f t="shared" si="129"/>
        <v>8854</v>
      </c>
      <c r="BC60" s="295">
        <f t="shared" si="129"/>
        <v>8854</v>
      </c>
      <c r="BD60" s="295">
        <f t="shared" si="129"/>
        <v>8854</v>
      </c>
      <c r="BE60" s="295">
        <f t="shared" si="131"/>
        <v>2458</v>
      </c>
      <c r="BF60" s="320">
        <f t="shared" si="19"/>
        <v>0</v>
      </c>
    </row>
    <row r="61" spans="1:58" s="9" customFormat="1" x14ac:dyDescent="0.2">
      <c r="A61" s="60"/>
      <c r="B61" s="8" t="s">
        <v>327</v>
      </c>
      <c r="C61" s="8">
        <v>100</v>
      </c>
      <c r="D61" s="8">
        <v>100</v>
      </c>
      <c r="E61" s="8">
        <v>100</v>
      </c>
      <c r="F61" s="8">
        <v>100</v>
      </c>
      <c r="G61" s="8">
        <v>100</v>
      </c>
      <c r="H61" s="198"/>
      <c r="I61" s="198"/>
      <c r="J61" s="198"/>
      <c r="K61" s="198"/>
      <c r="L61" s="198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>
        <v>100</v>
      </c>
      <c r="X61" s="11">
        <v>100</v>
      </c>
      <c r="Y61" s="11">
        <v>100</v>
      </c>
      <c r="Z61" s="11">
        <v>100</v>
      </c>
      <c r="AA61" s="11">
        <v>100</v>
      </c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295">
        <f t="shared" si="130"/>
        <v>200</v>
      </c>
      <c r="BB61" s="295">
        <f t="shared" si="129"/>
        <v>200</v>
      </c>
      <c r="BC61" s="295">
        <f t="shared" si="129"/>
        <v>200</v>
      </c>
      <c r="BD61" s="295">
        <f t="shared" si="129"/>
        <v>200</v>
      </c>
      <c r="BE61" s="295">
        <f t="shared" si="131"/>
        <v>8853</v>
      </c>
      <c r="BF61" s="320">
        <f t="shared" si="19"/>
        <v>0</v>
      </c>
    </row>
    <row r="62" spans="1:58" s="9" customFormat="1" x14ac:dyDescent="0.2">
      <c r="A62" s="60"/>
      <c r="B62" s="8" t="s">
        <v>315</v>
      </c>
      <c r="C62" s="8"/>
      <c r="D62" s="8"/>
      <c r="E62" s="8"/>
      <c r="F62" s="8"/>
      <c r="G62" s="8"/>
      <c r="H62" s="198"/>
      <c r="I62" s="198"/>
      <c r="J62" s="198"/>
      <c r="K62" s="198"/>
      <c r="L62" s="198"/>
      <c r="M62" s="11"/>
      <c r="N62" s="11"/>
      <c r="O62" s="11"/>
      <c r="P62" s="11"/>
      <c r="Q62" s="11"/>
      <c r="R62" s="11">
        <v>630</v>
      </c>
      <c r="S62" s="11">
        <f>630+24</f>
        <v>654</v>
      </c>
      <c r="T62" s="11">
        <f>630+24</f>
        <v>654</v>
      </c>
      <c r="U62" s="11">
        <f>630+24</f>
        <v>654</v>
      </c>
      <c r="V62" s="11">
        <v>630</v>
      </c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295">
        <f t="shared" si="130"/>
        <v>630</v>
      </c>
      <c r="BB62" s="295">
        <f t="shared" si="129"/>
        <v>654</v>
      </c>
      <c r="BC62" s="295">
        <f t="shared" si="129"/>
        <v>654</v>
      </c>
      <c r="BD62" s="295">
        <f t="shared" si="129"/>
        <v>654</v>
      </c>
      <c r="BE62" s="295">
        <f t="shared" si="131"/>
        <v>200</v>
      </c>
      <c r="BF62" s="320">
        <f t="shared" si="19"/>
        <v>0</v>
      </c>
    </row>
    <row r="63" spans="1:58" s="9" customFormat="1" x14ac:dyDescent="0.2">
      <c r="A63" s="60"/>
      <c r="B63" s="8" t="s">
        <v>1041</v>
      </c>
      <c r="C63" s="8"/>
      <c r="D63" s="8"/>
      <c r="E63" s="8"/>
      <c r="F63" s="8"/>
      <c r="G63" s="8"/>
      <c r="H63" s="198"/>
      <c r="I63" s="198"/>
      <c r="J63" s="198"/>
      <c r="K63" s="198"/>
      <c r="L63" s="198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>
        <f>(260*12)</f>
        <v>3120</v>
      </c>
      <c r="AM63" s="11">
        <v>3120</v>
      </c>
      <c r="AN63" s="11">
        <v>3120</v>
      </c>
      <c r="AO63" s="11">
        <v>3120</v>
      </c>
      <c r="AP63" s="11">
        <v>3120</v>
      </c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295">
        <f t="shared" si="130"/>
        <v>3120</v>
      </c>
      <c r="BB63" s="295">
        <f t="shared" si="129"/>
        <v>3120</v>
      </c>
      <c r="BC63" s="295">
        <f t="shared" si="129"/>
        <v>3120</v>
      </c>
      <c r="BD63" s="295">
        <f t="shared" si="129"/>
        <v>3120</v>
      </c>
      <c r="BE63" s="295">
        <f t="shared" si="131"/>
        <v>630</v>
      </c>
      <c r="BF63" s="320">
        <f t="shared" si="19"/>
        <v>0</v>
      </c>
    </row>
    <row r="64" spans="1:58" s="9" customFormat="1" x14ac:dyDescent="0.2">
      <c r="A64" s="60"/>
      <c r="B64" s="8" t="s">
        <v>1042</v>
      </c>
      <c r="C64" s="11">
        <v>605</v>
      </c>
      <c r="D64" s="11">
        <v>605</v>
      </c>
      <c r="E64" s="11">
        <v>605</v>
      </c>
      <c r="F64" s="8">
        <f>605+200</f>
        <v>805</v>
      </c>
      <c r="G64" s="11">
        <v>605</v>
      </c>
      <c r="H64" s="198"/>
      <c r="I64" s="198"/>
      <c r="J64" s="198"/>
      <c r="K64" s="198"/>
      <c r="L64" s="198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295">
        <f t="shared" si="130"/>
        <v>605</v>
      </c>
      <c r="BB64" s="295">
        <f t="shared" si="129"/>
        <v>605</v>
      </c>
      <c r="BC64" s="295">
        <f t="shared" si="129"/>
        <v>605</v>
      </c>
      <c r="BD64" s="295">
        <f t="shared" si="129"/>
        <v>805</v>
      </c>
      <c r="BE64" s="295">
        <f t="shared" si="131"/>
        <v>3120</v>
      </c>
      <c r="BF64" s="320">
        <f t="shared" si="19"/>
        <v>200</v>
      </c>
    </row>
    <row r="65" spans="1:58" s="9" customFormat="1" x14ac:dyDescent="0.2">
      <c r="A65" s="60"/>
      <c r="B65" s="8" t="s">
        <v>753</v>
      </c>
      <c r="C65" s="11">
        <v>2000</v>
      </c>
      <c r="D65" s="11">
        <f>2000-1500</f>
        <v>500</v>
      </c>
      <c r="E65" s="11">
        <f>2000-1500-160</f>
        <v>340</v>
      </c>
      <c r="F65" s="8">
        <f>2000-1500-160-200</f>
        <v>140</v>
      </c>
      <c r="G65" s="11">
        <v>2000</v>
      </c>
      <c r="H65" s="198"/>
      <c r="I65" s="198"/>
      <c r="J65" s="198"/>
      <c r="K65" s="198"/>
      <c r="L65" s="198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295">
        <f t="shared" si="130"/>
        <v>2000</v>
      </c>
      <c r="BB65" s="295">
        <f t="shared" si="129"/>
        <v>500</v>
      </c>
      <c r="BC65" s="295">
        <f t="shared" si="129"/>
        <v>340</v>
      </c>
      <c r="BD65" s="295">
        <f t="shared" si="129"/>
        <v>140</v>
      </c>
      <c r="BE65" s="295">
        <f t="shared" si="131"/>
        <v>605</v>
      </c>
      <c r="BF65" s="320">
        <f t="shared" si="19"/>
        <v>-200</v>
      </c>
    </row>
    <row r="66" spans="1:58" s="9" customFormat="1" x14ac:dyDescent="0.2">
      <c r="A66" s="60"/>
      <c r="B66" s="20" t="s">
        <v>867</v>
      </c>
      <c r="C66" s="11">
        <v>2000</v>
      </c>
      <c r="D66" s="11">
        <f>2000-1750</f>
        <v>250</v>
      </c>
      <c r="E66" s="11">
        <f>2000-1750</f>
        <v>250</v>
      </c>
      <c r="F66" s="11">
        <f>2000-1750</f>
        <v>250</v>
      </c>
      <c r="G66" s="11">
        <v>2000</v>
      </c>
      <c r="H66" s="198"/>
      <c r="I66" s="198"/>
      <c r="J66" s="198"/>
      <c r="K66" s="198"/>
      <c r="L66" s="198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>
        <v>0</v>
      </c>
      <c r="X66" s="11">
        <f>160+158+2000+1750-40</f>
        <v>4028</v>
      </c>
      <c r="Y66" s="11">
        <f>(160+158+2000+1750-40)+43+900-158</f>
        <v>4813</v>
      </c>
      <c r="Z66" s="11">
        <f>(160+158+2000+1750-40)+43+900-158-236</f>
        <v>4577</v>
      </c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295">
        <f t="shared" si="130"/>
        <v>2000</v>
      </c>
      <c r="BB66" s="295">
        <f t="shared" si="129"/>
        <v>4278</v>
      </c>
      <c r="BC66" s="295">
        <f t="shared" si="129"/>
        <v>5063</v>
      </c>
      <c r="BD66" s="295">
        <f t="shared" si="129"/>
        <v>4827</v>
      </c>
      <c r="BE66" s="295">
        <f t="shared" si="131"/>
        <v>2000</v>
      </c>
      <c r="BF66" s="320">
        <f t="shared" si="19"/>
        <v>-236</v>
      </c>
    </row>
    <row r="67" spans="1:58" s="9" customFormat="1" x14ac:dyDescent="0.2">
      <c r="A67" s="60"/>
      <c r="B67" s="20" t="s">
        <v>1230</v>
      </c>
      <c r="C67" s="11">
        <v>0</v>
      </c>
      <c r="D67" s="11">
        <v>58</v>
      </c>
      <c r="E67" s="11">
        <v>58</v>
      </c>
      <c r="F67" s="11">
        <v>58</v>
      </c>
      <c r="G67" s="11"/>
      <c r="H67" s="198"/>
      <c r="I67" s="198"/>
      <c r="J67" s="198"/>
      <c r="K67" s="198"/>
      <c r="L67" s="198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295">
        <f t="shared" si="130"/>
        <v>0</v>
      </c>
      <c r="BB67" s="295">
        <f t="shared" si="129"/>
        <v>58</v>
      </c>
      <c r="BC67" s="295">
        <f t="shared" si="129"/>
        <v>58</v>
      </c>
      <c r="BD67" s="295">
        <f t="shared" si="129"/>
        <v>58</v>
      </c>
      <c r="BE67" s="295"/>
      <c r="BF67" s="320">
        <f t="shared" si="19"/>
        <v>0</v>
      </c>
    </row>
    <row r="68" spans="1:58" s="9" customFormat="1" ht="13.5" thickBot="1" x14ac:dyDescent="0.25">
      <c r="A68" s="60"/>
      <c r="B68" s="20" t="s">
        <v>1366</v>
      </c>
      <c r="C68" s="11">
        <v>0</v>
      </c>
      <c r="D68" s="11">
        <v>276</v>
      </c>
      <c r="E68" s="11">
        <f>276+158</f>
        <v>434</v>
      </c>
      <c r="F68" s="11">
        <f>276+158</f>
        <v>434</v>
      </c>
      <c r="G68" s="11"/>
      <c r="H68" s="198"/>
      <c r="I68" s="198"/>
      <c r="J68" s="198"/>
      <c r="K68" s="198"/>
      <c r="L68" s="198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295">
        <f t="shared" ref="BA68:BA70" si="132">C68+H68+M68+R68+W68+AB68+AG68+AL68+AQ68+AV68</f>
        <v>0</v>
      </c>
      <c r="BB68" s="295">
        <f t="shared" ref="BB68:BD71" si="133">D68+I68+N68+S68+X68+AC68+AH68+AM68+AR68+AW68</f>
        <v>276</v>
      </c>
      <c r="BC68" s="295">
        <f t="shared" si="133"/>
        <v>434</v>
      </c>
      <c r="BD68" s="295">
        <f t="shared" si="133"/>
        <v>434</v>
      </c>
      <c r="BE68" s="295"/>
      <c r="BF68" s="320">
        <f t="shared" si="19"/>
        <v>0</v>
      </c>
    </row>
    <row r="69" spans="1:58" s="9" customFormat="1" ht="13.5" hidden="1" thickBot="1" x14ac:dyDescent="0.25">
      <c r="A69" s="60"/>
      <c r="B69" s="20"/>
      <c r="C69" s="11"/>
      <c r="D69" s="11"/>
      <c r="E69" s="11">
        <v>0</v>
      </c>
      <c r="F69" s="11">
        <v>0</v>
      </c>
      <c r="G69" s="11">
        <v>0</v>
      </c>
      <c r="H69" s="198"/>
      <c r="I69" s="198"/>
      <c r="J69" s="198"/>
      <c r="K69" s="198"/>
      <c r="L69" s="198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295">
        <f t="shared" si="132"/>
        <v>0</v>
      </c>
      <c r="BB69" s="295">
        <f t="shared" si="133"/>
        <v>0</v>
      </c>
      <c r="BC69" s="295">
        <f t="shared" si="133"/>
        <v>0</v>
      </c>
      <c r="BD69" s="295">
        <f t="shared" si="133"/>
        <v>0</v>
      </c>
      <c r="BE69" s="295">
        <f t="shared" si="129"/>
        <v>0</v>
      </c>
      <c r="BF69" s="320">
        <f t="shared" si="19"/>
        <v>0</v>
      </c>
    </row>
    <row r="70" spans="1:58" s="9" customFormat="1" ht="13.5" hidden="1" thickBot="1" x14ac:dyDescent="0.25">
      <c r="A70" s="60"/>
      <c r="B70" s="20"/>
      <c r="C70" s="11"/>
      <c r="D70" s="11"/>
      <c r="E70" s="11"/>
      <c r="F70" s="11"/>
      <c r="G70" s="11"/>
      <c r="H70" s="198"/>
      <c r="I70" s="198"/>
      <c r="J70" s="198"/>
      <c r="K70" s="198"/>
      <c r="L70" s="198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295">
        <f t="shared" si="132"/>
        <v>0</v>
      </c>
      <c r="BB70" s="295">
        <f t="shared" si="133"/>
        <v>0</v>
      </c>
      <c r="BC70" s="295">
        <f t="shared" si="133"/>
        <v>0</v>
      </c>
      <c r="BD70" s="295">
        <f t="shared" si="133"/>
        <v>0</v>
      </c>
      <c r="BE70" s="295">
        <f>G66+L66+Q66+V66+AA66+AF66+AK66+AP66+AU66+AZ66</f>
        <v>2000</v>
      </c>
      <c r="BF70" s="320">
        <f t="shared" si="19"/>
        <v>0</v>
      </c>
    </row>
    <row r="71" spans="1:58" s="9" customFormat="1" ht="26.25" thickBot="1" x14ac:dyDescent="0.25">
      <c r="A71" s="285"/>
      <c r="B71" s="272" t="s">
        <v>871</v>
      </c>
      <c r="C71" s="273">
        <v>20837</v>
      </c>
      <c r="D71" s="273">
        <f>20837-20837</f>
        <v>0</v>
      </c>
      <c r="E71" s="273">
        <f>20837-20837</f>
        <v>0</v>
      </c>
      <c r="F71" s="273">
        <f>20837-20837</f>
        <v>0</v>
      </c>
      <c r="G71" s="273">
        <f>E71</f>
        <v>0</v>
      </c>
      <c r="H71" s="263"/>
      <c r="I71" s="263"/>
      <c r="J71" s="263"/>
      <c r="K71" s="263"/>
      <c r="L71" s="26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273">
        <v>0</v>
      </c>
      <c r="X71" s="273">
        <v>24192</v>
      </c>
      <c r="Y71" s="273">
        <v>35325</v>
      </c>
      <c r="Z71" s="273">
        <f>C141</f>
        <v>35561</v>
      </c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295">
        <f t="shared" ref="BA71:BA94" si="134">C71+H71+M71+R71+W71+AB71+AG71+AL71+AQ71+AV71</f>
        <v>20837</v>
      </c>
      <c r="BB71" s="295">
        <f t="shared" si="133"/>
        <v>24192</v>
      </c>
      <c r="BC71" s="295">
        <f t="shared" si="133"/>
        <v>35325</v>
      </c>
      <c r="BD71" s="295">
        <f t="shared" si="133"/>
        <v>35561</v>
      </c>
      <c r="BE71" s="295">
        <f t="shared" ref="BB71:BE83" si="135">G71+L71+Q71+V71+AA71+AF71+AK71+AP71+AU71+AZ71</f>
        <v>0</v>
      </c>
      <c r="BF71" s="320">
        <f t="shared" si="19"/>
        <v>236</v>
      </c>
    </row>
    <row r="72" spans="1:58" s="9" customFormat="1" x14ac:dyDescent="0.2">
      <c r="A72" s="60" t="s">
        <v>276</v>
      </c>
      <c r="B72" s="164" t="s">
        <v>302</v>
      </c>
      <c r="C72" s="82"/>
      <c r="D72" s="82"/>
      <c r="E72" s="82"/>
      <c r="F72" s="82"/>
      <c r="G72" s="82"/>
      <c r="H72" s="198"/>
      <c r="I72" s="198"/>
      <c r="J72" s="198"/>
      <c r="K72" s="198"/>
      <c r="L72" s="198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295">
        <f t="shared" si="134"/>
        <v>0</v>
      </c>
      <c r="BB72" s="295">
        <f t="shared" si="135"/>
        <v>0</v>
      </c>
      <c r="BC72" s="295">
        <f t="shared" si="135"/>
        <v>0</v>
      </c>
      <c r="BD72" s="295">
        <f t="shared" si="135"/>
        <v>0</v>
      </c>
      <c r="BE72" s="295">
        <f t="shared" si="135"/>
        <v>0</v>
      </c>
      <c r="BF72" s="320">
        <f t="shared" si="19"/>
        <v>0</v>
      </c>
    </row>
    <row r="73" spans="1:58" s="9" customFormat="1" x14ac:dyDescent="0.2">
      <c r="A73" s="60"/>
      <c r="B73" s="8" t="s">
        <v>352</v>
      </c>
      <c r="C73" s="11">
        <v>100</v>
      </c>
      <c r="D73" s="11">
        <v>100</v>
      </c>
      <c r="E73" s="11">
        <v>100</v>
      </c>
      <c r="F73" s="11">
        <f>100-67</f>
        <v>33</v>
      </c>
      <c r="G73" s="11">
        <v>100</v>
      </c>
      <c r="H73" s="198"/>
      <c r="I73" s="198"/>
      <c r="J73" s="198"/>
      <c r="K73" s="198"/>
      <c r="L73" s="198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295">
        <f t="shared" si="134"/>
        <v>100</v>
      </c>
      <c r="BB73" s="295">
        <f t="shared" si="135"/>
        <v>100</v>
      </c>
      <c r="BC73" s="295">
        <f t="shared" si="135"/>
        <v>100</v>
      </c>
      <c r="BD73" s="295">
        <f t="shared" si="135"/>
        <v>33</v>
      </c>
      <c r="BE73" s="295">
        <f t="shared" si="135"/>
        <v>100</v>
      </c>
      <c r="BF73" s="320">
        <f t="shared" si="19"/>
        <v>-67</v>
      </c>
    </row>
    <row r="74" spans="1:58" s="9" customFormat="1" x14ac:dyDescent="0.2">
      <c r="A74" s="60"/>
      <c r="B74" s="8" t="s">
        <v>337</v>
      </c>
      <c r="C74" s="11"/>
      <c r="D74" s="11"/>
      <c r="E74" s="11"/>
      <c r="F74" s="11"/>
      <c r="G74" s="11"/>
      <c r="H74" s="198"/>
      <c r="I74" s="198"/>
      <c r="J74" s="198"/>
      <c r="K74" s="198"/>
      <c r="L74" s="198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234"/>
      <c r="X74" s="234"/>
      <c r="Y74" s="234"/>
      <c r="Z74" s="234"/>
      <c r="AA74" s="234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>
        <v>70</v>
      </c>
      <c r="AW74" s="11">
        <v>70</v>
      </c>
      <c r="AX74" s="11">
        <v>70</v>
      </c>
      <c r="AY74" s="11">
        <v>70</v>
      </c>
      <c r="AZ74" s="11">
        <v>70</v>
      </c>
      <c r="BA74" s="295">
        <f t="shared" si="134"/>
        <v>70</v>
      </c>
      <c r="BB74" s="295">
        <f t="shared" si="135"/>
        <v>70</v>
      </c>
      <c r="BC74" s="295">
        <f t="shared" si="135"/>
        <v>70</v>
      </c>
      <c r="BD74" s="295">
        <f t="shared" si="135"/>
        <v>70</v>
      </c>
      <c r="BE74" s="295">
        <f t="shared" si="135"/>
        <v>70</v>
      </c>
      <c r="BF74" s="320">
        <f t="shared" si="19"/>
        <v>0</v>
      </c>
    </row>
    <row r="75" spans="1:58" s="9" customFormat="1" x14ac:dyDescent="0.2">
      <c r="A75" s="60"/>
      <c r="B75" s="8" t="s">
        <v>414</v>
      </c>
      <c r="C75" s="11">
        <v>5500</v>
      </c>
      <c r="D75" s="11">
        <v>5500</v>
      </c>
      <c r="E75" s="11">
        <v>5500</v>
      </c>
      <c r="F75" s="11">
        <f>5500</f>
        <v>5500</v>
      </c>
      <c r="G75" s="11">
        <v>5500</v>
      </c>
      <c r="H75" s="198"/>
      <c r="I75" s="198"/>
      <c r="J75" s="198"/>
      <c r="K75" s="198"/>
      <c r="L75" s="198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295">
        <f t="shared" si="134"/>
        <v>5500</v>
      </c>
      <c r="BB75" s="295">
        <f t="shared" si="135"/>
        <v>5500</v>
      </c>
      <c r="BC75" s="295">
        <f t="shared" si="135"/>
        <v>5500</v>
      </c>
      <c r="BD75" s="295">
        <f t="shared" si="135"/>
        <v>5500</v>
      </c>
      <c r="BE75" s="295">
        <f t="shared" si="135"/>
        <v>5500</v>
      </c>
      <c r="BF75" s="320">
        <f t="shared" si="19"/>
        <v>0</v>
      </c>
    </row>
    <row r="76" spans="1:58" s="9" customFormat="1" x14ac:dyDescent="0.2">
      <c r="A76" s="60"/>
      <c r="B76" s="8" t="s">
        <v>1110</v>
      </c>
      <c r="C76" s="11">
        <v>1800</v>
      </c>
      <c r="D76" s="11">
        <f>1800-1800</f>
        <v>0</v>
      </c>
      <c r="E76" s="11">
        <f>1800-1800</f>
        <v>0</v>
      </c>
      <c r="F76" s="11">
        <f>1800-1800</f>
        <v>0</v>
      </c>
      <c r="G76" s="11">
        <v>1800</v>
      </c>
      <c r="H76" s="11">
        <v>10</v>
      </c>
      <c r="I76" s="11">
        <v>10</v>
      </c>
      <c r="J76" s="11">
        <f>10+2</f>
        <v>12</v>
      </c>
      <c r="K76" s="11">
        <f>10+2</f>
        <v>12</v>
      </c>
      <c r="L76" s="11">
        <v>10</v>
      </c>
      <c r="M76" s="11"/>
      <c r="N76" s="11"/>
      <c r="O76" s="11"/>
      <c r="P76" s="11"/>
      <c r="Q76" s="11"/>
      <c r="R76" s="11">
        <v>0</v>
      </c>
      <c r="S76" s="11">
        <v>5</v>
      </c>
      <c r="T76" s="11">
        <v>5</v>
      </c>
      <c r="U76" s="11">
        <v>5</v>
      </c>
      <c r="V76" s="11">
        <v>0</v>
      </c>
      <c r="W76" s="11">
        <v>0</v>
      </c>
      <c r="X76" s="11">
        <f>1800+425</f>
        <v>2225</v>
      </c>
      <c r="Y76" s="11">
        <f>1800+425+11</f>
        <v>2236</v>
      </c>
      <c r="Z76" s="11">
        <f>1800+425+11</f>
        <v>2236</v>
      </c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295">
        <f t="shared" si="134"/>
        <v>1810</v>
      </c>
      <c r="BB76" s="295">
        <f t="shared" si="135"/>
        <v>2240</v>
      </c>
      <c r="BC76" s="295">
        <f t="shared" si="135"/>
        <v>2253</v>
      </c>
      <c r="BD76" s="295">
        <f t="shared" si="135"/>
        <v>2253</v>
      </c>
      <c r="BE76" s="295">
        <f t="shared" si="135"/>
        <v>1810</v>
      </c>
      <c r="BF76" s="320">
        <f t="shared" ref="BF76:BF98" si="136">BD76-BC76</f>
        <v>0</v>
      </c>
    </row>
    <row r="77" spans="1:58" s="9" customFormat="1" x14ac:dyDescent="0.2">
      <c r="A77" s="60"/>
      <c r="B77" s="8" t="s">
        <v>920</v>
      </c>
      <c r="C77" s="11">
        <v>700</v>
      </c>
      <c r="D77" s="11">
        <v>700</v>
      </c>
      <c r="E77" s="11">
        <f>700-2-11</f>
        <v>687</v>
      </c>
      <c r="F77" s="11">
        <f>700-2-11+67</f>
        <v>754</v>
      </c>
      <c r="G77" s="11">
        <v>700</v>
      </c>
      <c r="H77" s="198"/>
      <c r="I77" s="198"/>
      <c r="J77" s="198"/>
      <c r="K77" s="198"/>
      <c r="L77" s="198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295">
        <f t="shared" si="134"/>
        <v>700</v>
      </c>
      <c r="BB77" s="295">
        <f t="shared" si="135"/>
        <v>700</v>
      </c>
      <c r="BC77" s="295">
        <f t="shared" si="135"/>
        <v>687</v>
      </c>
      <c r="BD77" s="295">
        <f t="shared" si="135"/>
        <v>754</v>
      </c>
      <c r="BE77" s="295">
        <f t="shared" si="135"/>
        <v>700</v>
      </c>
      <c r="BF77" s="320">
        <f t="shared" si="136"/>
        <v>67</v>
      </c>
    </row>
    <row r="78" spans="1:58" s="9" customFormat="1" x14ac:dyDescent="0.2">
      <c r="A78" s="60"/>
      <c r="B78" s="8" t="s">
        <v>329</v>
      </c>
      <c r="C78" s="11">
        <v>20</v>
      </c>
      <c r="D78" s="11">
        <v>20</v>
      </c>
      <c r="E78" s="11">
        <v>20</v>
      </c>
      <c r="F78" s="11">
        <f>20</f>
        <v>20</v>
      </c>
      <c r="G78" s="11">
        <v>20</v>
      </c>
      <c r="H78" s="198"/>
      <c r="I78" s="198"/>
      <c r="J78" s="198"/>
      <c r="K78" s="198"/>
      <c r="L78" s="198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295">
        <f t="shared" si="134"/>
        <v>20</v>
      </c>
      <c r="BB78" s="295">
        <f t="shared" si="135"/>
        <v>20</v>
      </c>
      <c r="BC78" s="295">
        <f t="shared" si="135"/>
        <v>20</v>
      </c>
      <c r="BD78" s="295">
        <f t="shared" si="135"/>
        <v>20</v>
      </c>
      <c r="BE78" s="295">
        <f t="shared" si="135"/>
        <v>20</v>
      </c>
      <c r="BF78" s="320">
        <f t="shared" si="136"/>
        <v>0</v>
      </c>
    </row>
    <row r="79" spans="1:58" s="9" customFormat="1" x14ac:dyDescent="0.2">
      <c r="A79" s="60"/>
      <c r="B79" s="8" t="s">
        <v>485</v>
      </c>
      <c r="C79" s="11"/>
      <c r="D79" s="11"/>
      <c r="E79" s="11"/>
      <c r="F79" s="11"/>
      <c r="G79" s="11"/>
      <c r="H79" s="198"/>
      <c r="I79" s="198"/>
      <c r="J79" s="198"/>
      <c r="K79" s="198"/>
      <c r="L79" s="198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>
        <v>250</v>
      </c>
      <c r="AW79" s="11">
        <v>250</v>
      </c>
      <c r="AX79" s="11">
        <v>250</v>
      </c>
      <c r="AY79" s="11">
        <f>250-200</f>
        <v>50</v>
      </c>
      <c r="AZ79" s="11">
        <v>250</v>
      </c>
      <c r="BA79" s="295">
        <f t="shared" si="134"/>
        <v>250</v>
      </c>
      <c r="BB79" s="295">
        <f t="shared" si="135"/>
        <v>250</v>
      </c>
      <c r="BC79" s="295">
        <f t="shared" si="135"/>
        <v>250</v>
      </c>
      <c r="BD79" s="295">
        <f t="shared" si="135"/>
        <v>50</v>
      </c>
      <c r="BE79" s="295">
        <f t="shared" si="135"/>
        <v>250</v>
      </c>
      <c r="BF79" s="320">
        <f t="shared" si="136"/>
        <v>-200</v>
      </c>
    </row>
    <row r="80" spans="1:58" s="9" customFormat="1" x14ac:dyDescent="0.2">
      <c r="A80" s="60"/>
      <c r="B80" s="8" t="s">
        <v>317</v>
      </c>
      <c r="C80" s="11">
        <v>800</v>
      </c>
      <c r="D80" s="11">
        <f>800-100-425-5</f>
        <v>270</v>
      </c>
      <c r="E80" s="11">
        <f>800-100-425-5-270</f>
        <v>0</v>
      </c>
      <c r="F80" s="11">
        <f>800-100-425-5-270</f>
        <v>0</v>
      </c>
      <c r="G80" s="11">
        <v>800</v>
      </c>
      <c r="H80" s="11">
        <v>100</v>
      </c>
      <c r="I80" s="11">
        <v>100</v>
      </c>
      <c r="J80" s="11">
        <v>100</v>
      </c>
      <c r="K80" s="11">
        <f>100</f>
        <v>100</v>
      </c>
      <c r="L80" s="11">
        <v>100</v>
      </c>
      <c r="M80" s="11"/>
      <c r="N80" s="11"/>
      <c r="O80" s="11"/>
      <c r="P80" s="11"/>
      <c r="Q80" s="11"/>
      <c r="R80" s="11">
        <v>300</v>
      </c>
      <c r="S80" s="11">
        <v>300</v>
      </c>
      <c r="T80" s="11">
        <v>300</v>
      </c>
      <c r="U80" s="11">
        <v>300</v>
      </c>
      <c r="V80" s="11">
        <v>300</v>
      </c>
      <c r="W80" s="11">
        <v>0</v>
      </c>
      <c r="X80" s="11">
        <v>100</v>
      </c>
      <c r="Y80" s="11">
        <f>100+270</f>
        <v>370</v>
      </c>
      <c r="Z80" s="11">
        <f>100+270</f>
        <v>370</v>
      </c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295">
        <f t="shared" si="134"/>
        <v>1200</v>
      </c>
      <c r="BB80" s="295">
        <f t="shared" si="135"/>
        <v>770</v>
      </c>
      <c r="BC80" s="295">
        <f t="shared" si="135"/>
        <v>770</v>
      </c>
      <c r="BD80" s="295">
        <f t="shared" si="135"/>
        <v>770</v>
      </c>
      <c r="BE80" s="295">
        <f t="shared" si="135"/>
        <v>1200</v>
      </c>
      <c r="BF80" s="320">
        <f t="shared" si="136"/>
        <v>0</v>
      </c>
    </row>
    <row r="81" spans="1:59" s="9" customFormat="1" x14ac:dyDescent="0.2">
      <c r="A81" s="60"/>
      <c r="B81" s="8" t="s">
        <v>1265</v>
      </c>
      <c r="C81" s="11">
        <v>700</v>
      </c>
      <c r="D81" s="11">
        <v>700</v>
      </c>
      <c r="E81" s="11">
        <v>700</v>
      </c>
      <c r="F81" s="11">
        <f>700-23</f>
        <v>677</v>
      </c>
      <c r="G81" s="11">
        <v>700</v>
      </c>
      <c r="H81" s="198"/>
      <c r="I81" s="198"/>
      <c r="J81" s="198"/>
      <c r="K81" s="198"/>
      <c r="L81" s="198"/>
      <c r="M81" s="11"/>
      <c r="N81" s="11"/>
      <c r="O81" s="11"/>
      <c r="P81" s="11"/>
      <c r="Q81" s="11"/>
      <c r="R81" s="11">
        <v>25</v>
      </c>
      <c r="S81" s="11">
        <v>25</v>
      </c>
      <c r="T81" s="11">
        <v>25</v>
      </c>
      <c r="U81" s="11">
        <f>25+23</f>
        <v>48</v>
      </c>
      <c r="V81" s="11">
        <v>25</v>
      </c>
      <c r="W81" s="11">
        <v>0</v>
      </c>
      <c r="X81" s="11">
        <v>0</v>
      </c>
      <c r="Y81" s="11">
        <v>0</v>
      </c>
      <c r="Z81" s="11">
        <v>28</v>
      </c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295">
        <f t="shared" si="134"/>
        <v>725</v>
      </c>
      <c r="BB81" s="295">
        <f t="shared" si="135"/>
        <v>725</v>
      </c>
      <c r="BC81" s="295">
        <f t="shared" si="135"/>
        <v>725</v>
      </c>
      <c r="BD81" s="295">
        <f t="shared" si="135"/>
        <v>753</v>
      </c>
      <c r="BE81" s="295">
        <f t="shared" si="135"/>
        <v>725</v>
      </c>
      <c r="BF81" s="320">
        <f t="shared" si="136"/>
        <v>28</v>
      </c>
    </row>
    <row r="82" spans="1:59" s="9" customFormat="1" x14ac:dyDescent="0.2">
      <c r="A82" s="60"/>
      <c r="B82" s="8" t="s">
        <v>1267</v>
      </c>
      <c r="C82" s="11">
        <v>3000</v>
      </c>
      <c r="D82" s="11">
        <f>3000+1500-2000-850</f>
        <v>1650</v>
      </c>
      <c r="E82" s="11">
        <f>3000+1500-2000-850-120</f>
        <v>1530</v>
      </c>
      <c r="F82" s="11">
        <f>3000+1500-2000-850-120-171-28</f>
        <v>1331</v>
      </c>
      <c r="G82" s="11">
        <v>3000</v>
      </c>
      <c r="H82" s="198"/>
      <c r="I82" s="198"/>
      <c r="J82" s="198"/>
      <c r="K82" s="198"/>
      <c r="L82" s="198"/>
      <c r="M82" s="11">
        <v>0</v>
      </c>
      <c r="N82" s="11">
        <v>2046</v>
      </c>
      <c r="O82" s="11">
        <v>2046</v>
      </c>
      <c r="P82" s="11">
        <f>2046+171</f>
        <v>2217</v>
      </c>
      <c r="Q82" s="11">
        <v>0</v>
      </c>
      <c r="R82" s="11">
        <v>0</v>
      </c>
      <c r="S82" s="11">
        <v>25</v>
      </c>
      <c r="T82" s="11">
        <v>25</v>
      </c>
      <c r="U82" s="11">
        <v>25</v>
      </c>
      <c r="V82" s="11"/>
      <c r="W82" s="11">
        <v>0</v>
      </c>
      <c r="X82" s="11">
        <f>510+2000+850</f>
        <v>3360</v>
      </c>
      <c r="Y82" s="11">
        <f>510+2000+850</f>
        <v>3360</v>
      </c>
      <c r="Z82" s="11">
        <f>510+2000+850</f>
        <v>3360</v>
      </c>
      <c r="AA82" s="11"/>
      <c r="AB82" s="11"/>
      <c r="AC82" s="11"/>
      <c r="AD82" s="11"/>
      <c r="AE82" s="11"/>
      <c r="AF82" s="11"/>
      <c r="AG82" s="11">
        <v>0</v>
      </c>
      <c r="AH82" s="11">
        <v>0</v>
      </c>
      <c r="AI82" s="11">
        <f>649+120</f>
        <v>769</v>
      </c>
      <c r="AJ82" s="11">
        <f>649+120</f>
        <v>769</v>
      </c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>
        <v>0</v>
      </c>
      <c r="AW82" s="11">
        <v>2000</v>
      </c>
      <c r="AX82" s="11">
        <f>2000+1000+800+1200</f>
        <v>5000</v>
      </c>
      <c r="AY82" s="11">
        <f>2000+1000+800+1200+200</f>
        <v>5200</v>
      </c>
      <c r="AZ82" s="11"/>
      <c r="BA82" s="295">
        <f t="shared" si="134"/>
        <v>3000</v>
      </c>
      <c r="BB82" s="295">
        <f t="shared" si="135"/>
        <v>9081</v>
      </c>
      <c r="BC82" s="295">
        <f t="shared" si="135"/>
        <v>12730</v>
      </c>
      <c r="BD82" s="295">
        <f t="shared" si="135"/>
        <v>12902</v>
      </c>
      <c r="BE82" s="295">
        <f t="shared" si="135"/>
        <v>3000</v>
      </c>
      <c r="BF82" s="320">
        <f t="shared" si="136"/>
        <v>172</v>
      </c>
    </row>
    <row r="83" spans="1:59" s="9" customFormat="1" x14ac:dyDescent="0.2">
      <c r="A83" s="60"/>
      <c r="B83" s="8" t="s">
        <v>787</v>
      </c>
      <c r="C83" s="11">
        <v>1300</v>
      </c>
      <c r="D83" s="11">
        <f>1300+89+497</f>
        <v>1886</v>
      </c>
      <c r="E83" s="11">
        <f>1300+89+497</f>
        <v>1886</v>
      </c>
      <c r="F83" s="11">
        <f>1300+89+497</f>
        <v>1886</v>
      </c>
      <c r="G83" s="11">
        <v>1300</v>
      </c>
      <c r="H83" s="198"/>
      <c r="I83" s="198"/>
      <c r="J83" s="198"/>
      <c r="K83" s="198"/>
      <c r="L83" s="198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295">
        <f t="shared" si="134"/>
        <v>1300</v>
      </c>
      <c r="BB83" s="295">
        <f>D83+I83+N83+S83+X83+AC83+AH83+AM83+AR83+AW83</f>
        <v>1886</v>
      </c>
      <c r="BC83" s="295">
        <f>E83+J83+O83+T83+Y83+AD83+AI83+AN83+AS83+AX83</f>
        <v>1886</v>
      </c>
      <c r="BD83" s="295">
        <f t="shared" si="135"/>
        <v>1886</v>
      </c>
      <c r="BE83" s="295">
        <f t="shared" si="135"/>
        <v>1300</v>
      </c>
      <c r="BF83" s="320">
        <f t="shared" si="136"/>
        <v>0</v>
      </c>
    </row>
    <row r="84" spans="1:59" s="9" customFormat="1" x14ac:dyDescent="0.2">
      <c r="A84" s="284" t="s">
        <v>277</v>
      </c>
      <c r="B84" s="14" t="s">
        <v>262</v>
      </c>
      <c r="C84" s="6">
        <f t="shared" ref="C84:AD84" si="137">SUM(C85:C86)</f>
        <v>1000</v>
      </c>
      <c r="D84" s="6">
        <f t="shared" ref="D84:G84" si="138">SUM(D85:D86)</f>
        <v>522</v>
      </c>
      <c r="E84" s="6">
        <f t="shared" ref="E84:F84" si="139">SUM(E85:E86)</f>
        <v>522</v>
      </c>
      <c r="F84" s="6">
        <f t="shared" si="139"/>
        <v>180</v>
      </c>
      <c r="G84" s="6">
        <f t="shared" si="138"/>
        <v>1000</v>
      </c>
      <c r="H84" s="6">
        <f t="shared" ref="H84" si="140">SUM(H85:H86)</f>
        <v>30</v>
      </c>
      <c r="I84" s="6">
        <f t="shared" ref="I84:L84" si="141">SUM(I85:I86)</f>
        <v>30</v>
      </c>
      <c r="J84" s="6">
        <f t="shared" si="141"/>
        <v>30</v>
      </c>
      <c r="K84" s="6">
        <f t="shared" ref="K84" si="142">SUM(K85:K86)</f>
        <v>37</v>
      </c>
      <c r="L84" s="6">
        <f t="shared" si="141"/>
        <v>30</v>
      </c>
      <c r="M84" s="6">
        <f t="shared" si="137"/>
        <v>0</v>
      </c>
      <c r="N84" s="6">
        <f t="shared" si="137"/>
        <v>0</v>
      </c>
      <c r="O84" s="6">
        <f t="shared" ref="O84:P84" si="143">SUM(O85:O86)</f>
        <v>0</v>
      </c>
      <c r="P84" s="6">
        <f t="shared" si="143"/>
        <v>0</v>
      </c>
      <c r="Q84" s="6">
        <f>SUM(Q85:Q86)</f>
        <v>0</v>
      </c>
      <c r="R84" s="6">
        <f t="shared" si="137"/>
        <v>0</v>
      </c>
      <c r="S84" s="6">
        <f t="shared" ref="S84:V84" si="144">SUM(S85:S86)</f>
        <v>0</v>
      </c>
      <c r="T84" s="6">
        <f t="shared" ref="T84:U84" si="145">SUM(T85:T86)</f>
        <v>0</v>
      </c>
      <c r="U84" s="6">
        <f t="shared" si="145"/>
        <v>0</v>
      </c>
      <c r="V84" s="6">
        <f t="shared" si="144"/>
        <v>0</v>
      </c>
      <c r="W84" s="6">
        <f t="shared" si="137"/>
        <v>150</v>
      </c>
      <c r="X84" s="6">
        <f t="shared" si="137"/>
        <v>785</v>
      </c>
      <c r="Y84" s="6">
        <f t="shared" si="137"/>
        <v>785</v>
      </c>
      <c r="Z84" s="6">
        <f t="shared" ref="Z84" si="146">SUM(Z85:Z86)</f>
        <v>1032</v>
      </c>
      <c r="AA84" s="6">
        <f>SUM(AA85:AA86)</f>
        <v>150</v>
      </c>
      <c r="AB84" s="6">
        <f t="shared" si="137"/>
        <v>0</v>
      </c>
      <c r="AC84" s="6">
        <f t="shared" si="137"/>
        <v>0</v>
      </c>
      <c r="AD84" s="6">
        <f t="shared" si="137"/>
        <v>0</v>
      </c>
      <c r="AE84" s="6">
        <f t="shared" ref="AE84:AF84" si="147">SUM(AE85:AE86)</f>
        <v>0</v>
      </c>
      <c r="AF84" s="6">
        <f t="shared" si="147"/>
        <v>0</v>
      </c>
      <c r="AG84" s="6">
        <f t="shared" ref="AG84:AZ84" si="148">SUM(AG85:AG86)</f>
        <v>0</v>
      </c>
      <c r="AH84" s="6">
        <f t="shared" si="148"/>
        <v>0</v>
      </c>
      <c r="AI84" s="6">
        <f>SUM(AI85:AI86)</f>
        <v>0</v>
      </c>
      <c r="AJ84" s="6">
        <f>SUM(AJ85:AJ86)</f>
        <v>0</v>
      </c>
      <c r="AK84" s="6">
        <f t="shared" si="148"/>
        <v>0</v>
      </c>
      <c r="AL84" s="6">
        <f t="shared" si="148"/>
        <v>0</v>
      </c>
      <c r="AM84" s="6">
        <f>SUM(AM85:AM86)</f>
        <v>0</v>
      </c>
      <c r="AN84" s="6">
        <f>SUM(AN85:AN86)</f>
        <v>0</v>
      </c>
      <c r="AO84" s="6">
        <f>SUM(AO85:AO86)</f>
        <v>0</v>
      </c>
      <c r="AP84" s="6">
        <f t="shared" si="148"/>
        <v>0</v>
      </c>
      <c r="AQ84" s="6">
        <f t="shared" si="148"/>
        <v>0</v>
      </c>
      <c r="AR84" s="6">
        <f>SUM(AR85:AR86)</f>
        <v>0</v>
      </c>
      <c r="AS84" s="6">
        <f>SUM(AS85:AS86)</f>
        <v>0</v>
      </c>
      <c r="AT84" s="6">
        <f>SUM(AT85:AT86)</f>
        <v>0</v>
      </c>
      <c r="AU84" s="6">
        <f t="shared" si="148"/>
        <v>0</v>
      </c>
      <c r="AV84" s="6">
        <f t="shared" si="148"/>
        <v>0</v>
      </c>
      <c r="AW84" s="6">
        <f t="shared" si="148"/>
        <v>500</v>
      </c>
      <c r="AX84" s="6">
        <f t="shared" si="148"/>
        <v>2500</v>
      </c>
      <c r="AY84" s="6">
        <f t="shared" ref="AY84" si="149">SUM(AY85:AY86)</f>
        <v>2793</v>
      </c>
      <c r="AZ84" s="6">
        <f t="shared" si="148"/>
        <v>0</v>
      </c>
      <c r="BA84" s="731">
        <f t="shared" si="134"/>
        <v>1180</v>
      </c>
      <c r="BB84" s="731">
        <f t="shared" ref="BB84:BE100" si="150">D84+I84+N84+S84+X84+AC84+AH84+AM84+AR84+AW84</f>
        <v>1837</v>
      </c>
      <c r="BC84" s="731">
        <f t="shared" si="150"/>
        <v>3837</v>
      </c>
      <c r="BD84" s="731">
        <f t="shared" si="150"/>
        <v>4042</v>
      </c>
      <c r="BE84" s="731">
        <f t="shared" si="150"/>
        <v>1180</v>
      </c>
      <c r="BF84" s="320"/>
    </row>
    <row r="85" spans="1:59" s="9" customFormat="1" x14ac:dyDescent="0.2">
      <c r="A85" s="60" t="s">
        <v>278</v>
      </c>
      <c r="B85" s="8" t="s">
        <v>301</v>
      </c>
      <c r="C85" s="11">
        <v>0</v>
      </c>
      <c r="D85" s="11">
        <v>22</v>
      </c>
      <c r="E85" s="11">
        <v>22</v>
      </c>
      <c r="F85" s="11">
        <v>22</v>
      </c>
      <c r="G85" s="11"/>
      <c r="H85" s="11">
        <v>30</v>
      </c>
      <c r="I85" s="11">
        <v>30</v>
      </c>
      <c r="J85" s="11">
        <v>30</v>
      </c>
      <c r="K85" s="11">
        <f>30+7</f>
        <v>37</v>
      </c>
      <c r="L85" s="11">
        <v>30</v>
      </c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>
        <v>100</v>
      </c>
      <c r="X85" s="11">
        <f>100-22</f>
        <v>78</v>
      </c>
      <c r="Y85" s="11">
        <f>100-22</f>
        <v>78</v>
      </c>
      <c r="Z85" s="11">
        <f>100-22-7</f>
        <v>71</v>
      </c>
      <c r="AA85" s="11">
        <v>100</v>
      </c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295">
        <f t="shared" si="134"/>
        <v>130</v>
      </c>
      <c r="BB85" s="295">
        <f t="shared" si="150"/>
        <v>130</v>
      </c>
      <c r="BC85" s="295">
        <f t="shared" si="150"/>
        <v>130</v>
      </c>
      <c r="BD85" s="295">
        <f t="shared" si="150"/>
        <v>130</v>
      </c>
      <c r="BE85" s="295">
        <f t="shared" si="150"/>
        <v>130</v>
      </c>
      <c r="BF85" s="320">
        <f t="shared" si="136"/>
        <v>0</v>
      </c>
    </row>
    <row r="86" spans="1:59" s="9" customFormat="1" x14ac:dyDescent="0.2">
      <c r="A86" s="60" t="s">
        <v>279</v>
      </c>
      <c r="B86" s="8" t="s">
        <v>314</v>
      </c>
      <c r="C86" s="11">
        <v>1000</v>
      </c>
      <c r="D86" s="11">
        <f>1000-500</f>
        <v>500</v>
      </c>
      <c r="E86" s="11">
        <f>1000-500</f>
        <v>500</v>
      </c>
      <c r="F86" s="11">
        <f>1000-500-293-49</f>
        <v>158</v>
      </c>
      <c r="G86" s="11">
        <v>1000</v>
      </c>
      <c r="H86" s="198"/>
      <c r="I86" s="198"/>
      <c r="J86" s="198"/>
      <c r="K86" s="198"/>
      <c r="L86" s="198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>
        <v>50</v>
      </c>
      <c r="X86" s="11">
        <f>50+350+150+157</f>
        <v>707</v>
      </c>
      <c r="Y86" s="11">
        <f>50+350+150+157</f>
        <v>707</v>
      </c>
      <c r="Z86" s="11">
        <f>50+350+150+157+205+49</f>
        <v>961</v>
      </c>
      <c r="AA86" s="11">
        <v>50</v>
      </c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>
        <v>0</v>
      </c>
      <c r="AW86" s="11">
        <v>500</v>
      </c>
      <c r="AX86" s="11">
        <f>500+2000</f>
        <v>2500</v>
      </c>
      <c r="AY86" s="11">
        <f>500+2000+293</f>
        <v>2793</v>
      </c>
      <c r="AZ86" s="11"/>
      <c r="BA86" s="295">
        <f t="shared" si="134"/>
        <v>1050</v>
      </c>
      <c r="BB86" s="295">
        <f t="shared" si="150"/>
        <v>1707</v>
      </c>
      <c r="BC86" s="295">
        <f t="shared" si="150"/>
        <v>3707</v>
      </c>
      <c r="BD86" s="295">
        <f t="shared" si="150"/>
        <v>3912</v>
      </c>
      <c r="BE86" s="295">
        <f t="shared" si="150"/>
        <v>1050</v>
      </c>
      <c r="BF86" s="320">
        <f t="shared" si="136"/>
        <v>205</v>
      </c>
    </row>
    <row r="87" spans="1:59" x14ac:dyDescent="0.2">
      <c r="A87" s="284" t="s">
        <v>280</v>
      </c>
      <c r="B87" s="14" t="s">
        <v>263</v>
      </c>
      <c r="C87" s="6">
        <f t="shared" ref="C87:AH87" si="151">SUM(C88:C95)</f>
        <v>212018</v>
      </c>
      <c r="D87" s="6">
        <f t="shared" ref="D87:G87" si="152">SUM(D88:D95)</f>
        <v>31109</v>
      </c>
      <c r="E87" s="6">
        <f t="shared" ref="E87:F87" si="153">SUM(E88:E95)</f>
        <v>35142</v>
      </c>
      <c r="F87" s="6">
        <f t="shared" si="153"/>
        <v>32392</v>
      </c>
      <c r="G87" s="6">
        <f t="shared" si="152"/>
        <v>37170</v>
      </c>
      <c r="H87" s="6">
        <f t="shared" si="151"/>
        <v>135</v>
      </c>
      <c r="I87" s="6">
        <f t="shared" ref="I87:L87" si="154">SUM(I88:I95)</f>
        <v>135</v>
      </c>
      <c r="J87" s="6">
        <f t="shared" si="154"/>
        <v>135</v>
      </c>
      <c r="K87" s="6">
        <f t="shared" ref="K87" si="155">SUM(K88:K95)</f>
        <v>147</v>
      </c>
      <c r="L87" s="6">
        <f t="shared" si="154"/>
        <v>135</v>
      </c>
      <c r="M87" s="6">
        <f t="shared" si="151"/>
        <v>6674</v>
      </c>
      <c r="N87" s="6">
        <f t="shared" si="151"/>
        <v>6674</v>
      </c>
      <c r="O87" s="6">
        <f t="shared" ref="O87:P87" si="156">SUM(O88:O95)</f>
        <v>6674</v>
      </c>
      <c r="P87" s="6">
        <f t="shared" si="156"/>
        <v>7821</v>
      </c>
      <c r="Q87" s="6">
        <f t="shared" si="151"/>
        <v>6674</v>
      </c>
      <c r="R87" s="6">
        <f t="shared" si="151"/>
        <v>760</v>
      </c>
      <c r="S87" s="6">
        <f t="shared" ref="S87:V87" si="157">SUM(S88:S95)</f>
        <v>780</v>
      </c>
      <c r="T87" s="6">
        <f t="shared" ref="T87:U87" si="158">SUM(T88:T95)</f>
        <v>1070</v>
      </c>
      <c r="U87" s="6">
        <f t="shared" si="158"/>
        <v>1166</v>
      </c>
      <c r="V87" s="6">
        <f t="shared" si="157"/>
        <v>760</v>
      </c>
      <c r="W87" s="6">
        <f t="shared" si="151"/>
        <v>1200</v>
      </c>
      <c r="X87" s="6">
        <f t="shared" si="151"/>
        <v>183338</v>
      </c>
      <c r="Y87" s="6">
        <f t="shared" ref="Y87:Z87" si="159">SUM(Y88:Y95)</f>
        <v>184837</v>
      </c>
      <c r="Z87" s="6">
        <f t="shared" si="159"/>
        <v>187357</v>
      </c>
      <c r="AA87" s="6">
        <f t="shared" si="151"/>
        <v>1200</v>
      </c>
      <c r="AB87" s="6">
        <f t="shared" si="151"/>
        <v>2376</v>
      </c>
      <c r="AC87" s="6">
        <f t="shared" si="151"/>
        <v>2376</v>
      </c>
      <c r="AD87" s="6">
        <f t="shared" si="151"/>
        <v>2900</v>
      </c>
      <c r="AE87" s="6">
        <f t="shared" ref="AE87:AF87" si="160">SUM(AE88:AE95)</f>
        <v>2900</v>
      </c>
      <c r="AF87" s="6">
        <f t="shared" si="160"/>
        <v>2900</v>
      </c>
      <c r="AG87" s="6">
        <f t="shared" si="151"/>
        <v>0</v>
      </c>
      <c r="AH87" s="6">
        <f t="shared" si="151"/>
        <v>621</v>
      </c>
      <c r="AI87" s="6">
        <f t="shared" ref="AI87:AZ87" si="161">SUM(AI88:AI95)</f>
        <v>1316</v>
      </c>
      <c r="AJ87" s="6">
        <f t="shared" ref="AJ87" si="162">SUM(AJ88:AJ95)</f>
        <v>1486</v>
      </c>
      <c r="AK87" s="6">
        <f t="shared" si="161"/>
        <v>0</v>
      </c>
      <c r="AL87" s="6">
        <f t="shared" si="161"/>
        <v>0</v>
      </c>
      <c r="AM87" s="6">
        <f t="shared" si="161"/>
        <v>0</v>
      </c>
      <c r="AN87" s="6">
        <f t="shared" si="161"/>
        <v>0</v>
      </c>
      <c r="AO87" s="6">
        <f t="shared" ref="AO87" si="163">SUM(AO88:AO95)</f>
        <v>0</v>
      </c>
      <c r="AP87" s="6">
        <f t="shared" si="161"/>
        <v>0</v>
      </c>
      <c r="AQ87" s="6">
        <f t="shared" si="161"/>
        <v>20</v>
      </c>
      <c r="AR87" s="6">
        <f t="shared" si="161"/>
        <v>0</v>
      </c>
      <c r="AS87" s="6">
        <f t="shared" si="161"/>
        <v>0</v>
      </c>
      <c r="AT87" s="6">
        <f t="shared" ref="AT87" si="164">SUM(AT88:AT95)</f>
        <v>0</v>
      </c>
      <c r="AU87" s="6">
        <f t="shared" si="161"/>
        <v>20</v>
      </c>
      <c r="AV87" s="6">
        <f t="shared" si="161"/>
        <v>550</v>
      </c>
      <c r="AW87" s="6">
        <f t="shared" si="161"/>
        <v>550</v>
      </c>
      <c r="AX87" s="6">
        <f t="shared" si="161"/>
        <v>1550</v>
      </c>
      <c r="AY87" s="6">
        <f t="shared" ref="AY87" si="165">SUM(AY88:AY95)</f>
        <v>1550</v>
      </c>
      <c r="AZ87" s="6">
        <f t="shared" si="161"/>
        <v>550</v>
      </c>
      <c r="BA87" s="731">
        <f t="shared" si="134"/>
        <v>223733</v>
      </c>
      <c r="BB87" s="731">
        <f t="shared" si="150"/>
        <v>225583</v>
      </c>
      <c r="BC87" s="731">
        <f t="shared" si="150"/>
        <v>233624</v>
      </c>
      <c r="BD87" s="731">
        <f t="shared" si="150"/>
        <v>234819</v>
      </c>
      <c r="BE87" s="731">
        <f t="shared" si="150"/>
        <v>49409</v>
      </c>
      <c r="BF87" s="320"/>
      <c r="BG87" s="76"/>
    </row>
    <row r="88" spans="1:59" x14ac:dyDescent="0.2">
      <c r="A88" s="60" t="s">
        <v>281</v>
      </c>
      <c r="B88" s="8" t="s">
        <v>291</v>
      </c>
      <c r="C88" s="11">
        <v>15000</v>
      </c>
      <c r="D88" s="11">
        <f>(15000-5072)+74-11</f>
        <v>9991</v>
      </c>
      <c r="E88" s="11">
        <f>(15000-5072)+74-11-524-33-1000-290</f>
        <v>8144</v>
      </c>
      <c r="F88" s="11">
        <f>(15000-5072)+74-11-524-33-1000-290-12-96-1137-2520-170</f>
        <v>4209</v>
      </c>
      <c r="G88" s="11">
        <v>15000</v>
      </c>
      <c r="H88" s="11">
        <v>60</v>
      </c>
      <c r="I88" s="11">
        <v>60</v>
      </c>
      <c r="J88" s="11">
        <v>60</v>
      </c>
      <c r="K88" s="11">
        <f>60+12</f>
        <v>72</v>
      </c>
      <c r="L88" s="11">
        <v>60</v>
      </c>
      <c r="M88" s="11">
        <v>6674</v>
      </c>
      <c r="N88" s="11">
        <v>6674</v>
      </c>
      <c r="O88" s="11">
        <v>6674</v>
      </c>
      <c r="P88" s="11">
        <f>6674+1137</f>
        <v>7811</v>
      </c>
      <c r="Q88" s="11">
        <v>6674</v>
      </c>
      <c r="R88" s="11">
        <v>700</v>
      </c>
      <c r="S88" s="11">
        <f>700+10</f>
        <v>710</v>
      </c>
      <c r="T88" s="11">
        <f>700+10+290</f>
        <v>1000</v>
      </c>
      <c r="U88" s="11">
        <f>700+10+290+96</f>
        <v>1096</v>
      </c>
      <c r="V88" s="11">
        <v>700</v>
      </c>
      <c r="W88" s="11">
        <v>1200</v>
      </c>
      <c r="X88" s="11">
        <f>(1200+5072)+297+270+540+11</f>
        <v>7390</v>
      </c>
      <c r="Y88" s="11">
        <f>((1200+5072)+297+270+540+11)+11+540+321+459+243+33+361-489</f>
        <v>8869</v>
      </c>
      <c r="Z88" s="11">
        <f>((1200+5072)+297+270+540+11)+11+540+321+459+243+33+361-489+2520</f>
        <v>11389</v>
      </c>
      <c r="AA88" s="11">
        <v>1200</v>
      </c>
      <c r="AB88" s="11">
        <v>2376</v>
      </c>
      <c r="AC88" s="11">
        <v>2376</v>
      </c>
      <c r="AD88" s="11">
        <f>2376+524</f>
        <v>2900</v>
      </c>
      <c r="AE88" s="11">
        <f>2376+524</f>
        <v>2900</v>
      </c>
      <c r="AF88" s="11">
        <f>2376+524</f>
        <v>2900</v>
      </c>
      <c r="AG88" s="11">
        <v>0</v>
      </c>
      <c r="AH88" s="11">
        <v>621</v>
      </c>
      <c r="AI88" s="11">
        <f>621+662+33</f>
        <v>1316</v>
      </c>
      <c r="AJ88" s="11">
        <f>621+662+33+170</f>
        <v>1486</v>
      </c>
      <c r="AK88" s="11">
        <v>0</v>
      </c>
      <c r="AL88" s="11"/>
      <c r="AM88" s="11"/>
      <c r="AN88" s="11"/>
      <c r="AO88" s="11"/>
      <c r="AP88" s="11"/>
      <c r="AQ88" s="11">
        <v>10</v>
      </c>
      <c r="AR88" s="11">
        <f>10-10</f>
        <v>0</v>
      </c>
      <c r="AS88" s="11">
        <f>10-10</f>
        <v>0</v>
      </c>
      <c r="AT88" s="11">
        <f>10-10</f>
        <v>0</v>
      </c>
      <c r="AU88" s="11">
        <v>10</v>
      </c>
      <c r="AV88" s="11">
        <v>350</v>
      </c>
      <c r="AW88" s="11">
        <v>350</v>
      </c>
      <c r="AX88" s="11">
        <f>350+1000</f>
        <v>1350</v>
      </c>
      <c r="AY88" s="11">
        <f>350+1000</f>
        <v>1350</v>
      </c>
      <c r="AZ88" s="11">
        <v>350</v>
      </c>
      <c r="BA88" s="295">
        <f t="shared" si="134"/>
        <v>26370</v>
      </c>
      <c r="BB88" s="295">
        <f t="shared" si="150"/>
        <v>28172</v>
      </c>
      <c r="BC88" s="295">
        <f t="shared" si="150"/>
        <v>30313</v>
      </c>
      <c r="BD88" s="295">
        <f t="shared" si="150"/>
        <v>30313</v>
      </c>
      <c r="BE88" s="295">
        <f t="shared" si="150"/>
        <v>26894</v>
      </c>
      <c r="BF88" s="320">
        <f t="shared" si="136"/>
        <v>0</v>
      </c>
    </row>
    <row r="89" spans="1:59" x14ac:dyDescent="0.2">
      <c r="A89" s="60" t="s">
        <v>282</v>
      </c>
      <c r="B89" s="623" t="s">
        <v>921</v>
      </c>
      <c r="C89" s="11">
        <v>174848</v>
      </c>
      <c r="D89" s="11">
        <f>174848-174848</f>
        <v>0</v>
      </c>
      <c r="E89" s="11">
        <f>174848-174848</f>
        <v>0</v>
      </c>
      <c r="F89" s="11">
        <f>174848-174848</f>
        <v>0</v>
      </c>
      <c r="G89" s="535">
        <f>D89</f>
        <v>0</v>
      </c>
      <c r="H89" s="198"/>
      <c r="I89" s="198"/>
      <c r="J89" s="198"/>
      <c r="K89" s="198"/>
      <c r="L89" s="198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535">
        <v>0</v>
      </c>
      <c r="X89" s="535">
        <v>174848</v>
      </c>
      <c r="Y89" s="535">
        <v>174848</v>
      </c>
      <c r="Z89" s="535">
        <f>AQ115</f>
        <v>174848</v>
      </c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295">
        <f t="shared" si="134"/>
        <v>174848</v>
      </c>
      <c r="BB89" s="295">
        <f t="shared" si="150"/>
        <v>174848</v>
      </c>
      <c r="BC89" s="295">
        <f t="shared" si="150"/>
        <v>174848</v>
      </c>
      <c r="BD89" s="295">
        <f t="shared" si="150"/>
        <v>174848</v>
      </c>
      <c r="BE89" s="295">
        <f t="shared" si="150"/>
        <v>0</v>
      </c>
      <c r="BF89" s="320">
        <f t="shared" si="136"/>
        <v>0</v>
      </c>
    </row>
    <row r="90" spans="1:59" x14ac:dyDescent="0.2">
      <c r="A90" s="60" t="s">
        <v>283</v>
      </c>
      <c r="B90" s="8" t="s">
        <v>916</v>
      </c>
      <c r="C90" s="11">
        <v>17295</v>
      </c>
      <c r="D90" s="11">
        <f>17295+7+41</f>
        <v>17343</v>
      </c>
      <c r="E90" s="11">
        <f>17295+7+41+6680</f>
        <v>24023</v>
      </c>
      <c r="F90" s="11">
        <f>17295+7+41+6680+1400</f>
        <v>25423</v>
      </c>
      <c r="G90" s="11">
        <v>17295</v>
      </c>
      <c r="H90" s="198"/>
      <c r="I90" s="198"/>
      <c r="J90" s="198"/>
      <c r="K90" s="198"/>
      <c r="L90" s="198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>
        <v>0</v>
      </c>
      <c r="X90" s="11">
        <v>0</v>
      </c>
      <c r="Y90" s="11">
        <v>20</v>
      </c>
      <c r="Z90" s="11">
        <v>20</v>
      </c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295">
        <f t="shared" si="134"/>
        <v>17295</v>
      </c>
      <c r="BB90" s="295">
        <f t="shared" si="150"/>
        <v>17343</v>
      </c>
      <c r="BC90" s="295">
        <f t="shared" si="150"/>
        <v>24043</v>
      </c>
      <c r="BD90" s="295">
        <f t="shared" si="150"/>
        <v>25443</v>
      </c>
      <c r="BE90" s="295">
        <f t="shared" si="150"/>
        <v>17295</v>
      </c>
      <c r="BF90" s="320">
        <f t="shared" si="136"/>
        <v>1400</v>
      </c>
    </row>
    <row r="91" spans="1:59" x14ac:dyDescent="0.2">
      <c r="A91" s="60" t="s">
        <v>285</v>
      </c>
      <c r="B91" s="8" t="s">
        <v>58</v>
      </c>
      <c r="C91" s="11"/>
      <c r="D91" s="11"/>
      <c r="E91" s="11"/>
      <c r="F91" s="11"/>
      <c r="G91" s="11"/>
      <c r="H91" s="11">
        <v>50</v>
      </c>
      <c r="I91" s="11">
        <v>50</v>
      </c>
      <c r="J91" s="11">
        <v>50</v>
      </c>
      <c r="K91" s="11">
        <v>50</v>
      </c>
      <c r="L91" s="11">
        <v>50</v>
      </c>
      <c r="M91" s="11"/>
      <c r="N91" s="11"/>
      <c r="O91" s="11"/>
      <c r="P91" s="11"/>
      <c r="Q91" s="11"/>
      <c r="R91" s="11">
        <v>25</v>
      </c>
      <c r="S91" s="11">
        <v>25</v>
      </c>
      <c r="T91" s="11">
        <v>25</v>
      </c>
      <c r="U91" s="11">
        <v>25</v>
      </c>
      <c r="V91" s="11">
        <v>25</v>
      </c>
      <c r="W91" s="11">
        <v>0</v>
      </c>
      <c r="X91" s="11">
        <v>100</v>
      </c>
      <c r="Y91" s="11">
        <v>100</v>
      </c>
      <c r="Z91" s="11">
        <v>100</v>
      </c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>
        <v>100</v>
      </c>
      <c r="AW91" s="11">
        <v>100</v>
      </c>
      <c r="AX91" s="11">
        <f>100-100</f>
        <v>0</v>
      </c>
      <c r="AY91" s="11">
        <f>100-100</f>
        <v>0</v>
      </c>
      <c r="AZ91" s="11">
        <v>100</v>
      </c>
      <c r="BA91" s="295">
        <f t="shared" si="134"/>
        <v>175</v>
      </c>
      <c r="BB91" s="295">
        <f t="shared" si="150"/>
        <v>275</v>
      </c>
      <c r="BC91" s="295">
        <f t="shared" si="150"/>
        <v>175</v>
      </c>
      <c r="BD91" s="295">
        <f t="shared" si="150"/>
        <v>175</v>
      </c>
      <c r="BE91" s="295">
        <f t="shared" si="150"/>
        <v>175</v>
      </c>
      <c r="BF91" s="320">
        <f t="shared" si="136"/>
        <v>0</v>
      </c>
    </row>
    <row r="92" spans="1:59" x14ac:dyDescent="0.2">
      <c r="A92" s="60"/>
      <c r="B92" s="8" t="s">
        <v>915</v>
      </c>
      <c r="C92" s="11">
        <v>75</v>
      </c>
      <c r="D92" s="11">
        <v>75</v>
      </c>
      <c r="E92" s="11">
        <v>75</v>
      </c>
      <c r="F92" s="11">
        <v>75</v>
      </c>
      <c r="G92" s="11">
        <v>75</v>
      </c>
      <c r="H92" s="198"/>
      <c r="I92" s="198"/>
      <c r="J92" s="198"/>
      <c r="K92" s="198"/>
      <c r="L92" s="198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295">
        <f t="shared" si="134"/>
        <v>75</v>
      </c>
      <c r="BB92" s="295">
        <f t="shared" si="150"/>
        <v>75</v>
      </c>
      <c r="BC92" s="295">
        <f t="shared" si="150"/>
        <v>75</v>
      </c>
      <c r="BD92" s="295">
        <f t="shared" si="150"/>
        <v>75</v>
      </c>
      <c r="BE92" s="295">
        <f t="shared" si="150"/>
        <v>75</v>
      </c>
      <c r="BF92" s="320">
        <f t="shared" si="136"/>
        <v>0</v>
      </c>
    </row>
    <row r="93" spans="1:59" x14ac:dyDescent="0.2">
      <c r="A93" s="60"/>
      <c r="B93" s="8" t="s">
        <v>1181</v>
      </c>
      <c r="C93" s="11">
        <v>800</v>
      </c>
      <c r="D93" s="11">
        <v>800</v>
      </c>
      <c r="E93" s="11">
        <f>800-800</f>
        <v>0</v>
      </c>
      <c r="F93" s="11">
        <f>800-800</f>
        <v>0</v>
      </c>
      <c r="G93" s="11">
        <v>800</v>
      </c>
      <c r="H93" s="198"/>
      <c r="I93" s="198"/>
      <c r="J93" s="198"/>
      <c r="K93" s="198"/>
      <c r="L93" s="198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295">
        <f t="shared" si="134"/>
        <v>800</v>
      </c>
      <c r="BB93" s="295">
        <f t="shared" si="150"/>
        <v>800</v>
      </c>
      <c r="BC93" s="295">
        <f t="shared" si="150"/>
        <v>0</v>
      </c>
      <c r="BD93" s="295">
        <f t="shared" si="150"/>
        <v>0</v>
      </c>
      <c r="BE93" s="295">
        <f t="shared" si="150"/>
        <v>800</v>
      </c>
      <c r="BF93" s="320">
        <f t="shared" si="136"/>
        <v>0</v>
      </c>
    </row>
    <row r="94" spans="1:59" x14ac:dyDescent="0.2">
      <c r="A94" s="60"/>
      <c r="B94" s="8" t="s">
        <v>924</v>
      </c>
      <c r="C94" s="11">
        <v>4000</v>
      </c>
      <c r="D94" s="11">
        <f>4000-100-1000</f>
        <v>2900</v>
      </c>
      <c r="E94" s="11">
        <f>4000-100-1000</f>
        <v>2900</v>
      </c>
      <c r="F94" s="11">
        <f>4000-100-1000-205-10</f>
        <v>2685</v>
      </c>
      <c r="G94" s="11">
        <v>4000</v>
      </c>
      <c r="H94" s="11">
        <v>25</v>
      </c>
      <c r="I94" s="11">
        <v>25</v>
      </c>
      <c r="J94" s="11">
        <v>25</v>
      </c>
      <c r="K94" s="11">
        <v>25</v>
      </c>
      <c r="L94" s="11">
        <v>25</v>
      </c>
      <c r="M94" s="11">
        <v>0</v>
      </c>
      <c r="N94" s="11">
        <v>0</v>
      </c>
      <c r="O94" s="11">
        <v>0</v>
      </c>
      <c r="P94" s="11">
        <v>10</v>
      </c>
      <c r="Q94" s="11"/>
      <c r="R94" s="11">
        <v>35</v>
      </c>
      <c r="S94" s="11">
        <f>35+10</f>
        <v>45</v>
      </c>
      <c r="T94" s="11">
        <f>35+10</f>
        <v>45</v>
      </c>
      <c r="U94" s="11">
        <f>35+10</f>
        <v>45</v>
      </c>
      <c r="V94" s="11">
        <v>35</v>
      </c>
      <c r="W94" s="11">
        <v>0</v>
      </c>
      <c r="X94" s="11">
        <v>1000</v>
      </c>
      <c r="Y94" s="11">
        <v>1000</v>
      </c>
      <c r="Z94" s="11">
        <v>1000</v>
      </c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>
        <v>10</v>
      </c>
      <c r="AR94" s="11">
        <f>10-10</f>
        <v>0</v>
      </c>
      <c r="AS94" s="11">
        <f>10-10</f>
        <v>0</v>
      </c>
      <c r="AT94" s="11">
        <f>10-10</f>
        <v>0</v>
      </c>
      <c r="AU94" s="11">
        <v>10</v>
      </c>
      <c r="AV94" s="11">
        <v>100</v>
      </c>
      <c r="AW94" s="11">
        <v>100</v>
      </c>
      <c r="AX94" s="11">
        <f>100+100</f>
        <v>200</v>
      </c>
      <c r="AY94" s="11">
        <f>100+100</f>
        <v>200</v>
      </c>
      <c r="AZ94" s="11">
        <v>100</v>
      </c>
      <c r="BA94" s="295">
        <f t="shared" si="134"/>
        <v>4170</v>
      </c>
      <c r="BB94" s="295">
        <f t="shared" si="150"/>
        <v>4070</v>
      </c>
      <c r="BC94" s="295">
        <f t="shared" si="150"/>
        <v>4170</v>
      </c>
      <c r="BD94" s="295">
        <f t="shared" si="150"/>
        <v>3965</v>
      </c>
      <c r="BE94" s="295">
        <f t="shared" si="150"/>
        <v>4170</v>
      </c>
      <c r="BF94" s="320">
        <f t="shared" si="136"/>
        <v>-205</v>
      </c>
    </row>
    <row r="95" spans="1:59" hidden="1" x14ac:dyDescent="0.2">
      <c r="A95" s="60"/>
      <c r="B95" s="8" t="s">
        <v>462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295">
        <f t="shared" ref="BA95:BA102" si="166">C95+H95+M95+R95+W95+AB95+AG95+AL95+AQ95+AV95</f>
        <v>0</v>
      </c>
      <c r="BB95" s="295">
        <f t="shared" si="150"/>
        <v>0</v>
      </c>
      <c r="BC95" s="295">
        <f t="shared" si="150"/>
        <v>0</v>
      </c>
      <c r="BD95" s="295">
        <f t="shared" si="150"/>
        <v>0</v>
      </c>
      <c r="BE95" s="295">
        <f t="shared" si="150"/>
        <v>0</v>
      </c>
      <c r="BF95" s="320">
        <f t="shared" si="136"/>
        <v>0</v>
      </c>
    </row>
    <row r="96" spans="1:59" x14ac:dyDescent="0.2">
      <c r="A96" s="284" t="s">
        <v>296</v>
      </c>
      <c r="B96" s="115" t="s">
        <v>31</v>
      </c>
      <c r="C96" s="150">
        <f t="shared" ref="C96:AH96" si="167">SUM(C33+C42+C45+C84+C87)</f>
        <v>270724</v>
      </c>
      <c r="D96" s="150">
        <f t="shared" si="167"/>
        <v>60029</v>
      </c>
      <c r="E96" s="150">
        <f t="shared" si="167"/>
        <v>70657</v>
      </c>
      <c r="F96" s="150">
        <f t="shared" ref="F96" si="168">SUM(F33+F42+F45+F84+F87)</f>
        <v>66352</v>
      </c>
      <c r="G96" s="150">
        <f t="shared" si="167"/>
        <v>75039</v>
      </c>
      <c r="H96" s="150">
        <f t="shared" si="167"/>
        <v>490</v>
      </c>
      <c r="I96" s="150">
        <f t="shared" si="167"/>
        <v>510</v>
      </c>
      <c r="J96" s="150">
        <f t="shared" si="167"/>
        <v>514</v>
      </c>
      <c r="K96" s="150">
        <f t="shared" ref="K96" si="169">SUM(K33+K42+K45+K84+K87)</f>
        <v>541</v>
      </c>
      <c r="L96" s="150">
        <f t="shared" si="167"/>
        <v>490</v>
      </c>
      <c r="M96" s="150">
        <f t="shared" si="167"/>
        <v>31394</v>
      </c>
      <c r="N96" s="150">
        <f t="shared" si="167"/>
        <v>34948</v>
      </c>
      <c r="O96" s="150">
        <f t="shared" si="167"/>
        <v>34948</v>
      </c>
      <c r="P96" s="150">
        <f t="shared" ref="P96" si="170">SUM(P33+P42+P45+P84+P87)</f>
        <v>36697</v>
      </c>
      <c r="Q96" s="150">
        <f t="shared" si="167"/>
        <v>31394</v>
      </c>
      <c r="R96" s="150">
        <f t="shared" si="167"/>
        <v>16913</v>
      </c>
      <c r="S96" s="150">
        <f t="shared" si="167"/>
        <v>18028</v>
      </c>
      <c r="T96" s="150">
        <f t="shared" si="167"/>
        <v>19436</v>
      </c>
      <c r="U96" s="150">
        <f t="shared" ref="U96" si="171">SUM(U33+U42+U45+U84+U87)</f>
        <v>19295</v>
      </c>
      <c r="V96" s="150">
        <f t="shared" si="167"/>
        <v>16913</v>
      </c>
      <c r="W96" s="150">
        <f t="shared" si="167"/>
        <v>6391</v>
      </c>
      <c r="X96" s="150">
        <f t="shared" si="167"/>
        <v>226659</v>
      </c>
      <c r="Y96" s="150">
        <f t="shared" si="167"/>
        <v>248255</v>
      </c>
      <c r="Z96" s="150">
        <f t="shared" ref="Z96" si="172">SUM(Z33+Z42+Z45+Z84+Z87)</f>
        <v>253669</v>
      </c>
      <c r="AA96" s="150">
        <f t="shared" si="167"/>
        <v>8081</v>
      </c>
      <c r="AB96" s="150">
        <f t="shared" si="167"/>
        <v>11176</v>
      </c>
      <c r="AC96" s="150">
        <f t="shared" si="167"/>
        <v>20125</v>
      </c>
      <c r="AD96" s="150">
        <f t="shared" si="167"/>
        <v>22549</v>
      </c>
      <c r="AE96" s="150">
        <f t="shared" ref="AE96:AF96" si="173">SUM(AE33+AE42+AE45+AE84+AE87)</f>
        <v>22581</v>
      </c>
      <c r="AF96" s="150">
        <f t="shared" si="173"/>
        <v>22549</v>
      </c>
      <c r="AG96" s="150">
        <f t="shared" si="167"/>
        <v>0</v>
      </c>
      <c r="AH96" s="150">
        <f t="shared" si="167"/>
        <v>2563</v>
      </c>
      <c r="AI96" s="150">
        <f t="shared" ref="AI96:AZ96" si="174">SUM(AI33+AI42+AI45+AI84+AI87)</f>
        <v>5830</v>
      </c>
      <c r="AJ96" s="150">
        <f t="shared" ref="AJ96" si="175">SUM(AJ33+AJ42+AJ45+AJ84+AJ87)</f>
        <v>6000</v>
      </c>
      <c r="AK96" s="150">
        <f t="shared" si="174"/>
        <v>0</v>
      </c>
      <c r="AL96" s="150">
        <f t="shared" si="174"/>
        <v>3120</v>
      </c>
      <c r="AM96" s="150">
        <f t="shared" si="174"/>
        <v>3120</v>
      </c>
      <c r="AN96" s="150">
        <f t="shared" si="174"/>
        <v>3120</v>
      </c>
      <c r="AO96" s="150">
        <f t="shared" ref="AO96" si="176">SUM(AO33+AO42+AO45+AO84+AO87)</f>
        <v>3120</v>
      </c>
      <c r="AP96" s="150">
        <f t="shared" si="174"/>
        <v>3120</v>
      </c>
      <c r="AQ96" s="150">
        <f t="shared" si="174"/>
        <v>95</v>
      </c>
      <c r="AR96" s="150">
        <f t="shared" si="174"/>
        <v>0</v>
      </c>
      <c r="AS96" s="150">
        <f t="shared" si="174"/>
        <v>0</v>
      </c>
      <c r="AT96" s="150">
        <f t="shared" ref="AT96" si="177">SUM(AT33+AT42+AT45+AT84+AT87)</f>
        <v>0</v>
      </c>
      <c r="AU96" s="150">
        <f t="shared" si="174"/>
        <v>95</v>
      </c>
      <c r="AV96" s="150">
        <f t="shared" si="174"/>
        <v>1910</v>
      </c>
      <c r="AW96" s="150">
        <f t="shared" si="174"/>
        <v>4410</v>
      </c>
      <c r="AX96" s="150">
        <f t="shared" si="174"/>
        <v>10660</v>
      </c>
      <c r="AY96" s="150">
        <f t="shared" ref="AY96" si="178">SUM(AY33+AY42+AY45+AY84+AY87)</f>
        <v>10923</v>
      </c>
      <c r="AZ96" s="150">
        <f t="shared" si="174"/>
        <v>1910</v>
      </c>
      <c r="BA96" s="150">
        <f t="shared" si="166"/>
        <v>342213</v>
      </c>
      <c r="BB96" s="150">
        <f t="shared" si="150"/>
        <v>370392</v>
      </c>
      <c r="BC96" s="150">
        <f t="shared" si="150"/>
        <v>415969</v>
      </c>
      <c r="BD96" s="150">
        <f t="shared" si="150"/>
        <v>419178</v>
      </c>
      <c r="BE96" s="150">
        <f t="shared" si="150"/>
        <v>159591</v>
      </c>
      <c r="BF96" s="320">
        <f t="shared" si="136"/>
        <v>3209</v>
      </c>
    </row>
    <row r="97" spans="1:59" x14ac:dyDescent="0.2">
      <c r="A97" s="286" t="s">
        <v>295</v>
      </c>
      <c r="B97" s="115" t="s">
        <v>508</v>
      </c>
      <c r="C97" s="150">
        <v>300</v>
      </c>
      <c r="D97" s="150">
        <v>300</v>
      </c>
      <c r="E97" s="150">
        <f>300-300</f>
        <v>0</v>
      </c>
      <c r="F97" s="150">
        <f>300-300</f>
        <v>0</v>
      </c>
      <c r="G97" s="150">
        <v>300</v>
      </c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>
        <v>9000</v>
      </c>
      <c r="AH97" s="150">
        <f>9000+358</f>
        <v>9358</v>
      </c>
      <c r="AI97" s="150">
        <f>9000+358+300</f>
        <v>9658</v>
      </c>
      <c r="AJ97" s="150">
        <f>9000+358+300+1750</f>
        <v>11408</v>
      </c>
      <c r="AK97" s="150">
        <v>9000</v>
      </c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>
        <f t="shared" si="166"/>
        <v>9300</v>
      </c>
      <c r="BB97" s="150">
        <f t="shared" si="150"/>
        <v>9658</v>
      </c>
      <c r="BC97" s="150">
        <f t="shared" si="150"/>
        <v>9658</v>
      </c>
      <c r="BD97" s="150">
        <f t="shared" si="150"/>
        <v>11408</v>
      </c>
      <c r="BE97" s="150">
        <f t="shared" si="150"/>
        <v>9300</v>
      </c>
      <c r="BF97" s="320">
        <f t="shared" si="136"/>
        <v>1750</v>
      </c>
    </row>
    <row r="98" spans="1:59" ht="13.5" thickBot="1" x14ac:dyDescent="0.25">
      <c r="A98" s="286" t="s">
        <v>324</v>
      </c>
      <c r="B98" s="153" t="s">
        <v>421</v>
      </c>
      <c r="C98" s="150">
        <f>SUM('4. Átadott p.eszk.'!B74)</f>
        <v>471375</v>
      </c>
      <c r="D98" s="150">
        <f>SUM('4. Átadott p.eszk.'!C74)</f>
        <v>481578</v>
      </c>
      <c r="E98" s="150">
        <f>SUM('4. Átadott p.eszk.'!D74)</f>
        <v>483553</v>
      </c>
      <c r="F98" s="150">
        <f>SUM('4. Átadott p.eszk.'!E74)</f>
        <v>488104</v>
      </c>
      <c r="G98" s="150">
        <f>SUM('4. Átadott p.eszk.'!F74)</f>
        <v>477319</v>
      </c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50">
        <f t="shared" si="166"/>
        <v>471375</v>
      </c>
      <c r="BB98" s="150">
        <f t="shared" si="150"/>
        <v>481578</v>
      </c>
      <c r="BC98" s="150">
        <f t="shared" si="150"/>
        <v>483553</v>
      </c>
      <c r="BD98" s="150">
        <f t="shared" si="150"/>
        <v>488104</v>
      </c>
      <c r="BE98" s="150">
        <f t="shared" si="150"/>
        <v>477319</v>
      </c>
      <c r="BF98" s="320">
        <f t="shared" si="136"/>
        <v>4551</v>
      </c>
    </row>
    <row r="99" spans="1:59" ht="15.75" customHeight="1" thickBot="1" x14ac:dyDescent="0.3">
      <c r="A99" s="286"/>
      <c r="B99" s="213" t="s">
        <v>10</v>
      </c>
      <c r="C99" s="156">
        <f t="shared" ref="C99:AH99" si="179">SUM(C28+C32+C96+C97+C98)</f>
        <v>765242</v>
      </c>
      <c r="D99" s="156">
        <f t="shared" si="179"/>
        <v>565037</v>
      </c>
      <c r="E99" s="156">
        <f t="shared" si="179"/>
        <v>577237</v>
      </c>
      <c r="F99" s="156">
        <f t="shared" ref="F99" si="180">SUM(F28+F32+F96+F97+F98)</f>
        <v>577067</v>
      </c>
      <c r="G99" s="156">
        <f t="shared" si="179"/>
        <v>575501</v>
      </c>
      <c r="H99" s="156">
        <f t="shared" si="179"/>
        <v>11322</v>
      </c>
      <c r="I99" s="156">
        <f t="shared" si="179"/>
        <v>11608</v>
      </c>
      <c r="J99" s="156">
        <f t="shared" si="179"/>
        <v>12022</v>
      </c>
      <c r="K99" s="156">
        <f t="shared" ref="K99" si="181">SUM(K28+K32+K96+K97+K98)</f>
        <v>11972</v>
      </c>
      <c r="L99" s="156">
        <f t="shared" si="179"/>
        <v>11322</v>
      </c>
      <c r="M99" s="156">
        <f t="shared" si="179"/>
        <v>31394</v>
      </c>
      <c r="N99" s="156">
        <f t="shared" si="179"/>
        <v>34948</v>
      </c>
      <c r="O99" s="156">
        <f t="shared" si="179"/>
        <v>34948</v>
      </c>
      <c r="P99" s="156">
        <f t="shared" ref="P99" si="182">SUM(P28+P32+P96+P97+P98)</f>
        <v>36697</v>
      </c>
      <c r="Q99" s="156">
        <f t="shared" si="179"/>
        <v>31394</v>
      </c>
      <c r="R99" s="156">
        <f t="shared" si="179"/>
        <v>16913</v>
      </c>
      <c r="S99" s="156">
        <f t="shared" si="179"/>
        <v>18028</v>
      </c>
      <c r="T99" s="156">
        <f t="shared" si="179"/>
        <v>19436</v>
      </c>
      <c r="U99" s="156">
        <f t="shared" ref="U99" si="183">SUM(U28+U32+U96+U97+U98)</f>
        <v>19295</v>
      </c>
      <c r="V99" s="156">
        <f t="shared" si="179"/>
        <v>16913</v>
      </c>
      <c r="W99" s="156">
        <f t="shared" si="179"/>
        <v>19242</v>
      </c>
      <c r="X99" s="156">
        <f t="shared" si="179"/>
        <v>239510</v>
      </c>
      <c r="Y99" s="156">
        <f t="shared" si="179"/>
        <v>261158</v>
      </c>
      <c r="Z99" s="156">
        <f t="shared" ref="Z99" si="184">SUM(Z28+Z32+Z96+Z97+Z98)</f>
        <v>266582</v>
      </c>
      <c r="AA99" s="156">
        <f t="shared" si="179"/>
        <v>20932</v>
      </c>
      <c r="AB99" s="156">
        <f t="shared" si="179"/>
        <v>13449</v>
      </c>
      <c r="AC99" s="156">
        <f t="shared" si="179"/>
        <v>22498</v>
      </c>
      <c r="AD99" s="156">
        <f t="shared" si="179"/>
        <v>25183</v>
      </c>
      <c r="AE99" s="156">
        <f t="shared" ref="AE99:AF99" si="185">SUM(AE28+AE32+AE96+AE97+AE98)</f>
        <v>25224</v>
      </c>
      <c r="AF99" s="156">
        <f t="shared" si="185"/>
        <v>25183</v>
      </c>
      <c r="AG99" s="156">
        <f t="shared" si="179"/>
        <v>9000</v>
      </c>
      <c r="AH99" s="156">
        <f t="shared" si="179"/>
        <v>11921</v>
      </c>
      <c r="AI99" s="156">
        <f t="shared" ref="AI99:AZ99" si="186">SUM(AI28+AI32+AI96+AI97+AI98)</f>
        <v>15488</v>
      </c>
      <c r="AJ99" s="156">
        <f t="shared" ref="AJ99" si="187">SUM(AJ28+AJ32+AJ96+AJ97+AJ98)</f>
        <v>17408</v>
      </c>
      <c r="AK99" s="156">
        <f t="shared" si="186"/>
        <v>9000</v>
      </c>
      <c r="AL99" s="156">
        <f t="shared" si="186"/>
        <v>3120</v>
      </c>
      <c r="AM99" s="156">
        <f t="shared" si="186"/>
        <v>3120</v>
      </c>
      <c r="AN99" s="156">
        <f t="shared" si="186"/>
        <v>3120</v>
      </c>
      <c r="AO99" s="156">
        <f t="shared" ref="AO99" si="188">SUM(AO28+AO32+AO96+AO97+AO98)</f>
        <v>3120</v>
      </c>
      <c r="AP99" s="156">
        <f t="shared" si="186"/>
        <v>3120</v>
      </c>
      <c r="AQ99" s="156">
        <f t="shared" si="186"/>
        <v>95</v>
      </c>
      <c r="AR99" s="156">
        <f t="shared" si="186"/>
        <v>0</v>
      </c>
      <c r="AS99" s="156">
        <f t="shared" si="186"/>
        <v>0</v>
      </c>
      <c r="AT99" s="156">
        <f t="shared" ref="AT99" si="189">SUM(AT28+AT32+AT96+AT97+AT98)</f>
        <v>0</v>
      </c>
      <c r="AU99" s="156">
        <f t="shared" si="186"/>
        <v>95</v>
      </c>
      <c r="AV99" s="156">
        <f t="shared" si="186"/>
        <v>6746</v>
      </c>
      <c r="AW99" s="156">
        <f t="shared" si="186"/>
        <v>9949</v>
      </c>
      <c r="AX99" s="156">
        <f t="shared" si="186"/>
        <v>16677</v>
      </c>
      <c r="AY99" s="156">
        <f t="shared" ref="AY99" si="190">SUM(AY28+AY32+AY96+AY97+AY98)</f>
        <v>17934</v>
      </c>
      <c r="AZ99" s="156">
        <f t="shared" si="186"/>
        <v>6746</v>
      </c>
      <c r="BA99" s="156">
        <f t="shared" si="166"/>
        <v>876523</v>
      </c>
      <c r="BB99" s="156">
        <f t="shared" si="150"/>
        <v>916619</v>
      </c>
      <c r="BC99" s="156">
        <f t="shared" si="150"/>
        <v>965269</v>
      </c>
      <c r="BD99" s="156">
        <f t="shared" si="150"/>
        <v>975299</v>
      </c>
      <c r="BE99" s="156">
        <f t="shared" si="150"/>
        <v>700206</v>
      </c>
      <c r="BF99" s="320">
        <f>SUM(BA28+BA32+BA96+BA97+BA98)</f>
        <v>876523</v>
      </c>
      <c r="BG99" s="76"/>
    </row>
    <row r="100" spans="1:59" ht="15.75" thickBot="1" x14ac:dyDescent="0.3">
      <c r="A100" s="286" t="s">
        <v>325</v>
      </c>
      <c r="B100" s="211" t="s">
        <v>420</v>
      </c>
      <c r="C100" s="212">
        <f>SUM('3.felh'!C45+'3.felh'!C66+'3.felh'!C78)</f>
        <v>1241226</v>
      </c>
      <c r="D100" s="212">
        <f>SUM('3.felh'!D45+'3.felh'!D66+'3.felh'!D78)</f>
        <v>1546390</v>
      </c>
      <c r="E100" s="212">
        <f>SUM('3.felh'!E45+'3.felh'!E66+'3.felh'!E78)</f>
        <v>1575927</v>
      </c>
      <c r="F100" s="212">
        <f>SUM('3.felh'!F45+'3.felh'!F66+'3.felh'!F78)</f>
        <v>1575927</v>
      </c>
      <c r="G100" s="212">
        <f>SUM('3.felh'!G45+'3.felh'!G66+'3.felh'!G78)</f>
        <v>1575927</v>
      </c>
      <c r="H100" s="212"/>
      <c r="I100" s="212"/>
      <c r="J100" s="212"/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  <c r="AF100" s="212"/>
      <c r="AG100" s="212"/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>
        <f t="shared" si="166"/>
        <v>1241226</v>
      </c>
      <c r="BB100" s="212">
        <f t="shared" si="150"/>
        <v>1546390</v>
      </c>
      <c r="BC100" s="212">
        <f t="shared" si="150"/>
        <v>1575927</v>
      </c>
      <c r="BD100" s="212">
        <f t="shared" si="150"/>
        <v>1575927</v>
      </c>
      <c r="BE100" s="212">
        <f t="shared" si="150"/>
        <v>1575927</v>
      </c>
      <c r="BF100" s="320"/>
    </row>
    <row r="101" spans="1:59" ht="20.25" thickBot="1" x14ac:dyDescent="0.4">
      <c r="A101" s="285"/>
      <c r="B101" s="203" t="s">
        <v>7</v>
      </c>
      <c r="C101" s="204">
        <f t="shared" ref="C101:AD101" si="191">SUM(C99+C100)</f>
        <v>2006468</v>
      </c>
      <c r="D101" s="204">
        <f t="shared" si="191"/>
        <v>2111427</v>
      </c>
      <c r="E101" s="204">
        <f t="shared" si="191"/>
        <v>2153164</v>
      </c>
      <c r="F101" s="204">
        <f t="shared" ref="F101" si="192">SUM(F99+F100)</f>
        <v>2152994</v>
      </c>
      <c r="G101" s="204">
        <f t="shared" si="191"/>
        <v>2151428</v>
      </c>
      <c r="H101" s="204">
        <f>SUM(H99+H100)</f>
        <v>11322</v>
      </c>
      <c r="I101" s="204">
        <f>SUM(I99+I100)</f>
        <v>11608</v>
      </c>
      <c r="J101" s="204">
        <f>SUM(J99+J100)</f>
        <v>12022</v>
      </c>
      <c r="K101" s="204">
        <f>SUM(K99+K100)</f>
        <v>11972</v>
      </c>
      <c r="L101" s="204">
        <f>SUM(L99+L100)</f>
        <v>11322</v>
      </c>
      <c r="M101" s="204">
        <f t="shared" si="191"/>
        <v>31394</v>
      </c>
      <c r="N101" s="204">
        <f t="shared" si="191"/>
        <v>34948</v>
      </c>
      <c r="O101" s="204">
        <f t="shared" si="191"/>
        <v>34948</v>
      </c>
      <c r="P101" s="204">
        <f t="shared" ref="P101" si="193">SUM(P99+P100)</f>
        <v>36697</v>
      </c>
      <c r="Q101" s="204">
        <f t="shared" si="191"/>
        <v>31394</v>
      </c>
      <c r="R101" s="204">
        <f t="shared" si="191"/>
        <v>16913</v>
      </c>
      <c r="S101" s="204">
        <f t="shared" si="191"/>
        <v>18028</v>
      </c>
      <c r="T101" s="204">
        <f t="shared" si="191"/>
        <v>19436</v>
      </c>
      <c r="U101" s="204">
        <f t="shared" ref="U101" si="194">SUM(U99+U100)</f>
        <v>19295</v>
      </c>
      <c r="V101" s="204">
        <f t="shared" si="191"/>
        <v>16913</v>
      </c>
      <c r="W101" s="204">
        <f t="shared" si="191"/>
        <v>19242</v>
      </c>
      <c r="X101" s="204">
        <f t="shared" si="191"/>
        <v>239510</v>
      </c>
      <c r="Y101" s="204">
        <f t="shared" si="191"/>
        <v>261158</v>
      </c>
      <c r="Z101" s="204">
        <f t="shared" ref="Z101" si="195">SUM(Z99+Z100)</f>
        <v>266582</v>
      </c>
      <c r="AA101" s="204">
        <f t="shared" si="191"/>
        <v>20932</v>
      </c>
      <c r="AB101" s="204">
        <f t="shared" si="191"/>
        <v>13449</v>
      </c>
      <c r="AC101" s="204">
        <f t="shared" si="191"/>
        <v>22498</v>
      </c>
      <c r="AD101" s="204">
        <f t="shared" si="191"/>
        <v>25183</v>
      </c>
      <c r="AE101" s="204">
        <f t="shared" ref="AE101:AF101" si="196">SUM(AE99+AE100)</f>
        <v>25224</v>
      </c>
      <c r="AF101" s="204">
        <f t="shared" si="196"/>
        <v>25183</v>
      </c>
      <c r="AG101" s="204">
        <f t="shared" ref="AG101:AZ101" si="197">SUM(AG99+AG100)</f>
        <v>9000</v>
      </c>
      <c r="AH101" s="204">
        <f t="shared" si="197"/>
        <v>11921</v>
      </c>
      <c r="AI101" s="204">
        <f>SUM(AI99+AI100)</f>
        <v>15488</v>
      </c>
      <c r="AJ101" s="204">
        <f>SUM(AJ99+AJ100)</f>
        <v>17408</v>
      </c>
      <c r="AK101" s="204">
        <f t="shared" si="197"/>
        <v>9000</v>
      </c>
      <c r="AL101" s="204">
        <f t="shared" si="197"/>
        <v>3120</v>
      </c>
      <c r="AM101" s="204">
        <f>SUM(AM99+AM100)</f>
        <v>3120</v>
      </c>
      <c r="AN101" s="204">
        <f>SUM(AN99+AN100)</f>
        <v>3120</v>
      </c>
      <c r="AO101" s="204">
        <f>SUM(AO99+AO100)</f>
        <v>3120</v>
      </c>
      <c r="AP101" s="204">
        <f t="shared" si="197"/>
        <v>3120</v>
      </c>
      <c r="AQ101" s="204">
        <f t="shared" si="197"/>
        <v>95</v>
      </c>
      <c r="AR101" s="204">
        <f>SUM(AR99+AR100)</f>
        <v>0</v>
      </c>
      <c r="AS101" s="204">
        <f>SUM(AS99+AS100)</f>
        <v>0</v>
      </c>
      <c r="AT101" s="204">
        <f>SUM(AT99+AT100)</f>
        <v>0</v>
      </c>
      <c r="AU101" s="204">
        <f t="shared" si="197"/>
        <v>95</v>
      </c>
      <c r="AV101" s="204">
        <f t="shared" si="197"/>
        <v>6746</v>
      </c>
      <c r="AW101" s="204">
        <f t="shared" si="197"/>
        <v>9949</v>
      </c>
      <c r="AX101" s="204">
        <f t="shared" si="197"/>
        <v>16677</v>
      </c>
      <c r="AY101" s="204">
        <f t="shared" ref="AY101" si="198">SUM(AY99+AY100)</f>
        <v>17934</v>
      </c>
      <c r="AZ101" s="204">
        <f t="shared" si="197"/>
        <v>6746</v>
      </c>
      <c r="BA101" s="204">
        <f t="shared" si="166"/>
        <v>2117749</v>
      </c>
      <c r="BB101" s="204">
        <f t="shared" ref="BB101:BE102" si="199">D101+I101+N101+S101+X101+AC101+AH101+AM101+AR101+AW101</f>
        <v>2463009</v>
      </c>
      <c r="BC101" s="204">
        <f t="shared" si="199"/>
        <v>2541196</v>
      </c>
      <c r="BD101" s="204">
        <f t="shared" si="199"/>
        <v>2551226</v>
      </c>
      <c r="BE101" s="204">
        <f t="shared" si="199"/>
        <v>2276133</v>
      </c>
      <c r="BF101" s="320">
        <f>SUM(BA28+BA32+BA96+BA97+BA98+BA100)</f>
        <v>2117749</v>
      </c>
    </row>
    <row r="102" spans="1:59" ht="13.5" thickBot="1" x14ac:dyDescent="0.25">
      <c r="A102" s="294"/>
      <c r="B102" s="201" t="s">
        <v>59</v>
      </c>
      <c r="C102" s="235">
        <v>1</v>
      </c>
      <c r="D102" s="235">
        <v>1</v>
      </c>
      <c r="E102" s="235">
        <v>1</v>
      </c>
      <c r="F102" s="235">
        <v>1</v>
      </c>
      <c r="G102" s="235">
        <v>1</v>
      </c>
      <c r="H102" s="235">
        <v>2</v>
      </c>
      <c r="I102" s="235">
        <v>2</v>
      </c>
      <c r="J102" s="235">
        <v>2</v>
      </c>
      <c r="K102" s="235">
        <v>2</v>
      </c>
      <c r="L102" s="235">
        <v>2</v>
      </c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>
        <v>3</v>
      </c>
      <c r="X102" s="235">
        <v>3</v>
      </c>
      <c r="Y102" s="235">
        <v>3</v>
      </c>
      <c r="Z102" s="235">
        <v>3</v>
      </c>
      <c r="AA102" s="235">
        <v>3</v>
      </c>
      <c r="AB102" s="235">
        <v>1</v>
      </c>
      <c r="AC102" s="235">
        <v>1</v>
      </c>
      <c r="AD102" s="235">
        <v>1</v>
      </c>
      <c r="AE102" s="235">
        <v>1</v>
      </c>
      <c r="AF102" s="235">
        <v>1</v>
      </c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>
        <v>1</v>
      </c>
      <c r="AW102" s="235">
        <v>1</v>
      </c>
      <c r="AX102" s="235">
        <v>1</v>
      </c>
      <c r="AY102" s="235">
        <v>1</v>
      </c>
      <c r="AZ102" s="235">
        <v>1</v>
      </c>
      <c r="BA102" s="235">
        <f t="shared" si="166"/>
        <v>8</v>
      </c>
      <c r="BB102" s="235">
        <f t="shared" si="199"/>
        <v>8</v>
      </c>
      <c r="BC102" s="235">
        <f t="shared" si="199"/>
        <v>8</v>
      </c>
      <c r="BD102" s="235">
        <f t="shared" si="199"/>
        <v>8</v>
      </c>
      <c r="BE102" s="235">
        <f t="shared" si="199"/>
        <v>8</v>
      </c>
      <c r="BF102" s="320"/>
      <c r="BG102" s="76"/>
    </row>
    <row r="103" spans="1:59" s="9" customFormat="1" ht="6" customHeight="1" x14ac:dyDescent="0.2">
      <c r="A103" s="172"/>
      <c r="B103" s="202"/>
      <c r="C103"/>
      <c r="D103"/>
      <c r="E103"/>
      <c r="F103"/>
      <c r="G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 s="37"/>
      <c r="BF103" s="320"/>
    </row>
    <row r="104" spans="1:59" s="9" customFormat="1" hidden="1" x14ac:dyDescent="0.2">
      <c r="A104" s="172"/>
      <c r="B104"/>
      <c r="C104"/>
      <c r="D104"/>
      <c r="E104"/>
      <c r="F104"/>
      <c r="G104"/>
      <c r="L104"/>
      <c r="M104"/>
      <c r="N104"/>
      <c r="O104"/>
      <c r="P104" s="197"/>
      <c r="Q104" s="197"/>
      <c r="R104" s="197"/>
      <c r="S104" s="197"/>
      <c r="T104" s="197"/>
      <c r="U104" s="197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 s="320"/>
    </row>
    <row r="105" spans="1:59" s="9" customFormat="1" hidden="1" x14ac:dyDescent="0.2">
      <c r="A105" s="172"/>
      <c r="B105"/>
      <c r="C105" s="76"/>
      <c r="D105" s="76"/>
      <c r="E105" s="76"/>
      <c r="F105" s="76"/>
      <c r="G105" s="76"/>
      <c r="H105" s="37"/>
      <c r="I105" s="37"/>
      <c r="J105" s="37"/>
      <c r="K105" s="37"/>
      <c r="L105" s="76"/>
      <c r="M105" s="76"/>
      <c r="N105" s="76"/>
      <c r="O105" s="76"/>
      <c r="P105"/>
      <c r="Q105"/>
      <c r="R105"/>
      <c r="S105"/>
      <c r="T105"/>
      <c r="U105"/>
      <c r="V105" s="205" t="s">
        <v>412</v>
      </c>
      <c r="W105" s="205"/>
      <c r="X105" s="205"/>
      <c r="Y105" s="205"/>
      <c r="Z105" s="205">
        <v>300</v>
      </c>
      <c r="AA105" s="205"/>
      <c r="AB105" s="205"/>
      <c r="AC105" s="205"/>
      <c r="AD105" s="205"/>
      <c r="AE105" s="205">
        <v>236</v>
      </c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/>
      <c r="BB105"/>
      <c r="BC105"/>
      <c r="BD105"/>
      <c r="BE105"/>
      <c r="BF105" s="320"/>
    </row>
    <row r="106" spans="1:59" s="9" customFormat="1" hidden="1" x14ac:dyDescent="0.2">
      <c r="A106" s="172"/>
      <c r="B106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/>
      <c r="Q106"/>
      <c r="R106"/>
      <c r="S106"/>
      <c r="T106"/>
      <c r="U106"/>
      <c r="V106" s="205" t="s">
        <v>413</v>
      </c>
      <c r="W106" s="205"/>
      <c r="X106" s="205"/>
      <c r="Y106" s="205"/>
      <c r="Z106" s="205">
        <v>700</v>
      </c>
      <c r="AA106" s="205"/>
      <c r="AB106" s="205"/>
      <c r="AC106" s="205"/>
      <c r="AD106" s="205"/>
      <c r="AE106" s="205">
        <v>551</v>
      </c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/>
      <c r="BB106"/>
      <c r="BC106"/>
      <c r="BD106"/>
      <c r="BE106"/>
      <c r="BF106" s="320"/>
    </row>
    <row r="107" spans="1:59" s="9" customFormat="1" hidden="1" x14ac:dyDescent="0.2">
      <c r="A107" s="172"/>
      <c r="B107"/>
      <c r="C107" s="199"/>
      <c r="D107" s="199"/>
      <c r="E107" s="199"/>
      <c r="F107" s="199"/>
      <c r="G107" s="199"/>
      <c r="H107" s="170"/>
      <c r="I107" s="170"/>
      <c r="J107" s="170"/>
      <c r="K107" s="170"/>
      <c r="L107" s="170"/>
      <c r="M107" s="170"/>
      <c r="N107" s="170"/>
      <c r="O107" s="170"/>
      <c r="P107"/>
      <c r="Q107"/>
      <c r="R107"/>
      <c r="S107"/>
      <c r="T107"/>
      <c r="U107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  <c r="AT107" s="206"/>
      <c r="AU107" s="206"/>
      <c r="AV107" s="206"/>
      <c r="AW107" s="206"/>
      <c r="AX107" s="206"/>
      <c r="AY107" s="206"/>
      <c r="AZ107" s="206"/>
      <c r="BA107"/>
      <c r="BB107"/>
      <c r="BC107"/>
      <c r="BD107"/>
      <c r="BE107"/>
      <c r="BF107" s="320"/>
    </row>
    <row r="108" spans="1:59" s="9" customFormat="1" x14ac:dyDescent="0.2">
      <c r="A108" s="172"/>
      <c r="B108" s="297" t="s">
        <v>504</v>
      </c>
      <c r="C108" s="500"/>
      <c r="E108" s="501"/>
      <c r="F108" s="501"/>
      <c r="G108" s="501"/>
      <c r="Q108"/>
      <c r="R108"/>
      <c r="S108"/>
      <c r="T108"/>
      <c r="U108"/>
      <c r="V108" s="297"/>
      <c r="W108" s="206"/>
      <c r="X108" s="206"/>
      <c r="Y108" s="206"/>
      <c r="Z108" s="206"/>
      <c r="AE108" s="500"/>
      <c r="AF108" s="501"/>
      <c r="AL108"/>
      <c r="AM108"/>
      <c r="AN108"/>
      <c r="AO108"/>
      <c r="AP108"/>
      <c r="AQ108" s="206"/>
      <c r="AR108" s="206"/>
      <c r="AS108" s="206"/>
      <c r="AT108" s="206"/>
      <c r="AU108" s="206"/>
      <c r="BF108" s="320"/>
    </row>
    <row r="109" spans="1:59" s="9" customFormat="1" x14ac:dyDescent="0.2">
      <c r="A109" s="172"/>
      <c r="B109" s="297" t="s">
        <v>1032</v>
      </c>
      <c r="C109" s="170" t="s">
        <v>411</v>
      </c>
      <c r="F109" s="170"/>
      <c r="G109" s="170"/>
      <c r="H109" s="170" t="s">
        <v>316</v>
      </c>
      <c r="M109" s="170" t="s">
        <v>869</v>
      </c>
      <c r="Q109"/>
      <c r="R109"/>
      <c r="S109"/>
      <c r="T109"/>
      <c r="V109" s="297"/>
      <c r="X109"/>
      <c r="Y109"/>
      <c r="Z109"/>
      <c r="AE109" s="170"/>
      <c r="AF109" s="170"/>
      <c r="AL109"/>
      <c r="AM109"/>
      <c r="AN109"/>
      <c r="AO109"/>
      <c r="AP109"/>
      <c r="AQ109"/>
      <c r="AR109"/>
      <c r="AS109"/>
      <c r="AT109"/>
      <c r="AU109"/>
      <c r="BA109" s="37"/>
      <c r="BB109" s="37"/>
      <c r="BC109" s="37"/>
      <c r="BD109" s="37"/>
      <c r="BF109" s="320"/>
    </row>
    <row r="110" spans="1:59" s="9" customFormat="1" x14ac:dyDescent="0.2">
      <c r="A110" s="172"/>
      <c r="B110" s="625" t="s">
        <v>930</v>
      </c>
      <c r="C110" s="626">
        <v>300</v>
      </c>
      <c r="D110" s="627"/>
      <c r="E110" s="627"/>
      <c r="F110" s="626"/>
      <c r="G110" s="628"/>
      <c r="H110" s="629">
        <v>0</v>
      </c>
      <c r="I110" s="629"/>
      <c r="J110" s="629"/>
      <c r="K110" s="629"/>
      <c r="L110" s="630"/>
      <c r="M110" s="629">
        <f>SUM(C110+H110)</f>
        <v>300</v>
      </c>
      <c r="N110" s="37"/>
      <c r="O110" s="37"/>
      <c r="P110" s="37"/>
      <c r="Q110" s="76"/>
      <c r="R110" s="573"/>
      <c r="S110" s="76"/>
      <c r="T110" s="76"/>
      <c r="U110" s="37"/>
      <c r="V110" s="37"/>
      <c r="X110" s="76"/>
      <c r="Y110" s="76"/>
      <c r="Z110" s="76"/>
      <c r="AA110" s="37"/>
      <c r="AB110" s="297" t="s">
        <v>1031</v>
      </c>
      <c r="AC110" s="37"/>
      <c r="AD110" s="37"/>
      <c r="AE110" s="37"/>
      <c r="AF110" s="37"/>
      <c r="AG110" s="37"/>
      <c r="AL110"/>
      <c r="AM110"/>
      <c r="AN110"/>
      <c r="AO110"/>
      <c r="AP110"/>
      <c r="AQ110"/>
      <c r="AR110"/>
      <c r="AS110"/>
      <c r="AT110"/>
      <c r="AU110"/>
      <c r="BA110"/>
      <c r="BB110"/>
      <c r="BC110"/>
      <c r="BD110"/>
      <c r="BE110"/>
      <c r="BF110" s="320"/>
    </row>
    <row r="111" spans="1:59" s="9" customFormat="1" x14ac:dyDescent="0.2">
      <c r="A111" s="172"/>
      <c r="B111" s="625" t="s">
        <v>931</v>
      </c>
      <c r="C111" s="626">
        <v>171</v>
      </c>
      <c r="D111" s="627"/>
      <c r="E111" s="627"/>
      <c r="F111" s="626"/>
      <c r="G111" s="628"/>
      <c r="H111" s="629">
        <f>SUM(C111*0.27)</f>
        <v>46.17</v>
      </c>
      <c r="I111" s="629"/>
      <c r="J111" s="629"/>
      <c r="K111" s="629"/>
      <c r="L111" s="630"/>
      <c r="M111" s="629">
        <f>SUM(C111+H111)</f>
        <v>217.17000000000002</v>
      </c>
      <c r="N111" s="37"/>
      <c r="O111" s="37"/>
      <c r="P111" s="37"/>
      <c r="Q111" s="76"/>
      <c r="R111" s="573"/>
      <c r="S111" s="76"/>
      <c r="T111" s="76"/>
      <c r="U111" s="37"/>
      <c r="V111" s="37"/>
      <c r="X111" s="76"/>
      <c r="Y111" s="76"/>
      <c r="Z111" s="76"/>
      <c r="AA111" s="37"/>
      <c r="AB111" s="76" t="s">
        <v>1159</v>
      </c>
      <c r="AC111" s="37"/>
      <c r="AD111" s="37"/>
      <c r="AE111" s="37"/>
      <c r="AF111" s="37"/>
      <c r="AG111" s="37"/>
      <c r="AL111"/>
      <c r="AM111"/>
      <c r="AN111"/>
      <c r="AO111"/>
      <c r="AP111"/>
      <c r="AQ111" s="76">
        <v>5400</v>
      </c>
      <c r="AR111"/>
      <c r="AS111"/>
      <c r="AT111"/>
      <c r="AU111"/>
      <c r="BA111"/>
      <c r="BB111"/>
      <c r="BC111"/>
      <c r="BD111"/>
      <c r="BE111"/>
      <c r="BF111" s="320"/>
    </row>
    <row r="112" spans="1:59" s="9" customFormat="1" x14ac:dyDescent="0.2">
      <c r="A112" s="172"/>
      <c r="B112" s="625" t="s">
        <v>932</v>
      </c>
      <c r="C112" s="626">
        <f>1811+489</f>
        <v>2300</v>
      </c>
      <c r="D112" s="627"/>
      <c r="E112" s="627"/>
      <c r="F112" s="626"/>
      <c r="G112" s="628"/>
      <c r="H112" s="629">
        <f>489-489</f>
        <v>0</v>
      </c>
      <c r="I112" s="629"/>
      <c r="J112" s="629"/>
      <c r="K112" s="629"/>
      <c r="L112" s="630"/>
      <c r="M112" s="629">
        <f>SUM(C112+H112)</f>
        <v>2300</v>
      </c>
      <c r="N112" s="37"/>
      <c r="O112" s="37"/>
      <c r="P112" s="37"/>
      <c r="Q112" s="76"/>
      <c r="R112" s="573"/>
      <c r="S112" s="76"/>
      <c r="T112" s="76"/>
      <c r="U112" s="37"/>
      <c r="V112" s="37"/>
      <c r="X112" s="76"/>
      <c r="Y112" s="76"/>
      <c r="Z112" s="76"/>
      <c r="AA112" s="37"/>
      <c r="AB112" s="170" t="s">
        <v>922</v>
      </c>
      <c r="AC112" s="37"/>
      <c r="AD112" s="37"/>
      <c r="AE112" s="37"/>
      <c r="AF112" s="37"/>
      <c r="AG112" s="37"/>
      <c r="AL112"/>
      <c r="AM112"/>
      <c r="AN112"/>
      <c r="AO112"/>
      <c r="AP112"/>
      <c r="AQ112" s="76">
        <v>144774</v>
      </c>
      <c r="AR112" s="76"/>
      <c r="AS112" s="76"/>
      <c r="AT112" s="76"/>
      <c r="AU112" s="76"/>
      <c r="AV112" s="37"/>
      <c r="BA112"/>
      <c r="BB112"/>
      <c r="BC112"/>
      <c r="BD112"/>
      <c r="BE112"/>
      <c r="BF112" s="320"/>
    </row>
    <row r="113" spans="1:58" s="9" customFormat="1" x14ac:dyDescent="0.2">
      <c r="A113" s="172"/>
      <c r="B113" s="625" t="s">
        <v>1454</v>
      </c>
      <c r="C113" s="626">
        <v>236</v>
      </c>
      <c r="D113" s="627"/>
      <c r="E113" s="627"/>
      <c r="F113" s="626"/>
      <c r="G113" s="628"/>
      <c r="H113" s="629">
        <f>C113*0.27</f>
        <v>63.720000000000006</v>
      </c>
      <c r="I113" s="629"/>
      <c r="J113" s="629"/>
      <c r="K113" s="629"/>
      <c r="L113" s="630"/>
      <c r="M113" s="629">
        <f>SUM(C113+H113)</f>
        <v>299.72000000000003</v>
      </c>
      <c r="N113" s="37"/>
      <c r="O113" s="37"/>
      <c r="P113" s="37"/>
      <c r="Q113" s="76"/>
      <c r="R113" s="573"/>
      <c r="S113" s="76"/>
      <c r="T113" s="76"/>
      <c r="U113" s="37"/>
      <c r="V113" s="37"/>
      <c r="X113" s="76"/>
      <c r="Y113" s="76"/>
      <c r="Z113" s="76"/>
      <c r="AA113" s="37"/>
      <c r="AB113" s="76" t="s">
        <v>1033</v>
      </c>
      <c r="AC113" s="37"/>
      <c r="AD113" s="37"/>
      <c r="AE113" s="37"/>
      <c r="AF113" s="37"/>
      <c r="AG113" s="37"/>
      <c r="AL113"/>
      <c r="AM113"/>
      <c r="AN113"/>
      <c r="AO113"/>
      <c r="AP113"/>
      <c r="AQ113" s="76">
        <v>19674</v>
      </c>
      <c r="AR113" s="76"/>
      <c r="AS113" s="76"/>
      <c r="AT113" s="76"/>
      <c r="AU113" s="76"/>
      <c r="AV113" s="37"/>
      <c r="BA113"/>
      <c r="BB113"/>
      <c r="BC113"/>
      <c r="BD113"/>
      <c r="BE113"/>
      <c r="BF113" s="320"/>
    </row>
    <row r="114" spans="1:58" s="9" customFormat="1" x14ac:dyDescent="0.2">
      <c r="A114" s="172"/>
      <c r="B114" s="625"/>
      <c r="C114" s="626"/>
      <c r="D114" s="627"/>
      <c r="E114" s="627"/>
      <c r="F114" s="626"/>
      <c r="G114" s="628"/>
      <c r="H114" s="629"/>
      <c r="I114" s="629"/>
      <c r="J114" s="629"/>
      <c r="K114" s="629"/>
      <c r="L114" s="630"/>
      <c r="M114" s="629"/>
      <c r="N114" s="37"/>
      <c r="O114" s="37"/>
      <c r="P114" s="37"/>
      <c r="Q114" s="76"/>
      <c r="R114" s="573"/>
      <c r="S114" s="76"/>
      <c r="T114" s="76"/>
      <c r="U114" s="37"/>
      <c r="V114" s="37"/>
      <c r="X114" s="76"/>
      <c r="Y114" s="76"/>
      <c r="Z114" s="76"/>
      <c r="AA114" s="37"/>
      <c r="AB114" s="76" t="s">
        <v>925</v>
      </c>
      <c r="AC114" s="37"/>
      <c r="AD114" s="37"/>
      <c r="AE114" s="37"/>
      <c r="AF114" s="37"/>
      <c r="AG114" s="37"/>
      <c r="AL114"/>
      <c r="AM114"/>
      <c r="AN114"/>
      <c r="AO114"/>
      <c r="AP114"/>
      <c r="AQ114" s="76">
        <v>5000</v>
      </c>
      <c r="AR114" s="76"/>
      <c r="AS114" s="76"/>
      <c r="AT114" s="76"/>
      <c r="AU114" s="76"/>
      <c r="AV114" s="37"/>
      <c r="BA114"/>
      <c r="BB114"/>
      <c r="BC114"/>
      <c r="BD114"/>
      <c r="BE114"/>
      <c r="BF114" s="320"/>
    </row>
    <row r="115" spans="1:58" s="9" customFormat="1" x14ac:dyDescent="0.2">
      <c r="A115" s="172"/>
      <c r="B115" s="625" t="s">
        <v>875</v>
      </c>
      <c r="C115" s="626">
        <v>5350</v>
      </c>
      <c r="D115" s="627"/>
      <c r="E115" s="627"/>
      <c r="F115" s="626"/>
      <c r="G115" s="628"/>
      <c r="H115" s="629">
        <f>SUM(C115*0.27)</f>
        <v>1444.5</v>
      </c>
      <c r="I115" s="629"/>
      <c r="J115" s="629"/>
      <c r="K115" s="629"/>
      <c r="L115" s="630"/>
      <c r="M115" s="629">
        <f t="shared" ref="M115:M120" si="200">SUM(C115+H115)</f>
        <v>6794.5</v>
      </c>
      <c r="N115" s="37"/>
      <c r="O115" s="37"/>
      <c r="P115" s="37"/>
      <c r="Q115" s="76"/>
      <c r="R115" s="573"/>
      <c r="S115" s="76"/>
      <c r="T115" s="76"/>
      <c r="U115" s="37"/>
      <c r="V115" s="37"/>
      <c r="X115" s="76"/>
      <c r="Y115" s="76"/>
      <c r="Z115" s="76"/>
      <c r="AA115" s="37"/>
      <c r="AB115" s="575" t="s">
        <v>47</v>
      </c>
      <c r="AC115" s="37"/>
      <c r="AD115" s="37"/>
      <c r="AE115" s="37"/>
      <c r="AF115" s="37"/>
      <c r="AG115" s="37"/>
      <c r="AL115"/>
      <c r="AM115"/>
      <c r="AN115"/>
      <c r="AO115"/>
      <c r="AP115"/>
      <c r="AQ115" s="575">
        <f>SUM(AQ111:AQ114)</f>
        <v>174848</v>
      </c>
      <c r="AR115" s="76"/>
      <c r="AS115" s="76"/>
      <c r="AT115" s="76"/>
      <c r="AU115" s="76"/>
      <c r="AV115" s="37"/>
      <c r="BA115"/>
      <c r="BB115"/>
      <c r="BC115"/>
      <c r="BD115"/>
      <c r="BE115"/>
      <c r="BF115" s="320"/>
    </row>
    <row r="116" spans="1:58" s="9" customFormat="1" x14ac:dyDescent="0.2">
      <c r="A116" s="172"/>
      <c r="B116" s="625" t="s">
        <v>1023</v>
      </c>
      <c r="C116" s="626"/>
      <c r="D116" s="627"/>
      <c r="E116" s="627"/>
      <c r="F116" s="626"/>
      <c r="G116" s="628"/>
      <c r="H116" s="629">
        <f>SUM(C116*0.27)</f>
        <v>0</v>
      </c>
      <c r="I116" s="629"/>
      <c r="J116" s="629"/>
      <c r="K116" s="629"/>
      <c r="L116" s="630"/>
      <c r="M116" s="629">
        <f t="shared" si="200"/>
        <v>0</v>
      </c>
      <c r="N116" s="37"/>
      <c r="O116" s="37"/>
      <c r="P116" s="37"/>
      <c r="Q116" s="76"/>
      <c r="R116" s="573"/>
      <c r="S116" s="76"/>
      <c r="T116" s="76"/>
      <c r="U116" s="37"/>
      <c r="V116" s="37"/>
      <c r="X116" s="76"/>
      <c r="Y116" s="76"/>
      <c r="Z116" s="76"/>
      <c r="AA116" s="37"/>
      <c r="AR116" s="76"/>
      <c r="AS116" s="76"/>
      <c r="AT116" s="76"/>
      <c r="AU116" s="76"/>
      <c r="AV116" s="37"/>
      <c r="BA116"/>
      <c r="BB116"/>
      <c r="BC116"/>
      <c r="BD116"/>
      <c r="BE116"/>
      <c r="BF116" s="320"/>
    </row>
    <row r="117" spans="1:58" s="9" customFormat="1" x14ac:dyDescent="0.2">
      <c r="A117" s="172"/>
      <c r="B117" s="625" t="s">
        <v>877</v>
      </c>
      <c r="C117" s="626"/>
      <c r="D117" s="627"/>
      <c r="E117" s="627"/>
      <c r="F117" s="626"/>
      <c r="G117" s="628"/>
      <c r="H117" s="629">
        <f>SUM(C117*0.27)</f>
        <v>0</v>
      </c>
      <c r="I117" s="629"/>
      <c r="J117" s="629"/>
      <c r="K117" s="629"/>
      <c r="L117" s="630"/>
      <c r="M117" s="629">
        <f t="shared" si="200"/>
        <v>0</v>
      </c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/>
      <c r="AI117"/>
      <c r="AJ117"/>
      <c r="AK117"/>
      <c r="AL117"/>
      <c r="AM117"/>
      <c r="AN117"/>
      <c r="AO117"/>
      <c r="AP117"/>
      <c r="AQ117" s="76"/>
      <c r="AR117" s="76"/>
      <c r="AS117" s="76"/>
      <c r="AT117" s="76"/>
      <c r="AU117" s="76"/>
      <c r="AV117" s="76"/>
      <c r="AW117"/>
      <c r="AX117"/>
      <c r="AY117"/>
      <c r="AZ117"/>
      <c r="BA117"/>
      <c r="BB117"/>
      <c r="BC117"/>
      <c r="BD117"/>
      <c r="BE117"/>
      <c r="BF117" s="320"/>
    </row>
    <row r="118" spans="1:58" s="9" customFormat="1" x14ac:dyDescent="0.2">
      <c r="A118" s="172"/>
      <c r="B118" s="625" t="s">
        <v>876</v>
      </c>
      <c r="C118" s="626">
        <v>1555</v>
      </c>
      <c r="D118" s="627"/>
      <c r="E118" s="627"/>
      <c r="F118" s="626"/>
      <c r="G118" s="628"/>
      <c r="H118" s="629">
        <f>SUM(C118*0.27)</f>
        <v>419.85</v>
      </c>
      <c r="I118" s="629"/>
      <c r="J118" s="629"/>
      <c r="K118" s="629"/>
      <c r="L118" s="630"/>
      <c r="M118" s="629">
        <f t="shared" si="200"/>
        <v>1974.85</v>
      </c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/>
      <c r="AH118" s="170"/>
      <c r="AI118" s="170"/>
      <c r="AK118" s="170">
        <v>5350</v>
      </c>
      <c r="AL118" s="76"/>
      <c r="AM118" s="76"/>
      <c r="AN118" s="76"/>
      <c r="AO118" s="76"/>
      <c r="AP118" s="76"/>
      <c r="AQ118" s="37"/>
      <c r="AR118" s="37"/>
      <c r="AS118" s="37"/>
      <c r="AT118" s="37"/>
      <c r="AU118" s="37"/>
      <c r="AV118"/>
      <c r="AW118"/>
      <c r="AX118"/>
      <c r="AY118"/>
      <c r="AZ118"/>
      <c r="BA118"/>
      <c r="BB118"/>
      <c r="BC118"/>
      <c r="BD118"/>
      <c r="BE118"/>
      <c r="BF118" s="320"/>
    </row>
    <row r="119" spans="1:58" s="9" customFormat="1" x14ac:dyDescent="0.2">
      <c r="A119" s="172"/>
      <c r="B119" s="625" t="s">
        <v>1331</v>
      </c>
      <c r="C119" s="626">
        <v>2000</v>
      </c>
      <c r="D119" s="627"/>
      <c r="E119" s="627"/>
      <c r="F119" s="626"/>
      <c r="G119" s="628"/>
      <c r="H119" s="629">
        <v>540</v>
      </c>
      <c r="I119" s="629"/>
      <c r="J119" s="629"/>
      <c r="K119" s="629"/>
      <c r="L119" s="630"/>
      <c r="M119" s="629">
        <f t="shared" si="200"/>
        <v>2540</v>
      </c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/>
      <c r="AH119" s="170"/>
      <c r="AI119" s="170"/>
      <c r="AK119" s="170"/>
      <c r="AL119" s="76"/>
      <c r="AM119" s="76"/>
      <c r="AN119" s="76"/>
      <c r="AO119" s="76"/>
      <c r="AP119" s="76"/>
      <c r="AQ119" s="37"/>
      <c r="AR119" s="37"/>
      <c r="AS119" s="37"/>
      <c r="AT119" s="37"/>
      <c r="AU119" s="37"/>
      <c r="AV119"/>
      <c r="AW119"/>
      <c r="AX119"/>
      <c r="AY119"/>
      <c r="AZ119"/>
      <c r="BA119"/>
      <c r="BB119"/>
      <c r="BC119"/>
      <c r="BD119"/>
      <c r="BE119"/>
      <c r="BF119" s="320"/>
    </row>
    <row r="120" spans="1:58" s="9" customFormat="1" x14ac:dyDescent="0.2">
      <c r="A120" s="172"/>
      <c r="B120" s="625" t="s">
        <v>1386</v>
      </c>
      <c r="C120" s="626">
        <v>1335</v>
      </c>
      <c r="D120" s="627"/>
      <c r="E120" s="627"/>
      <c r="F120" s="626"/>
      <c r="G120" s="628"/>
      <c r="H120" s="629">
        <v>361</v>
      </c>
      <c r="I120" s="629"/>
      <c r="J120" s="629"/>
      <c r="K120" s="629"/>
      <c r="L120" s="630"/>
      <c r="M120" s="629">
        <f t="shared" si="200"/>
        <v>1696</v>
      </c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/>
      <c r="AH120" s="170"/>
      <c r="AI120" s="170"/>
      <c r="AK120" s="170"/>
      <c r="AL120" s="76"/>
      <c r="AM120" s="76"/>
      <c r="AN120" s="76"/>
      <c r="AO120" s="76"/>
      <c r="AP120" s="76"/>
      <c r="AQ120" s="37"/>
      <c r="AR120" s="37"/>
      <c r="AS120" s="37"/>
      <c r="AT120" s="37"/>
      <c r="AU120" s="37"/>
      <c r="AV120"/>
      <c r="AW120"/>
      <c r="AX120"/>
      <c r="AY120"/>
      <c r="AZ120"/>
      <c r="BA120"/>
      <c r="BB120"/>
      <c r="BC120"/>
      <c r="BD120"/>
      <c r="BE120"/>
      <c r="BF120" s="320"/>
    </row>
    <row r="121" spans="1:58" s="9" customFormat="1" x14ac:dyDescent="0.2">
      <c r="A121" s="172"/>
      <c r="B121" s="625"/>
      <c r="C121" s="626"/>
      <c r="D121" s="625"/>
      <c r="E121" s="627"/>
      <c r="F121" s="626"/>
      <c r="G121"/>
      <c r="H121" s="627"/>
      <c r="I121" s="629"/>
      <c r="J121" s="629"/>
      <c r="K121" s="629"/>
      <c r="L121"/>
      <c r="M121" s="629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/>
      <c r="AH121" s="170"/>
      <c r="AI121" s="170"/>
      <c r="AK121" s="170"/>
      <c r="AL121" s="76"/>
      <c r="AM121" s="76"/>
      <c r="AN121" s="76"/>
      <c r="AO121" s="76"/>
      <c r="AP121" s="76"/>
      <c r="AQ121" s="37"/>
      <c r="AR121" s="37"/>
      <c r="AS121" s="37"/>
      <c r="AT121" s="37"/>
      <c r="AU121" s="37"/>
      <c r="AV121"/>
      <c r="AW121"/>
      <c r="AX121"/>
      <c r="AY121"/>
      <c r="AZ121"/>
      <c r="BA121"/>
      <c r="BB121"/>
      <c r="BC121"/>
      <c r="BD121"/>
      <c r="BE121"/>
      <c r="BF121" s="320"/>
    </row>
    <row r="122" spans="1:58" s="9" customFormat="1" x14ac:dyDescent="0.2">
      <c r="A122" s="172"/>
      <c r="B122" s="625" t="s">
        <v>1044</v>
      </c>
      <c r="C122" s="626">
        <v>1400</v>
      </c>
      <c r="D122" s="625"/>
      <c r="E122" s="627"/>
      <c r="F122" s="626"/>
      <c r="G122"/>
      <c r="H122" s="627">
        <v>0</v>
      </c>
      <c r="I122" s="629"/>
      <c r="J122" s="629"/>
      <c r="K122" s="629"/>
      <c r="L122"/>
      <c r="M122" s="629">
        <f>SUM(C122+H122)</f>
        <v>1400</v>
      </c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/>
      <c r="AH122" s="170"/>
      <c r="AI122" s="170"/>
      <c r="AK122" s="170"/>
      <c r="AL122" s="76"/>
      <c r="AM122" s="76"/>
      <c r="AN122" s="76"/>
      <c r="AO122" s="76"/>
      <c r="AP122" s="76"/>
      <c r="AQ122" s="37"/>
      <c r="AR122" s="37"/>
      <c r="AS122" s="37"/>
      <c r="AT122" s="37"/>
      <c r="AU122" s="37"/>
      <c r="AV122"/>
      <c r="AW122"/>
      <c r="AX122"/>
      <c r="AY122"/>
      <c r="AZ122"/>
      <c r="BA122"/>
      <c r="BB122"/>
      <c r="BC122"/>
      <c r="BD122"/>
      <c r="BE122"/>
      <c r="BF122" s="320"/>
    </row>
    <row r="123" spans="1:58" s="9" customFormat="1" x14ac:dyDescent="0.2">
      <c r="A123" s="172"/>
      <c r="B123" s="625"/>
      <c r="C123" s="626"/>
      <c r="D123" s="625"/>
      <c r="E123" s="627"/>
      <c r="F123" s="626"/>
      <c r="G123"/>
      <c r="H123" s="627"/>
      <c r="I123" s="629"/>
      <c r="J123" s="629"/>
      <c r="K123" s="629"/>
      <c r="L123"/>
      <c r="M123" s="629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/>
      <c r="AH123" s="170"/>
      <c r="AI123" s="170"/>
      <c r="AK123" s="170">
        <v>1555</v>
      </c>
      <c r="AL123" s="76"/>
      <c r="AM123" s="76"/>
      <c r="AN123" s="76"/>
      <c r="AO123" s="76"/>
      <c r="AP123" s="76"/>
      <c r="AQ123" s="37"/>
      <c r="AR123" s="37"/>
      <c r="AS123" s="37"/>
      <c r="AT123" s="37"/>
      <c r="AU123" s="37"/>
      <c r="AV123"/>
      <c r="AW123"/>
      <c r="AX123"/>
      <c r="AY123"/>
      <c r="AZ123"/>
      <c r="BA123"/>
      <c r="BB123"/>
      <c r="BC123"/>
      <c r="BD123"/>
      <c r="BE123"/>
      <c r="BF123" s="320"/>
    </row>
    <row r="124" spans="1:58" s="9" customFormat="1" ht="25.5" x14ac:dyDescent="0.2">
      <c r="A124" s="172"/>
      <c r="B124" s="733" t="s">
        <v>1116</v>
      </c>
      <c r="C124" s="626">
        <v>9900</v>
      </c>
      <c r="D124" s="625"/>
      <c r="E124" s="627"/>
      <c r="F124" s="626"/>
      <c r="G124"/>
      <c r="H124" s="627">
        <f>SUM(C124*0.27)</f>
        <v>2673</v>
      </c>
      <c r="I124" s="629"/>
      <c r="J124" s="629"/>
      <c r="K124" s="629"/>
      <c r="L124"/>
      <c r="M124" s="629">
        <f>SUM(C124+H124)</f>
        <v>12573</v>
      </c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 s="320"/>
    </row>
    <row r="125" spans="1:58" s="9" customFormat="1" x14ac:dyDescent="0.2">
      <c r="A125" s="172"/>
      <c r="B125" s="625" t="s">
        <v>1172</v>
      </c>
      <c r="C125" s="626">
        <v>350</v>
      </c>
      <c r="D125" s="625"/>
      <c r="E125" s="627"/>
      <c r="F125" s="626"/>
      <c r="G125"/>
      <c r="H125" s="627"/>
      <c r="I125" s="629"/>
      <c r="J125" s="629"/>
      <c r="K125" s="629"/>
      <c r="L125"/>
      <c r="M125" s="629">
        <f>SUM(C125+H125)</f>
        <v>350</v>
      </c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 s="320"/>
    </row>
    <row r="126" spans="1:58" s="9" customFormat="1" ht="25.5" x14ac:dyDescent="0.2">
      <c r="A126" s="172"/>
      <c r="B126" s="733" t="s">
        <v>1237</v>
      </c>
      <c r="C126" s="626">
        <v>1000</v>
      </c>
      <c r="D126" s="625"/>
      <c r="E126" s="627"/>
      <c r="F126" s="626"/>
      <c r="G126"/>
      <c r="H126" s="627">
        <v>270</v>
      </c>
      <c r="I126" s="629"/>
      <c r="J126" s="629"/>
      <c r="K126" s="629"/>
      <c r="L126"/>
      <c r="M126" s="629">
        <f>SUM(C126+H126)</f>
        <v>1270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 s="320"/>
    </row>
    <row r="127" spans="1:58" s="9" customFormat="1" x14ac:dyDescent="0.2">
      <c r="A127" s="172"/>
      <c r="B127" s="625"/>
      <c r="C127" s="626"/>
      <c r="D127" s="625"/>
      <c r="E127" s="627"/>
      <c r="F127" s="626"/>
      <c r="G127"/>
      <c r="H127" s="627"/>
      <c r="I127" s="629"/>
      <c r="J127" s="629"/>
      <c r="K127" s="629"/>
      <c r="L127"/>
      <c r="M127" s="629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1:58" s="9" customFormat="1" x14ac:dyDescent="0.2">
      <c r="A128" s="172"/>
      <c r="B128" s="625" t="s">
        <v>1236</v>
      </c>
      <c r="C128" s="626">
        <v>1100</v>
      </c>
      <c r="D128" s="625"/>
      <c r="E128" s="627"/>
      <c r="F128" s="626"/>
      <c r="G128"/>
      <c r="H128" s="627">
        <v>297</v>
      </c>
      <c r="I128" s="629"/>
      <c r="J128" s="629"/>
      <c r="K128" s="629"/>
      <c r="L128"/>
      <c r="M128" s="629">
        <f>SUM(C128+H128)</f>
        <v>1397</v>
      </c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1:57" s="9" customFormat="1" x14ac:dyDescent="0.2">
      <c r="A129" s="172"/>
      <c r="B129" s="625"/>
      <c r="C129" s="626"/>
      <c r="D129" s="625"/>
      <c r="E129" s="627"/>
      <c r="F129" s="626"/>
      <c r="G129"/>
      <c r="H129" s="627"/>
      <c r="I129" s="629"/>
      <c r="J129" s="629"/>
      <c r="K129" s="629"/>
      <c r="L129"/>
      <c r="M129" s="6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1:57" s="9" customFormat="1" x14ac:dyDescent="0.2">
      <c r="A130" s="172"/>
      <c r="B130" s="625" t="s">
        <v>1249</v>
      </c>
      <c r="C130" s="626">
        <v>1215</v>
      </c>
      <c r="D130" s="625"/>
      <c r="E130" s="627"/>
      <c r="F130" s="626"/>
      <c r="G130"/>
      <c r="H130" s="627">
        <v>0</v>
      </c>
      <c r="I130" s="629"/>
      <c r="J130" s="629"/>
      <c r="K130" s="629"/>
      <c r="L130"/>
      <c r="M130" s="629">
        <f>SUM(C130+H130)</f>
        <v>1215</v>
      </c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1:57" s="9" customFormat="1" x14ac:dyDescent="0.2">
      <c r="A131" s="172"/>
      <c r="B131" s="625" t="s">
        <v>1330</v>
      </c>
      <c r="C131" s="626">
        <v>1195</v>
      </c>
      <c r="D131" s="625"/>
      <c r="E131" s="627"/>
      <c r="F131" s="626"/>
      <c r="G131"/>
      <c r="H131" s="627">
        <v>0</v>
      </c>
      <c r="I131" s="629"/>
      <c r="J131" s="629"/>
      <c r="K131" s="629"/>
      <c r="L131"/>
      <c r="M131" s="629">
        <f>SUM(C131+H131)</f>
        <v>1195</v>
      </c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1:57" s="9" customFormat="1" x14ac:dyDescent="0.2">
      <c r="A132" s="172"/>
      <c r="B132" s="625" t="s">
        <v>1336</v>
      </c>
      <c r="C132" s="626">
        <v>3224</v>
      </c>
      <c r="D132" s="625"/>
      <c r="E132" s="627"/>
      <c r="F132" s="626"/>
      <c r="G132"/>
      <c r="H132" s="627">
        <v>0</v>
      </c>
      <c r="I132" s="629"/>
      <c r="J132" s="629"/>
      <c r="K132" s="629"/>
      <c r="L132"/>
      <c r="M132" s="629">
        <f>SUM(C132+H132)</f>
        <v>3224</v>
      </c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1:57" s="9" customFormat="1" x14ac:dyDescent="0.2">
      <c r="A133" s="172"/>
      <c r="B133" s="625"/>
      <c r="C133" s="626"/>
      <c r="D133" s="625"/>
      <c r="E133" s="627"/>
      <c r="F133" s="626"/>
      <c r="G133"/>
      <c r="H133" s="627"/>
      <c r="I133" s="629"/>
      <c r="J133" s="629"/>
      <c r="K133" s="629"/>
      <c r="L133"/>
      <c r="M133" s="629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1:57" s="9" customFormat="1" x14ac:dyDescent="0.2">
      <c r="A134" s="172"/>
      <c r="B134" s="625" t="s">
        <v>1294</v>
      </c>
      <c r="C134" s="626">
        <v>40</v>
      </c>
      <c r="D134" s="625"/>
      <c r="E134" s="627"/>
      <c r="F134" s="626"/>
      <c r="G134"/>
      <c r="H134" s="627">
        <v>11</v>
      </c>
      <c r="I134" s="629"/>
      <c r="J134" s="629"/>
      <c r="K134" s="629"/>
      <c r="L134"/>
      <c r="M134" s="629">
        <f>SUM(C134+H134)</f>
        <v>51</v>
      </c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1:57" s="9" customFormat="1" x14ac:dyDescent="0.2">
      <c r="A135" s="172"/>
      <c r="B135" s="625"/>
      <c r="C135" s="626"/>
      <c r="D135" s="625"/>
      <c r="E135" s="627"/>
      <c r="F135" s="626"/>
      <c r="G135"/>
      <c r="H135" s="627"/>
      <c r="I135" s="629"/>
      <c r="J135" s="629"/>
      <c r="K135" s="629"/>
      <c r="L135"/>
      <c r="M135" s="629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1:57" s="9" customFormat="1" x14ac:dyDescent="0.2">
      <c r="A136" s="172"/>
      <c r="B136" s="625" t="s">
        <v>1334</v>
      </c>
      <c r="C136" s="626">
        <v>1190</v>
      </c>
      <c r="D136" s="625"/>
      <c r="E136" s="627"/>
      <c r="F136" s="626"/>
      <c r="G136"/>
      <c r="H136" s="627">
        <v>321</v>
      </c>
      <c r="I136" s="629"/>
      <c r="J136" s="629"/>
      <c r="K136" s="629"/>
      <c r="L136"/>
      <c r="M136" s="629">
        <f>SUM(C136+H136)</f>
        <v>1511</v>
      </c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1:57" s="9" customFormat="1" x14ac:dyDescent="0.2">
      <c r="A137" s="172"/>
      <c r="B137" s="625" t="s">
        <v>1340</v>
      </c>
      <c r="C137" s="626">
        <v>1700</v>
      </c>
      <c r="D137" s="625"/>
      <c r="E137" s="627"/>
      <c r="F137" s="626"/>
      <c r="G137"/>
      <c r="H137" s="627">
        <v>459</v>
      </c>
      <c r="I137" s="629"/>
      <c r="J137" s="629"/>
      <c r="K137" s="629"/>
      <c r="L137"/>
      <c r="M137" s="629">
        <f>SUM(C137+H137)</f>
        <v>2159</v>
      </c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1:57" s="9" customFormat="1" x14ac:dyDescent="0.2">
      <c r="A138" s="172"/>
      <c r="B138" s="625"/>
      <c r="C138" s="778"/>
      <c r="D138" s="625"/>
      <c r="E138" s="627"/>
      <c r="F138" s="626"/>
      <c r="G138"/>
      <c r="H138" s="627"/>
      <c r="I138" s="629"/>
      <c r="J138" s="629"/>
      <c r="K138" s="629"/>
      <c r="L138"/>
      <c r="M138" s="629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1:57" s="9" customFormat="1" x14ac:dyDescent="0.2">
      <c r="A139" s="172"/>
      <c r="B139" s="625"/>
      <c r="C139" s="778"/>
      <c r="D139" s="625"/>
      <c r="E139" s="627"/>
      <c r="F139" s="626"/>
      <c r="G139"/>
      <c r="H139" s="627"/>
      <c r="I139" s="629"/>
      <c r="J139" s="629"/>
      <c r="K139" s="629"/>
      <c r="L139"/>
      <c r="M139" s="62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1:57" ht="13.5" thickBot="1" x14ac:dyDescent="0.25">
      <c r="B140" s="625"/>
      <c r="C140" s="626"/>
      <c r="D140" s="625"/>
      <c r="E140" s="627"/>
      <c r="F140" s="626"/>
      <c r="H140" s="627"/>
      <c r="I140" s="629"/>
      <c r="J140" s="629"/>
      <c r="K140" s="629"/>
      <c r="M140" s="629"/>
    </row>
    <row r="141" spans="1:57" ht="13.5" thickBot="1" x14ac:dyDescent="0.25">
      <c r="B141" s="298" t="s">
        <v>47</v>
      </c>
      <c r="C141" s="200">
        <f>SUM(C110:C140)</f>
        <v>35561</v>
      </c>
      <c r="D141" s="545"/>
      <c r="E141" s="545"/>
      <c r="F141" s="200"/>
      <c r="G141" s="200"/>
      <c r="H141" s="547">
        <f>SUM(H110:H140)</f>
        <v>6906.24</v>
      </c>
      <c r="M141" s="170">
        <f>SUM(C141:H141)</f>
        <v>42467.24</v>
      </c>
      <c r="N141" s="9"/>
      <c r="O141" s="9"/>
      <c r="P141" s="9"/>
      <c r="Q141" s="9"/>
      <c r="R141" s="37"/>
    </row>
    <row r="142" spans="1:57" x14ac:dyDescent="0.2">
      <c r="M142" s="37">
        <f>SUM(C141:H141)</f>
        <v>42467.24</v>
      </c>
    </row>
    <row r="147" spans="1:58" x14ac:dyDescent="0.2">
      <c r="BF147"/>
    </row>
    <row r="148" spans="1:58" x14ac:dyDescent="0.2">
      <c r="BF148"/>
    </row>
    <row r="149" spans="1:58" x14ac:dyDescent="0.2">
      <c r="BF149"/>
    </row>
    <row r="150" spans="1:58" x14ac:dyDescent="0.2">
      <c r="BF150"/>
    </row>
    <row r="151" spans="1:58" x14ac:dyDescent="0.2">
      <c r="BF151"/>
    </row>
    <row r="152" spans="1:58" x14ac:dyDescent="0.2">
      <c r="A152"/>
      <c r="H152"/>
      <c r="I152"/>
      <c r="J152"/>
      <c r="K152"/>
      <c r="BF152"/>
    </row>
    <row r="153" spans="1:58" x14ac:dyDescent="0.2">
      <c r="A153"/>
      <c r="H153"/>
      <c r="I153"/>
      <c r="J153"/>
      <c r="K153"/>
      <c r="BF153"/>
    </row>
    <row r="154" spans="1:58" x14ac:dyDescent="0.2">
      <c r="A154"/>
      <c r="H154"/>
      <c r="I154"/>
      <c r="J154"/>
      <c r="K154"/>
      <c r="BF154"/>
    </row>
    <row r="155" spans="1:58" x14ac:dyDescent="0.2">
      <c r="A155"/>
      <c r="H155"/>
      <c r="I155"/>
      <c r="J155"/>
      <c r="K155"/>
      <c r="BF155"/>
    </row>
    <row r="156" spans="1:58" x14ac:dyDescent="0.2">
      <c r="A156"/>
      <c r="H156"/>
      <c r="I156"/>
      <c r="J156"/>
      <c r="K156"/>
      <c r="BF156"/>
    </row>
    <row r="157" spans="1:58" x14ac:dyDescent="0.2">
      <c r="A157"/>
      <c r="H157"/>
      <c r="I157"/>
      <c r="J157"/>
      <c r="K157"/>
      <c r="BF157"/>
    </row>
    <row r="158" spans="1:58" x14ac:dyDescent="0.2">
      <c r="A158"/>
      <c r="H158"/>
      <c r="I158"/>
      <c r="J158"/>
      <c r="K158"/>
      <c r="BF158"/>
    </row>
    <row r="159" spans="1:58" x14ac:dyDescent="0.2">
      <c r="A159"/>
      <c r="H159"/>
      <c r="I159"/>
      <c r="J159"/>
      <c r="K159"/>
      <c r="BF159"/>
    </row>
    <row r="160" spans="1:58" x14ac:dyDescent="0.2">
      <c r="A160"/>
      <c r="H160"/>
      <c r="I160"/>
      <c r="J160"/>
      <c r="K160"/>
      <c r="BF160"/>
    </row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</sheetData>
  <mergeCells count="16">
    <mergeCell ref="BA9:BE9"/>
    <mergeCell ref="H9:L9"/>
    <mergeCell ref="M9:Q9"/>
    <mergeCell ref="R9:V9"/>
    <mergeCell ref="AL9:AP9"/>
    <mergeCell ref="W9:AA9"/>
    <mergeCell ref="AB9:AF9"/>
    <mergeCell ref="AG9:AK9"/>
    <mergeCell ref="AQ9:AU9"/>
    <mergeCell ref="AV9:AZ9"/>
    <mergeCell ref="C5:AC5"/>
    <mergeCell ref="C6:AC6"/>
    <mergeCell ref="C7:AC7"/>
    <mergeCell ref="A9:A10"/>
    <mergeCell ref="B9:B10"/>
    <mergeCell ref="C9:G9"/>
  </mergeCells>
  <pageMargins left="0.19685039370078741" right="0.15748031496062992" top="0.43307086614173229" bottom="0.15748031496062992" header="0.39370078740157483" footer="0.15748031496062992"/>
  <pageSetup paperSize="9" scale="60" orientation="landscape" r:id="rId1"/>
  <headerFooter alignWithMargins="0"/>
  <rowBreaks count="2" manualBreakCount="2">
    <brk id="50" max="55" man="1"/>
    <brk id="95" max="55" man="1"/>
  </rowBreaks>
  <colBreaks count="1" manualBreakCount="1">
    <brk id="27" max="1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23</vt:i4>
      </vt:variant>
    </vt:vector>
  </HeadingPairs>
  <TitlesOfParts>
    <vt:vector size="48" baseType="lpstr">
      <vt:lpstr>Összesítő</vt:lpstr>
      <vt:lpstr>1.Bev-kiad.</vt:lpstr>
      <vt:lpstr>2.működés</vt:lpstr>
      <vt:lpstr>3.felh</vt:lpstr>
      <vt:lpstr>4. Átadott p.eszk.</vt:lpstr>
      <vt:lpstr>5.Bev.össz</vt:lpstr>
      <vt:lpstr>6.Kiad.össz. </vt:lpstr>
      <vt:lpstr>7.finanszírozás.</vt:lpstr>
      <vt:lpstr>8.Önk.</vt:lpstr>
      <vt:lpstr>zöld város</vt:lpstr>
      <vt:lpstr>9.Hivatal</vt:lpstr>
      <vt:lpstr>10.Többéves, adósság</vt:lpstr>
      <vt:lpstr>12. Maradványkimutatás</vt:lpstr>
      <vt:lpstr>13.Mérleg</vt:lpstr>
      <vt:lpstr>14. Eredménykimutatás</vt:lpstr>
      <vt:lpstr>15. Vagyonkimutatás</vt:lpstr>
      <vt:lpstr>16. Előirányzat felh.terv</vt:lpstr>
      <vt:lpstr>17. Részesedések</vt:lpstr>
      <vt:lpstr>11.Likviditás</vt:lpstr>
      <vt:lpstr>12. gördülő tervezés</vt:lpstr>
      <vt:lpstr>12. Eu projekt</vt:lpstr>
      <vt:lpstr>14.mérlegszerű kimutatás</vt:lpstr>
      <vt:lpstr>Társulási fel. tájékoztatásul</vt:lpstr>
      <vt:lpstr>beruházások</vt:lpstr>
      <vt:lpstr>13.2.EU projekt részletesen</vt:lpstr>
      <vt:lpstr>'2.működés'!Nyomtatási_cím</vt:lpstr>
      <vt:lpstr>'6.Kiad.össz. '!Nyomtatási_cím</vt:lpstr>
      <vt:lpstr>'7.finanszírozás.'!Nyomtatási_cím</vt:lpstr>
      <vt:lpstr>'8.Önk.'!Nyomtatási_cím</vt:lpstr>
      <vt:lpstr>'9.Hivatal'!Nyomtatási_cím</vt:lpstr>
      <vt:lpstr>Összesítő!Nyomtatási_cím</vt:lpstr>
      <vt:lpstr>'1.Bev-kiad.'!Nyomtatási_terület</vt:lpstr>
      <vt:lpstr>'10.Többéves, adósság'!Nyomtatási_terület</vt:lpstr>
      <vt:lpstr>'11.Likviditás'!Nyomtatási_terület</vt:lpstr>
      <vt:lpstr>'12. Eu projekt'!Nyomtatási_terület</vt:lpstr>
      <vt:lpstr>'12. gördülő tervezés'!Nyomtatási_terület</vt:lpstr>
      <vt:lpstr>'12. Maradványkimutatás'!Nyomtatási_terület</vt:lpstr>
      <vt:lpstr>'15. Vagyonkimutatás'!Nyomtatási_terület</vt:lpstr>
      <vt:lpstr>'2.működés'!Nyomtatási_terület</vt:lpstr>
      <vt:lpstr>'3.felh'!Nyomtatási_terület</vt:lpstr>
      <vt:lpstr>'4. Átadott p.eszk.'!Nyomtatási_terület</vt:lpstr>
      <vt:lpstr>'6.Kiad.össz. '!Nyomtatási_terület</vt:lpstr>
      <vt:lpstr>'7.finanszírozás.'!Nyomtatási_terület</vt:lpstr>
      <vt:lpstr>'8.Önk.'!Nyomtatási_terület</vt:lpstr>
      <vt:lpstr>'9.Hivatal'!Nyomtatási_terület</vt:lpstr>
      <vt:lpstr>beruházások!Nyomtatási_terület</vt:lpstr>
      <vt:lpstr>Összesítő!Nyomtatási_terület</vt:lpstr>
      <vt:lpstr>'Társulási fel. tájékoztatásul'!Nyomtatási_terület</vt:lpstr>
    </vt:vector>
  </TitlesOfParts>
  <Company>Önkormányzat Bföldvár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Belovics Emilné</dc:creator>
  <cp:lastModifiedBy>MagorineA</cp:lastModifiedBy>
  <cp:lastPrinted>2023-05-19T09:17:16Z</cp:lastPrinted>
  <dcterms:created xsi:type="dcterms:W3CDTF">2009-11-11T14:39:35Z</dcterms:created>
  <dcterms:modified xsi:type="dcterms:W3CDTF">2023-05-19T09:56:16Z</dcterms:modified>
</cp:coreProperties>
</file>